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C9" lockStructure="1"/>
  <bookViews>
    <workbookView windowWidth="22188" windowHeight="10187" activeTab="5"/>
  </bookViews>
  <sheets>
    <sheet name="云配队" sheetId="3" r:id="rId1"/>
    <sheet name="配装" sheetId="9" r:id="rId2"/>
    <sheet name="声明" sheetId="11" r:id="rId3"/>
    <sheet name="邦布" sheetId="7" r:id="rId4"/>
    <sheet name="数值" sheetId="5" r:id="rId5"/>
    <sheet name="计算" sheetId="4" r:id="rId6"/>
    <sheet name="角色" sheetId="2" r:id="rId7"/>
    <sheet name="音擎" sheetId="6" r:id="rId8"/>
    <sheet name="驱动盘" sheetId="10" r:id="rId9"/>
  </sheets>
  <definedNames>
    <definedName name="_xlnm._FilterDatabase" localSheetId="6" hidden="1">角色!$G$1:$I$30</definedName>
    <definedName name="_xlnm._FilterDatabase" localSheetId="5" hidden="1">数值!#REF!</definedName>
    <definedName name="_xlnm._FilterDatabase" localSheetId="4" hidden="1">数值!#REF!</definedName>
    <definedName name="_xlnm._FilterDatabase" localSheetId="7" hidden="1">音擎!$A$2:$AG$2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14252</author>
    <author>静默之光</author>
  </authors>
  <commentList>
    <comment ref="M2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词条的个数，并不是加成百分比</t>
        </r>
      </text>
    </comment>
    <comment ref="A23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请在配装中保证面板与露西一致，其余尽量不要添加
首页的亲卫小队已经是三只猪的了，无需再乘3</t>
        </r>
      </text>
    </comment>
  </commentList>
</comments>
</file>

<file path=xl/comments2.xml><?xml version="1.0" encoding="utf-8"?>
<comments xmlns="http://schemas.openxmlformats.org/spreadsheetml/2006/main">
  <authors>
    <author>14252</author>
    <author>静默之光</author>
    <author>Unknown User</author>
  </authors>
  <commentList>
    <comment ref="B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S为1命
A为5命</t>
        </r>
      </text>
    </comment>
    <comment ref="A2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未包含触发击杀减CD</t>
        </r>
      </text>
    </comment>
    <comment ref="A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连携会额外召唤陷阱，视为额外使用一次主动技，待复测</t>
        </r>
      </text>
    </comment>
    <comment ref="A10" authorId="0">
      <text>
        <r>
          <rPr>
            <sz val="9"/>
            <rFont val="宋体"/>
            <charset val="134"/>
          </rPr>
          <t>批注：
子弹的概率分布为15%-70%-15%</t>
        </r>
      </text>
    </comment>
    <comment ref="F1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静默之光:
60%命中率
</t>
        </r>
      </text>
    </comment>
  </commentList>
</comments>
</file>

<file path=xl/comments3.xml><?xml version="1.0" encoding="utf-8"?>
<comments xmlns="http://schemas.openxmlformats.org/spreadsheetml/2006/main">
  <authors>
    <author>静默之光</author>
  </authors>
  <commentList>
    <comment ref="C8" authorId="0">
      <text>
        <r>
          <rPr>
            <sz val="9"/>
            <rFont val="宋体"/>
            <charset val="134"/>
          </rPr>
          <t>增伤14.1%</t>
        </r>
      </text>
    </comment>
  </commentList>
</comments>
</file>

<file path=xl/comments4.xml><?xml version="1.0" encoding="utf-8"?>
<comments xmlns="http://schemas.openxmlformats.org/spreadsheetml/2006/main">
  <authors>
    <author>14252</author>
    <author>Unknown User</author>
    <author>静默之光</author>
  </authors>
  <commentList>
    <comment ref="BQ3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连续3发
</t>
        </r>
      </text>
    </comment>
    <comment ref="AM4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仅第三段强化普攻
</t>
        </r>
      </text>
    </comment>
    <comment ref="AM6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在恰当的时机发动普攻
</t>
        </r>
      </text>
    </comment>
    <comment ref="AR6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技能后火刀
</t>
        </r>
      </text>
    </comment>
    <comment ref="AL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爆发下每套普攻40
</t>
        </r>
      </text>
    </comment>
    <comment ref="AR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爆发横扫
</t>
        </r>
      </text>
    </comment>
    <comment ref="AW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爆发电钻+打桩
</t>
        </r>
      </text>
    </comment>
    <comment ref="AL9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点按60
长按80</t>
        </r>
      </text>
    </comment>
    <comment ref="AR9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振刀+普攻+闪反正好满能量时的普攻部分</t>
        </r>
      </text>
    </comment>
    <comment ref="AL10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点按40
长按60</t>
        </r>
      </text>
    </comment>
    <comment ref="AM11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不含衔接的引爆
</t>
        </r>
      </text>
    </comment>
    <comment ref="AR11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不含衔接的引爆
</t>
        </r>
      </text>
    </comment>
    <comment ref="BQ11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仅引爆</t>
        </r>
      </text>
    </comment>
    <comment ref="CA1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仅引爆</t>
        </r>
      </text>
    </comment>
    <comment ref="AL12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仅引爆
</t>
        </r>
      </text>
    </comment>
    <comment ref="AM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前三段物伤</t>
        </r>
      </text>
    </comment>
    <comment ref="AR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落雷</t>
        </r>
      </text>
    </comment>
    <comment ref="BQ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在普攻2段之后打出</t>
        </r>
      </text>
    </comment>
    <comment ref="BR13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特殊技没有算到技能失衡效率里</t>
        </r>
      </text>
    </comment>
    <comment ref="CA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在普攻2段之后打出</t>
        </r>
      </text>
    </comment>
    <comment ref="AL17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至多消耗80能量
</t>
        </r>
      </text>
    </comment>
    <comment ref="CJ17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bug</t>
        </r>
      </text>
    </comment>
    <comment ref="CF18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待确认</t>
        </r>
      </text>
    </comment>
    <comment ref="F19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满命</t>
        </r>
      </text>
    </comment>
    <comment ref="BV19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静默之光:
e，e，长e，立刻e
</t>
        </r>
      </text>
    </comment>
    <comment ref="CA19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e，e，长e，立刻闪</t>
        </r>
      </text>
    </comment>
    <comment ref="CA2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待确认</t>
        </r>
      </text>
    </comment>
    <comment ref="CA22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蓄力直到可以切人
不等待支援弹出</t>
        </r>
      </text>
    </comment>
    <comment ref="AU25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2命35%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<sst xmlns="http://schemas.openxmlformats.org/spreadsheetml/2006/main" count="1042" uniqueCount="510">
  <si>
    <t>角色等级</t>
  </si>
  <si>
    <t>怪物等级</t>
  </si>
  <si>
    <t>怪物类型</t>
  </si>
  <si>
    <t>绝区零云配队 V1.0.0       作者：静默之光</t>
  </si>
  <si>
    <t>精英</t>
  </si>
  <si>
    <t>默认均激活组队天赋；S级0画，A级2画；音擎驱动配置在“配装”页；统一11级技能6级核心；邦布单算，见“邦布”页</t>
  </si>
  <si>
    <t>场内攻击</t>
  </si>
  <si>
    <t>场内暴击</t>
  </si>
  <si>
    <t>场内暴伤</t>
  </si>
  <si>
    <t>场内冲击</t>
  </si>
  <si>
    <t>角色选择</t>
  </si>
  <si>
    <t>属性</t>
  </si>
  <si>
    <t>阵营</t>
  </si>
  <si>
    <t>音擎</t>
  </si>
  <si>
    <t>异常每跳</t>
  </si>
  <si>
    <t>累计回能</t>
  </si>
  <si>
    <t>动作1</t>
  </si>
  <si>
    <t>动作2</t>
  </si>
  <si>
    <t>动作3</t>
  </si>
  <si>
    <t>动作4</t>
  </si>
  <si>
    <t>动作5</t>
  </si>
  <si>
    <t>紊乱结算
剩余秒数</t>
  </si>
  <si>
    <t>紊乱伤害</t>
  </si>
  <si>
    <t>朱鸢</t>
  </si>
  <si>
    <t>青衣</t>
  </si>
  <si>
    <t>妮可</t>
  </si>
  <si>
    <t>累计时间</t>
  </si>
  <si>
    <t>累计伤害</t>
  </si>
  <si>
    <t>DPS</t>
  </si>
  <si>
    <t>累计失衡</t>
  </si>
  <si>
    <t>累计喧响</t>
  </si>
  <si>
    <t>累计冰火电以物异常</t>
  </si>
  <si>
    <t>秒均失衡</t>
  </si>
  <si>
    <t>秒均喧响</t>
  </si>
  <si>
    <t>秒均冰火电以物异常</t>
  </si>
  <si>
    <t>BUFF 1</t>
  </si>
  <si>
    <t/>
  </si>
  <si>
    <t>BUFF 2</t>
  </si>
  <si>
    <t>BUFF 3</t>
  </si>
  <si>
    <t>BUFF 4</t>
  </si>
  <si>
    <t>BUFF 5</t>
  </si>
  <si>
    <t>角色</t>
  </si>
  <si>
    <t>职业</t>
  </si>
  <si>
    <t>预设武器</t>
  </si>
  <si>
    <t>被动覆盖率</t>
  </si>
  <si>
    <t>描述</t>
  </si>
  <si>
    <t>驱动4件套</t>
  </si>
  <si>
    <t>驱动2件套</t>
  </si>
  <si>
    <t>四号位</t>
  </si>
  <si>
    <t>五号位</t>
  </si>
  <si>
    <t>六号位</t>
  </si>
  <si>
    <t>副词条
暴击数量</t>
  </si>
  <si>
    <t>副词条
暴伤数量</t>
  </si>
  <si>
    <t>副词条
大攻击数量</t>
  </si>
  <si>
    <t>副词条
小攻击数量</t>
  </si>
  <si>
    <t>副词条
精通数量</t>
  </si>
  <si>
    <t>副词条
穿透值数量</t>
  </si>
  <si>
    <t>强攻</t>
  </si>
  <si>
    <t>防爆者VI型</t>
  </si>
  <si>
    <t>混沌重金属</t>
  </si>
  <si>
    <t>啄木鸟电音</t>
  </si>
  <si>
    <t>暴伤</t>
  </si>
  <si>
    <t>攻击</t>
  </si>
  <si>
    <t>艾莲</t>
  </si>
  <si>
    <t>深海访客</t>
  </si>
  <si>
    <t>极地重金属</t>
  </si>
  <si>
    <t>河豚电音</t>
  </si>
  <si>
    <t>穿透</t>
  </si>
  <si>
    <t>猫又</t>
  </si>
  <si>
    <t>硫磺石</t>
  </si>
  <si>
    <t>激素朋克</t>
  </si>
  <si>
    <t>獠牙重金属</t>
  </si>
  <si>
    <t>暴击</t>
  </si>
  <si>
    <t>11号</t>
  </si>
  <si>
    <t>炎狱重金属</t>
  </si>
  <si>
    <t>可琳</t>
  </si>
  <si>
    <t>家政员</t>
  </si>
  <si>
    <t>安东</t>
  </si>
  <si>
    <t>雷暴重金属</t>
  </si>
  <si>
    <t>击破</t>
  </si>
  <si>
    <t>玉壶青冰</t>
  </si>
  <si>
    <t>震星迪斯科</t>
  </si>
  <si>
    <t>摇摆爵士</t>
  </si>
  <si>
    <t>属伤</t>
  </si>
  <si>
    <t>冲击</t>
  </si>
  <si>
    <t>莱卡恩</t>
  </si>
  <si>
    <t>人为刀俎</t>
  </si>
  <si>
    <t>原始朋克</t>
  </si>
  <si>
    <t>柯蕾妲</t>
  </si>
  <si>
    <t>柯蕾妲连携</t>
  </si>
  <si>
    <t>安比</t>
  </si>
  <si>
    <t>柏妮思</t>
  </si>
  <si>
    <t>异常</t>
  </si>
  <si>
    <t>灼心摇壶</t>
  </si>
  <si>
    <t>混沌爵士</t>
  </si>
  <si>
    <t>自由蓝调</t>
  </si>
  <si>
    <t>精通</t>
  </si>
  <si>
    <t>掌控</t>
  </si>
  <si>
    <t>简</t>
  </si>
  <si>
    <t>淬锋钳刺</t>
  </si>
  <si>
    <t>格丽丝</t>
  </si>
  <si>
    <t>嵌合编译器</t>
  </si>
  <si>
    <t>派派</t>
  </si>
  <si>
    <t>轰鸣座驾</t>
  </si>
  <si>
    <t>仓角</t>
  </si>
  <si>
    <t>支援</t>
  </si>
  <si>
    <t>含羞恶面</t>
  </si>
  <si>
    <t>仓角[主C]</t>
  </si>
  <si>
    <t>啜泣摇篮</t>
  </si>
  <si>
    <t>丽娜</t>
  </si>
  <si>
    <t>聚宝箱</t>
  </si>
  <si>
    <t>回能</t>
  </si>
  <si>
    <t>露西</t>
  </si>
  <si>
    <t>好斗的阿炮</t>
  </si>
  <si>
    <t>亲卫小队*</t>
  </si>
  <si>
    <t>凯撒</t>
  </si>
  <si>
    <t>防护</t>
  </si>
  <si>
    <t>奔袭獠牙</t>
  </si>
  <si>
    <t>赛斯</t>
  </si>
  <si>
    <t>正版变身器</t>
  </si>
  <si>
    <t>作者：静默之光    数据来源：666bj &amp; 米游社-绳网情报站</t>
  </si>
  <si>
    <t>一键复制，选一下其中之一即可：（推荐使用不带格式粘贴）</t>
  </si>
  <si>
    <t>版权许可证声明
特此免费授予任何获得本文档文件（以下简称“本文档”）副本的人，您可以自由地：
使用、复制、发行并传播本文档；
修改、转换本文档，以及基于本文档创作新的作品；
但必须遵守下列条款：
1，署名： 您必须给出适当的署名，尤其在自媒体平台中引用本文档进行创作时，需要提供指向本文档仓库的链接（https://github.com/AmicBeam/ZzzCloudTeam）或作者的链接（https://space.bilibili.com/9412490），并指明是否对其进行了修改。特别的，如果您并非在正式场合发布，也可以仅包含首页带署名的图片，而无需单独填写文字版的署名。
参考格式：
参考工具：《zzz云配队》V ?.?.?
原作者：静默之光
项目仓库/作者主页：...（有其一即可，如您在bilibili.com中引用，也可以直接@静默之光）
修改声明：是否基于原作品进行了修改
2，非商业性地转卖： 您不得将本文档直接用于商业目的的转售。
3，相同方式共享： 如果您再混合、转换、或基于本文档创作，必须基于与原作相同的许可协议发行进行。
上述版权声明和此许可声明应包含在所有文档副本或其重要部分中。
此外，文档按“原样”提供，不提供任何形式的保证，无论是明示还是暗示，包括但不限于适销性、特定用途的适用性以及非侵权性的保证。在任何情况下，作者均不对任何索赔、损害或其他责任负责，无论是在合同行为、侵权行为或其他行为中，由文档或文档的使用或其他交易引起的。</t>
  </si>
  <si>
    <t>参考工具：</t>
  </si>
  <si>
    <t>原作者：</t>
  </si>
  <si>
    <t>静默之光</t>
  </si>
  <si>
    <t>项目仓库：</t>
  </si>
  <si>
    <t>https://github.com/AmicBeam/ZzzCloudTeam</t>
  </si>
  <si>
    <t>修改声明：</t>
  </si>
  <si>
    <t>作者主页：</t>
  </si>
  <si>
    <t>https://space.bilibili.com/9412490</t>
  </si>
  <si>
    <t>（在bilibili时可采用下面的格式）</t>
  </si>
  <si>
    <t>@静默之光</t>
  </si>
  <si>
    <t>名称</t>
  </si>
  <si>
    <t>星级</t>
  </si>
  <si>
    <t>双暴</t>
  </si>
  <si>
    <t>倍率</t>
  </si>
  <si>
    <t>失衡倍率</t>
  </si>
  <si>
    <t>异常值</t>
  </si>
  <si>
    <t>异常掌控</t>
  </si>
  <si>
    <t>主动技
CD</t>
  </si>
  <si>
    <t>主动技
DPS</t>
  </si>
  <si>
    <t>主动技
秒均失衡</t>
  </si>
  <si>
    <t>主动技
秒均异常</t>
  </si>
  <si>
    <t>连携倍率</t>
  </si>
  <si>
    <t>连携
总伤害</t>
  </si>
  <si>
    <t>连携异常</t>
  </si>
  <si>
    <t>连携
总异常</t>
  </si>
  <si>
    <t>赤红莫库斯</t>
  </si>
  <si>
    <t>S</t>
  </si>
  <si>
    <t>异常数据暂缺</t>
  </si>
  <si>
    <t>阿崔巡查</t>
  </si>
  <si>
    <t>阿全</t>
  </si>
  <si>
    <t>艾米莉安</t>
  </si>
  <si>
    <t>鲨牙布</t>
  </si>
  <si>
    <t>飚速布</t>
  </si>
  <si>
    <t>插头布</t>
  </si>
  <si>
    <t>共鸣布</t>
  </si>
  <si>
    <t>左轮布</t>
  </si>
  <si>
    <t>磁力布</t>
  </si>
  <si>
    <t>A</t>
  </si>
  <si>
    <t>扑击布</t>
  </si>
  <si>
    <t>飞靶布</t>
  </si>
  <si>
    <t>企鹅布</t>
  </si>
  <si>
    <t>泪眼布</t>
  </si>
  <si>
    <t>电击布</t>
  </si>
  <si>
    <t>恶魔布</t>
  </si>
  <si>
    <t>招财布</t>
  </si>
  <si>
    <t>驱动盘解释</t>
  </si>
  <si>
    <t>动作列表</t>
  </si>
  <si>
    <t>角色增伤</t>
  </si>
  <si>
    <t>武器增伤</t>
  </si>
  <si>
    <t>驱动增伤</t>
  </si>
  <si>
    <t>角色失衡</t>
  </si>
  <si>
    <t>武器失衡</t>
  </si>
  <si>
    <t>驱动失衡</t>
  </si>
  <si>
    <t>回能效率</t>
  </si>
  <si>
    <t>额外喧响</t>
  </si>
  <si>
    <t>buff列表</t>
  </si>
  <si>
    <t>易伤</t>
  </si>
  <si>
    <t>抗性</t>
  </si>
  <si>
    <t>异常抗性</t>
  </si>
  <si>
    <t>异常效率</t>
  </si>
  <si>
    <t>小攻击</t>
  </si>
  <si>
    <t>大攻击</t>
  </si>
  <si>
    <t>增伤</t>
  </si>
  <si>
    <t>减防</t>
  </si>
  <si>
    <t>失衡</t>
  </si>
  <si>
    <t>异常buff</t>
  </si>
  <si>
    <t>独立</t>
  </si>
  <si>
    <t>类型</t>
  </si>
  <si>
    <t>异常倍率</t>
  </si>
  <si>
    <t>紊乱倍率</t>
  </si>
  <si>
    <t>角色动作</t>
  </si>
  <si>
    <t>额外回能</t>
  </si>
  <si>
    <t>主词条</t>
  </si>
  <si>
    <t>物理</t>
  </si>
  <si>
    <t>安比闪反</t>
  </si>
  <si>
    <t>4 | 5 | 6</t>
  </si>
  <si>
    <t>普攻</t>
  </si>
  <si>
    <t>格莉丝单层被动</t>
  </si>
  <si>
    <t>电</t>
  </si>
  <si>
    <t>露西技能</t>
  </si>
  <si>
    <t>暴击率</t>
  </si>
  <si>
    <t>强普</t>
  </si>
  <si>
    <t>青衣失衡</t>
  </si>
  <si>
    <t>格莉丝双层被动</t>
  </si>
  <si>
    <t>冰</t>
  </si>
  <si>
    <t>露西强技</t>
  </si>
  <si>
    <t>蓄力</t>
  </si>
  <si>
    <t>狼哥失衡</t>
  </si>
  <si>
    <t>妮可减防</t>
  </si>
  <si>
    <t>火</t>
  </si>
  <si>
    <t>妮可技能</t>
  </si>
  <si>
    <t>冲刺</t>
  </si>
  <si>
    <t>狼哥冰抗</t>
  </si>
  <si>
    <t>赛斯精通</t>
  </si>
  <si>
    <t>以太</t>
  </si>
  <si>
    <t>妮可强技</t>
  </si>
  <si>
    <t>属性伤害</t>
  </si>
  <si>
    <t>闪反</t>
  </si>
  <si>
    <t>锤妹连携</t>
  </si>
  <si>
    <t>丽娜人偶</t>
  </si>
  <si>
    <t>无</t>
  </si>
  <si>
    <t>妮可连携</t>
  </si>
  <si>
    <t>穿透率</t>
  </si>
  <si>
    <t>特技</t>
  </si>
  <si>
    <t>丽娜1命人偶</t>
  </si>
  <si>
    <t>妮可大招</t>
  </si>
  <si>
    <t>技能</t>
  </si>
  <si>
    <t>丽娜电伤</t>
  </si>
  <si>
    <t>安东强普</t>
  </si>
  <si>
    <t>冲击力</t>
  </si>
  <si>
    <t>强技</t>
  </si>
  <si>
    <t>柏妮思二命</t>
  </si>
  <si>
    <t>安东蓄力</t>
  </si>
  <si>
    <t>快支</t>
  </si>
  <si>
    <t>仓角展旗</t>
  </si>
  <si>
    <t>露西加油</t>
  </si>
  <si>
    <t>安东冲刺</t>
  </si>
  <si>
    <t>副词条</t>
  </si>
  <si>
    <t>弹刀</t>
  </si>
  <si>
    <t>仓角冰队展旗</t>
  </si>
  <si>
    <t>简强击&amp;狂热</t>
  </si>
  <si>
    <t>安东快支</t>
  </si>
  <si>
    <t>连携</t>
  </si>
  <si>
    <t>仓角满层展旗</t>
  </si>
  <si>
    <t>简强击&amp;50%狂热</t>
  </si>
  <si>
    <t>安东连携</t>
  </si>
  <si>
    <t>大招</t>
  </si>
  <si>
    <t>仓角冰队满层展旗</t>
  </si>
  <si>
    <t>简强击</t>
  </si>
  <si>
    <t>协同</t>
  </si>
  <si>
    <t>派派动力</t>
  </si>
  <si>
    <t>穿透值</t>
  </si>
  <si>
    <t>妮可减防暴击</t>
  </si>
  <si>
    <t>凯撒天赋</t>
  </si>
  <si>
    <t>妮可以太减防</t>
  </si>
  <si>
    <t>凯撒天赋
奔袭獠牙</t>
  </si>
  <si>
    <t>1级</t>
  </si>
  <si>
    <t>60级</t>
  </si>
  <si>
    <t>妮可以太减防暴击</t>
  </si>
  <si>
    <t>武器主词条</t>
  </si>
  <si>
    <t>A级通用</t>
  </si>
  <si>
    <t>妮可暴击</t>
  </si>
  <si>
    <t>A级专武</t>
  </si>
  <si>
    <t>S级常驻</t>
  </si>
  <si>
    <t>凯撒标记</t>
  </si>
  <si>
    <t>S级限定</t>
  </si>
  <si>
    <t>本暴击</t>
  </si>
  <si>
    <t>武器副词条</t>
  </si>
  <si>
    <t>A级</t>
  </si>
  <si>
    <t>3.33倍</t>
  </si>
  <si>
    <t>8.33倍</t>
  </si>
  <si>
    <t>艾莲强普暴伤</t>
  </si>
  <si>
    <t>S级</t>
  </si>
  <si>
    <t>4倍</t>
  </si>
  <si>
    <t>10倍</t>
  </si>
  <si>
    <t>11号失衡火伤</t>
  </si>
  <si>
    <t>收益</t>
  </si>
  <si>
    <t>朱鸢失衡强普</t>
  </si>
  <si>
    <t>简狂热</t>
  </si>
  <si>
    <t>可琳1命失衡期</t>
  </si>
  <si>
    <t>可琳2命减抗</t>
  </si>
  <si>
    <t>角色表行号</t>
  </si>
  <si>
    <t>武器</t>
  </si>
  <si>
    <t>驱动4</t>
  </si>
  <si>
    <t>驱动2</t>
  </si>
  <si>
    <t>驱动4覆盖</t>
  </si>
  <si>
    <t>武器表行号</t>
  </si>
  <si>
    <t>武器覆盖</t>
  </si>
  <si>
    <t>武器攻击</t>
  </si>
  <si>
    <t>驱动4行号</t>
  </si>
  <si>
    <t>驱动2行号</t>
  </si>
  <si>
    <t>武器驱动战前大攻</t>
  </si>
  <si>
    <t>驱动
战前小攻</t>
  </si>
  <si>
    <t>武器驱动暴击</t>
  </si>
  <si>
    <t>武器驱动暴伤</t>
  </si>
  <si>
    <t>武器驱动穿透率</t>
  </si>
  <si>
    <t>驱动
穿透值</t>
  </si>
  <si>
    <t>武器驱动精通</t>
  </si>
  <si>
    <t>武器异常效率</t>
  </si>
  <si>
    <t>能量回复</t>
  </si>
  <si>
    <t>后台回能</t>
  </si>
  <si>
    <t>能量效率</t>
  </si>
  <si>
    <t>面板冲击</t>
  </si>
  <si>
    <t>入场暴击</t>
  </si>
  <si>
    <t>入场暴伤</t>
  </si>
  <si>
    <t>面板攻击</t>
  </si>
  <si>
    <t>战时数攻</t>
  </si>
  <si>
    <t>异常增伤</t>
  </si>
  <si>
    <t>防御区</t>
  </si>
  <si>
    <t>异常基底</t>
  </si>
  <si>
    <t>异常伤害</t>
  </si>
  <si>
    <t>总喧响</t>
  </si>
  <si>
    <t>总回能</t>
  </si>
  <si>
    <t>动作列号</t>
  </si>
  <si>
    <t>动作喧响</t>
  </si>
  <si>
    <t>动作回能</t>
  </si>
  <si>
    <t>武器驱动增伤</t>
  </si>
  <si>
    <t>失衡提升</t>
  </si>
  <si>
    <t>动作异常</t>
  </si>
  <si>
    <t>异常总和</t>
  </si>
  <si>
    <t>时间</t>
  </si>
  <si>
    <t>削韧</t>
  </si>
  <si>
    <t>伤害</t>
  </si>
  <si>
    <t>攻击方系数</t>
  </si>
  <si>
    <t>基础防御力</t>
  </si>
  <si>
    <t>buff行号</t>
  </si>
  <si>
    <t>总时间</t>
  </si>
  <si>
    <t>定位</t>
  </si>
  <si>
    <t>基础攻击</t>
  </si>
  <si>
    <t>战时大攻击</t>
  </si>
  <si>
    <t>战时小攻击</t>
  </si>
  <si>
    <t>战前冲击</t>
  </si>
  <si>
    <t>战时冲击</t>
  </si>
  <si>
    <t>普攻增伤</t>
  </si>
  <si>
    <t>强普增伤</t>
  </si>
  <si>
    <t>蓄力增伤</t>
  </si>
  <si>
    <t>冲刺增伤</t>
  </si>
  <si>
    <t>特技增伤</t>
  </si>
  <si>
    <t>技能增伤</t>
  </si>
  <si>
    <t>快支弹刀
增伤</t>
  </si>
  <si>
    <t>连锁增伤</t>
  </si>
  <si>
    <t>大招增伤</t>
  </si>
  <si>
    <t>异常协同
增伤</t>
  </si>
  <si>
    <t>普攻失衡</t>
  </si>
  <si>
    <t>强普失衡</t>
  </si>
  <si>
    <t>技能失衡</t>
  </si>
  <si>
    <t>技能费用</t>
  </si>
  <si>
    <t>普攻倍率</t>
  </si>
  <si>
    <t>普攻耗时</t>
  </si>
  <si>
    <t>普攻异常</t>
  </si>
  <si>
    <t>普攻喧响</t>
  </si>
  <si>
    <t>强普倍率</t>
  </si>
  <si>
    <t>强普耗时</t>
  </si>
  <si>
    <t>强普异常</t>
  </si>
  <si>
    <t>强普喧响</t>
  </si>
  <si>
    <t>蓄力倍率</t>
  </si>
  <si>
    <t>蓄力失衡</t>
  </si>
  <si>
    <t>蓄力耗时</t>
  </si>
  <si>
    <t>蓄力异常</t>
  </si>
  <si>
    <t>蓄力喧响</t>
  </si>
  <si>
    <t>冲刺倍率</t>
  </si>
  <si>
    <t>冲刺失衡</t>
  </si>
  <si>
    <t>冲刺耗时</t>
  </si>
  <si>
    <t>冲刺异常</t>
  </si>
  <si>
    <t>冲刺喧响</t>
  </si>
  <si>
    <t>闪反倍率</t>
  </si>
  <si>
    <t>闪反失衡</t>
  </si>
  <si>
    <t>闪反耗时</t>
  </si>
  <si>
    <t>闪反异常</t>
  </si>
  <si>
    <t>闪反喧响</t>
  </si>
  <si>
    <t>快支倍率</t>
  </si>
  <si>
    <t>快支失衡</t>
  </si>
  <si>
    <t>快支耗时</t>
  </si>
  <si>
    <t>快支异常</t>
  </si>
  <si>
    <t>快支喧响</t>
  </si>
  <si>
    <t>特技倍率</t>
  </si>
  <si>
    <t>特技失衡</t>
  </si>
  <si>
    <t>特技耗时</t>
  </si>
  <si>
    <t>特技异常</t>
  </si>
  <si>
    <t>特技喧响</t>
  </si>
  <si>
    <t>技能倍率</t>
  </si>
  <si>
    <t>技能耗时</t>
  </si>
  <si>
    <t>技能异常</t>
  </si>
  <si>
    <t>技能喧响</t>
  </si>
  <si>
    <t>强技倍率</t>
  </si>
  <si>
    <t>强技失衡</t>
  </si>
  <si>
    <t>强技耗时</t>
  </si>
  <si>
    <t>强技异常</t>
  </si>
  <si>
    <t>强技喧响</t>
  </si>
  <si>
    <t>弹刀倍率</t>
  </si>
  <si>
    <t>弹刀失衡</t>
  </si>
  <si>
    <t>弹刀耗时</t>
  </si>
  <si>
    <t>弹刀异常</t>
  </si>
  <si>
    <t>弹刀喧响</t>
  </si>
  <si>
    <t>连携失衡</t>
  </si>
  <si>
    <t>连携耗时</t>
  </si>
  <si>
    <t>连携喧响</t>
  </si>
  <si>
    <t>大招倍率</t>
  </si>
  <si>
    <t>大招失衡</t>
  </si>
  <si>
    <t>大招耗时</t>
  </si>
  <si>
    <t>大招异常</t>
  </si>
  <si>
    <t>大招喧响</t>
  </si>
  <si>
    <t>协同倍率</t>
  </si>
  <si>
    <t>协同失衡</t>
  </si>
  <si>
    <t>协同耗时</t>
  </si>
  <si>
    <t>协同异常</t>
  </si>
  <si>
    <t>协同喧响</t>
  </si>
  <si>
    <t>注释</t>
  </si>
  <si>
    <t>治安局</t>
  </si>
  <si>
    <t>强普40--失衡翻倍
发动技伤后30暴击10秒</t>
  </si>
  <si>
    <t>家政</t>
  </si>
  <si>
    <t>普攻蓄力100暴伤（不含）
30冰伤</t>
  </si>
  <si>
    <t>狡兔屋</t>
  </si>
  <si>
    <t>闪反触发全伤60%6秒（未计）
长轴技能35%-&gt;70%</t>
  </si>
  <si>
    <t>小队</t>
  </si>
  <si>
    <t>附魔刀70%
火伤10%--失衡&gt;&gt;22.5%</t>
  </si>
  <si>
    <t>持续锯37.5
失衡期22.5</t>
  </si>
  <si>
    <t>重工</t>
  </si>
  <si>
    <t>40电钻24打桩
5个暴击送0.45感电（未记）</t>
  </si>
  <si>
    <t>失衡易伤80%（未记）
普攻20失衡，600小攻击</t>
  </si>
  <si>
    <t>蓄力失衡80%（已计）
失衡易伤+35%</t>
  </si>
  <si>
    <t>强普技能失衡60%（已计）
失衡连携+70%（未记）</t>
  </si>
  <si>
    <t>落雷特技技能失衡64%
闪反回能</t>
  </si>
  <si>
    <t>卡吕冬</t>
  </si>
  <si>
    <t>30协同伤
75异常效率</t>
  </si>
  <si>
    <t>强击暴击（未记）
35异常效率</t>
  </si>
  <si>
    <t>加E的异常130%
每次强化E，感电18%2层</t>
  </si>
  <si>
    <t>80物理异常效率
全队20增伤（未计）</t>
  </si>
  <si>
    <t>六科</t>
  </si>
  <si>
    <t>20%攻击传递（未计）
满层展旗20%冰伤（未计）</t>
  </si>
  <si>
    <t>穿透（未计）
感电时10电伤（未计）</t>
  </si>
  <si>
    <t>40减防3.5秒（未计）
15以太（未计）</t>
  </si>
  <si>
    <t>继承攻击200%
继承双暴</t>
  </si>
  <si>
    <t>护盾
全队增伤25%（未记）</t>
  </si>
  <si>
    <t>100精通护盾（未记）
强普减异常全抗（未记）</t>
  </si>
  <si>
    <t>战时攻击</t>
  </si>
  <si>
    <t>空列</t>
  </si>
  <si>
    <t>普攻冲击0.7%，30层
全队20增伤（未记）</t>
  </si>
  <si>
    <t>拘缚者</t>
  </si>
  <si>
    <t>普攻招式伤害失衡6%，5层</t>
  </si>
  <si>
    <t>燃狱齿轮</t>
  </si>
  <si>
    <t>强化E后10冲击，2层
（只算1层）</t>
  </si>
  <si>
    <t>德玛拉电池Ⅱ型</t>
  </si>
  <si>
    <t>电伤15；闪反支援18能效</t>
  </si>
  <si>
    <t>左轮转子</t>
  </si>
  <si>
    <t>18秒充能，38.4技能失衡</t>
  </si>
  <si>
    <t>贵重骨核</t>
  </si>
  <si>
    <t>50%血线和75%血线18%失衡（注意覆盖率）</t>
  </si>
  <si>
    <t>每10能量3.2%冲击，最多8层</t>
  </si>
  <si>
    <t>湍流-矢</t>
  </si>
  <si>
    <t>12%失衡</t>
  </si>
  <si>
    <t>15暴击
技能后8次35增伤的普攻</t>
  </si>
  <si>
    <t>25冰伤，普攻/冲刺攻击后各10暴击8/15秒</t>
  </si>
  <si>
    <t>钢铁肉垫</t>
  </si>
  <si>
    <t>20物伤，背刺25
（1/5覆盖率）</t>
  </si>
  <si>
    <t>普攻冲刺闪反叠层3.5%攻击
8层8秒</t>
  </si>
  <si>
    <t>回能；技能3%物伤叠15层
（逐渐叠）</t>
  </si>
  <si>
    <t>旋钻机-赤轴</t>
  </si>
  <si>
    <t>强化E后50电伤10秒</t>
  </si>
  <si>
    <t>鸢尾秘藏</t>
  </si>
  <si>
    <t>9.6%攻；24强化E伤害</t>
  </si>
  <si>
    <t>星徽引擎</t>
  </si>
  <si>
    <t>闪反快支19.2攻，12秒</t>
  </si>
  <si>
    <t>加农转子</t>
  </si>
  <si>
    <t>12攻；33.3附带倍率（未记）</t>
  </si>
  <si>
    <t>回能；技能伤害3.5叠10层6秒</t>
  </si>
  <si>
    <t>36物伤40异常效率</t>
  </si>
  <si>
    <t>12战时攻击
e和强化e后25精通3层</t>
  </si>
  <si>
    <t>强化E时给攻精效，5秒</t>
  </si>
  <si>
    <t>双生泣星</t>
  </si>
  <si>
    <t>每次异常48精通，最多4层
（注意覆盖率）</t>
  </si>
  <si>
    <t>雨林饕客</t>
  </si>
  <si>
    <t>10能量4攻击10层，10秒独立（注意覆盖率）</t>
  </si>
  <si>
    <t>触电唇彩</t>
  </si>
  <si>
    <t>有异常状态敌人，16攻25伤</t>
  </si>
  <si>
    <t>电磁爆-贰</t>
  </si>
  <si>
    <t>40精通10秒，cd20秒</t>
  </si>
  <si>
    <t>全队增伤10-20.2%（未记）</t>
  </si>
  <si>
    <t>造成以太技伤后，挂15增伤debuff（未记）回能提升（算妮可身上）</t>
  </si>
  <si>
    <t>全队2.5%攻4层（未记）</t>
  </si>
  <si>
    <t>15冰伤，强化e全队2%攻击，叠4层12秒（未记）</t>
  </si>
  <si>
    <t>时光切片</t>
  </si>
  <si>
    <t>额外喧响值回能（目前本计算器不记录）</t>
  </si>
  <si>
    <t>逍遥游球</t>
  </si>
  <si>
    <t>触发克制，全队暴击（未记）</t>
  </si>
  <si>
    <t>残响-II</t>
  </si>
  <si>
    <t>强化E和连携，全队16精通和掌控10秒，cd20秒（未记）</t>
  </si>
  <si>
    <t>20能效；全队18增伤12失衡20秒</t>
  </si>
  <si>
    <t>维序者-特化型</t>
  </si>
  <si>
    <t>有护盾40%回能；技能弹刀异常36%</t>
  </si>
  <si>
    <t>生命；受击(含招架)16%冲击</t>
  </si>
  <si>
    <t>4件套效果</t>
  </si>
  <si>
    <t>普攻冲刺技能9%攻击，6秒</t>
  </si>
  <si>
    <t>大招20增伤，大招后15攻（20%覆盖）</t>
  </si>
  <si>
    <t>切前台25%攻击10秒/20秒</t>
  </si>
  <si>
    <t>25%普伤冲伤，异常后翻倍12秒</t>
  </si>
  <si>
    <t>20暴伤，异常后5.5%暴伤6层8秒</t>
  </si>
  <si>
    <t>异常后28%暴击</t>
  </si>
  <si>
    <t>有感电27%攻击</t>
  </si>
  <si>
    <t>异常后35增伤12秒</t>
  </si>
  <si>
    <t>普攻失衡20%</t>
  </si>
  <si>
    <t>连锁后全队15增伤12秒（未记）</t>
  </si>
  <si>
    <t>技能后20%异常减抗（未记）</t>
  </si>
  <si>
    <t>15火电伤；20技能、协同伤</t>
  </si>
  <si>
    <t>15护盾；招架后全队15增伤10秒（未记）</t>
  </si>
  <si>
    <t>灵魂摇滚</t>
  </si>
  <si>
    <t>16防御；减伤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</si>
</sst>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);[Red]\(0\)"/>
  </numFmts>
  <fonts count="44">
    <font>
      <sz val="11"/>
      <color theme="1"/>
      <name val="宋体"/>
      <charset val="134"/>
      <scheme val="minor"/>
    </font>
    <font>
      <sz val="14"/>
      <color theme="1"/>
      <name val="阿里巴巴普惠体"/>
      <charset val="134"/>
    </font>
    <font>
      <sz val="11"/>
      <color theme="1"/>
      <name val="阿里巴巴普惠体"/>
      <charset val="134"/>
    </font>
    <font>
      <sz val="14"/>
      <color rgb="FF000000"/>
      <name val="阿里巴巴普惠体"/>
      <charset val="134"/>
    </font>
    <font>
      <sz val="11"/>
      <color rgb="FF000000"/>
      <name val="阿里巴巴普惠体"/>
      <charset val="134"/>
    </font>
    <font>
      <sz val="14"/>
      <color rgb="FF00B050"/>
      <name val="阿里巴巴普惠体"/>
      <charset val="134"/>
    </font>
    <font>
      <sz val="14"/>
      <color rgb="FFF6328E"/>
      <name val="阿里巴巴普惠体"/>
      <charset val="134"/>
    </font>
    <font>
      <sz val="14"/>
      <name val="阿里巴巴普惠体"/>
      <charset val="134"/>
    </font>
    <font>
      <sz val="14"/>
      <color rgb="FF7030A0"/>
      <name val="阿里巴巴普惠体"/>
      <charset val="134"/>
    </font>
    <font>
      <sz val="14"/>
      <color rgb="FFED7D31"/>
      <name val="阿里巴巴普惠体"/>
      <charset val="134"/>
    </font>
    <font>
      <sz val="14"/>
      <color theme="5"/>
      <name val="阿里巴巴普惠体"/>
      <charset val="134"/>
    </font>
    <font>
      <sz val="14"/>
      <color rgb="FFFF0000"/>
      <name val="阿里巴巴普惠体"/>
      <charset val="134"/>
    </font>
    <font>
      <sz val="14"/>
      <color theme="5" tint="-0.5"/>
      <name val="阿里巴巴普惠体"/>
      <charset val="134"/>
    </font>
    <font>
      <sz val="14"/>
      <color theme="5" tint="0.4"/>
      <name val="阿里巴巴普惠体"/>
      <charset val="134"/>
    </font>
    <font>
      <sz val="14"/>
      <color theme="4" tint="-0.25"/>
      <name val="阿里巴巴普惠体"/>
      <charset val="134"/>
    </font>
    <font>
      <sz val="14"/>
      <color rgb="FFF125EF"/>
      <name val="阿里巴巴普惠体"/>
      <charset val="134"/>
    </font>
    <font>
      <sz val="14"/>
      <color theme="9" tint="-0.25"/>
      <name val="阿里巴巴普惠体"/>
      <charset val="134"/>
    </font>
    <font>
      <sz val="14"/>
      <color theme="5" tint="-0.25"/>
      <name val="阿里巴巴普惠体"/>
      <charset val="134"/>
    </font>
    <font>
      <sz val="14"/>
      <color rgb="FFC00000"/>
      <name val="阿里巴巴普惠体"/>
      <charset val="134"/>
    </font>
    <font>
      <sz val="16"/>
      <color theme="1"/>
      <name val="阿里巴巴普惠体"/>
      <charset val="134"/>
    </font>
    <font>
      <sz val="11"/>
      <color rgb="FFFDFEDD"/>
      <name val="阿里巴巴普惠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阿里巴巴普惠体"/>
      <charset val="134"/>
    </font>
    <font>
      <sz val="12"/>
      <color theme="1"/>
      <name val="阿里巴巴普惠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DFEDD"/>
        <bgColor indexed="64"/>
      </patternFill>
    </fill>
    <fill>
      <patternFill patternType="solid">
        <fgColor rgb="FFFBFD9E"/>
        <bgColor indexed="64"/>
      </patternFill>
    </fill>
    <fill>
      <patternFill patternType="solid">
        <fgColor rgb="FFE5FEEC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D0DDFE"/>
        <bgColor indexed="64"/>
      </patternFill>
    </fill>
    <fill>
      <patternFill patternType="solid">
        <fgColor rgb="FFF5B4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14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34" fillId="12" borderId="16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5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center" vertical="center"/>
    </xf>
    <xf numFmtId="177" fontId="18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9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>
      <alignment horizontal="center" vertical="center" wrapText="1"/>
    </xf>
    <xf numFmtId="176" fontId="3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 wrapText="1"/>
    </xf>
    <xf numFmtId="178" fontId="7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0" fillId="2" borderId="0" xfId="0" applyFont="1" applyFill="1">
      <alignment vertical="center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0" fontId="21" fillId="2" borderId="0" xfId="6" applyFont="1" applyFill="1" applyProtection="1">
      <alignment vertical="center"/>
      <protection locked="0"/>
    </xf>
    <xf numFmtId="0" fontId="22" fillId="2" borderId="0" xfId="6" applyFill="1" applyProtection="1">
      <alignment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9" fontId="1" fillId="3" borderId="0" xfId="0" applyNumberFormat="1" applyFont="1" applyFill="1" applyAlignment="1" applyProtection="1">
      <alignment horizontal="center" vertical="center"/>
      <protection locked="0"/>
    </xf>
    <xf numFmtId="178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horizontal="center" vertical="center"/>
    </xf>
    <xf numFmtId="0" fontId="19" fillId="2" borderId="1" xfId="0" applyFont="1" applyFill="1" applyBorder="1" applyAlignment="1" applyProtection="1">
      <alignment horizontal="center" vertical="center"/>
    </xf>
    <xf numFmtId="0" fontId="19" fillId="2" borderId="2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0" fontId="23" fillId="2" borderId="8" xfId="0" applyFont="1" applyFill="1" applyBorder="1" applyAlignment="1" applyProtection="1">
      <alignment horizontal="center" vertical="center" wrapText="1"/>
    </xf>
    <xf numFmtId="0" fontId="24" fillId="2" borderId="9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177" fontId="1" fillId="2" borderId="4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19" fillId="2" borderId="7" xfId="0" applyFont="1" applyFill="1" applyBorder="1" applyAlignment="1" applyProtection="1">
      <alignment horizontal="center" vertical="center"/>
    </xf>
    <xf numFmtId="0" fontId="24" fillId="2" borderId="10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178" fontId="1" fillId="2" borderId="4" xfId="0" applyNumberFormat="1" applyFont="1" applyFill="1" applyBorder="1" applyAlignment="1" applyProtection="1">
      <alignment horizontal="center" vertical="center"/>
      <protection locked="0"/>
    </xf>
    <xf numFmtId="177" fontId="1" fillId="4" borderId="3" xfId="0" applyNumberFormat="1" applyFont="1" applyFill="1" applyBorder="1" applyAlignment="1" applyProtection="1">
      <alignment horizontal="center" vertical="center"/>
      <protection locked="0"/>
    </xf>
    <xf numFmtId="177" fontId="1" fillId="5" borderId="3" xfId="0" applyNumberFormat="1" applyFont="1" applyFill="1" applyBorder="1" applyAlignment="1" applyProtection="1">
      <alignment horizontal="center" vertical="center"/>
      <protection locked="0"/>
    </xf>
    <xf numFmtId="177" fontId="1" fillId="6" borderId="3" xfId="0" applyNumberFormat="1" applyFont="1" applyFill="1" applyBorder="1" applyAlignment="1" applyProtection="1">
      <alignment horizontal="center" vertical="center"/>
      <protection locked="0"/>
    </xf>
    <xf numFmtId="177" fontId="1" fillId="7" borderId="3" xfId="0" applyNumberFormat="1" applyFont="1" applyFill="1" applyBorder="1" applyAlignment="1" applyProtection="1">
      <alignment horizontal="center" vertical="center"/>
      <protection locked="0"/>
    </xf>
    <xf numFmtId="177" fontId="1" fillId="8" borderId="3" xfId="0" applyNumberFormat="1" applyFont="1" applyFill="1" applyBorder="1" applyAlignment="1" applyProtection="1">
      <alignment horizontal="center" vertical="center"/>
      <protection locked="0"/>
    </xf>
    <xf numFmtId="177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177" fontId="1" fillId="3" borderId="4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color rgb="FFFDFEDD"/>
      </font>
    </dxf>
    <dxf>
      <font>
        <color rgb="FFE5FEEC"/>
      </font>
    </dxf>
    <dxf>
      <font>
        <color rgb="FFFEDAC4"/>
      </font>
    </dxf>
    <dxf>
      <font>
        <color rgb="FFD0DDFE"/>
      </font>
    </dxf>
    <dxf>
      <font>
        <color rgb="FFF5B4FE"/>
      </font>
    </dxf>
    <dxf>
      <font>
        <color rgb="FFF9FCFE"/>
      </font>
    </dxf>
    <dxf>
      <font>
        <strike val="0"/>
        <color theme="9" tint="-0.25"/>
      </font>
    </dxf>
    <dxf>
      <font>
        <strike val="0"/>
        <color rgb="FF7030A0"/>
      </font>
    </dxf>
    <dxf>
      <font>
        <strike val="0"/>
        <color rgb="FFFE76C4"/>
      </font>
    </dxf>
    <dxf>
      <font>
        <strike val="0"/>
        <color theme="9" tint="0.4"/>
      </font>
    </dxf>
    <dxf>
      <font>
        <strike val="0"/>
        <color theme="4"/>
      </font>
    </dxf>
    <dxf>
      <font>
        <strike val="0"/>
        <color rgb="FFC00000"/>
      </font>
    </dxf>
  </dxfs>
  <tableStyles count="0" defaultTableStyle="TableStyleMedium2" defaultPivotStyle="PivotStyleLight16"/>
  <colors>
    <mruColors>
      <color rgb="00E5C5B1"/>
      <color rgb="00FE76C4"/>
      <color rgb="00FEDAC4"/>
      <color rgb="00D0DDFE"/>
      <color rgb="00F5B4FE"/>
      <color rgb="00F9FCFE"/>
      <color rgb="00EF399C"/>
      <color rgb="00EF6839"/>
      <color rgb="00F6328E"/>
      <color rgb="00FDFE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51</xdr:col>
      <xdr:colOff>58420</xdr:colOff>
      <xdr:row>6</xdr:row>
      <xdr:rowOff>86360</xdr:rowOff>
    </xdr:from>
    <xdr:to>
      <xdr:col>64</xdr:col>
      <xdr:colOff>25400</xdr:colOff>
      <xdr:row>7</xdr:row>
      <xdr:rowOff>7620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24730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70</xdr:col>
      <xdr:colOff>58420</xdr:colOff>
      <xdr:row>6</xdr:row>
      <xdr:rowOff>86360</xdr:rowOff>
    </xdr:from>
    <xdr:to>
      <xdr:col>83</xdr:col>
      <xdr:colOff>25400</xdr:colOff>
      <xdr:row>7</xdr:row>
      <xdr:rowOff>7620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20002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89</xdr:col>
      <xdr:colOff>58420</xdr:colOff>
      <xdr:row>6</xdr:row>
      <xdr:rowOff>86360</xdr:rowOff>
    </xdr:from>
    <xdr:to>
      <xdr:col>102</xdr:col>
      <xdr:colOff>25400</xdr:colOff>
      <xdr:row>7</xdr:row>
      <xdr:rowOff>7620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15274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108</xdr:col>
      <xdr:colOff>58420</xdr:colOff>
      <xdr:row>6</xdr:row>
      <xdr:rowOff>86360</xdr:rowOff>
    </xdr:from>
    <xdr:to>
      <xdr:col>121</xdr:col>
      <xdr:colOff>25400</xdr:colOff>
      <xdr:row>7</xdr:row>
      <xdr:rowOff>7620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54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127</xdr:col>
      <xdr:colOff>58420</xdr:colOff>
      <xdr:row>6</xdr:row>
      <xdr:rowOff>86360</xdr:rowOff>
    </xdr:from>
    <xdr:to>
      <xdr:col>140</xdr:col>
      <xdr:colOff>25400</xdr:colOff>
      <xdr:row>7</xdr:row>
      <xdr:rowOff>7620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05818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15875</xdr:colOff>
      <xdr:row>6</xdr:row>
      <xdr:rowOff>45720</xdr:rowOff>
    </xdr:from>
    <xdr:to>
      <xdr:col>39</xdr:col>
      <xdr:colOff>905510</xdr:colOff>
      <xdr:row>6</xdr:row>
      <xdr:rowOff>492125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196915" y="3398520"/>
          <a:ext cx="6558915" cy="446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9412490" TargetMode="External"/><Relationship Id="rId1" Type="http://schemas.openxmlformats.org/officeDocument/2006/relationships/hyperlink" Target="https://github.com/AmicBeam/ZzzCloudTea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4"/>
  <sheetViews>
    <sheetView zoomScale="90" zoomScaleNormal="90" topLeftCell="A2" workbookViewId="0">
      <selection activeCell="K5" sqref="K5"/>
    </sheetView>
  </sheetViews>
  <sheetFormatPr defaultColWidth="13.7777777777778" defaultRowHeight="44" customHeight="1"/>
  <cols>
    <col min="1" max="4" width="11.4814814814815" style="44" customWidth="1"/>
    <col min="5" max="15" width="13.7777777777778" style="44" customWidth="1"/>
    <col min="16" max="17" width="11.4814814814815" style="44" customWidth="1"/>
    <col min="18" max="16384" width="13.7777777777778" style="44"/>
  </cols>
  <sheetData>
    <row r="2" s="82" customFormat="1" ht="58" customHeight="1" spans="2:15">
      <c r="B2" s="44" t="s">
        <v>0</v>
      </c>
      <c r="C2" s="44" t="s">
        <v>1</v>
      </c>
      <c r="D2" s="44" t="s">
        <v>2</v>
      </c>
      <c r="E2" s="83" t="s">
        <v>3</v>
      </c>
      <c r="F2" s="84"/>
      <c r="G2" s="84"/>
      <c r="H2" s="84"/>
      <c r="I2" s="84"/>
      <c r="J2" s="84"/>
      <c r="K2" s="84"/>
      <c r="L2" s="84"/>
      <c r="M2" s="84"/>
      <c r="N2" s="84"/>
      <c r="O2" s="103"/>
    </row>
    <row r="3" ht="42" customHeight="1" spans="2:15">
      <c r="B3" s="85">
        <v>60</v>
      </c>
      <c r="C3" s="85">
        <v>70</v>
      </c>
      <c r="D3" s="85" t="s">
        <v>4</v>
      </c>
      <c r="E3" s="86" t="s">
        <v>5</v>
      </c>
      <c r="F3" s="87"/>
      <c r="G3" s="87"/>
      <c r="H3" s="87"/>
      <c r="I3" s="87"/>
      <c r="J3" s="87"/>
      <c r="K3" s="87"/>
      <c r="L3" s="87"/>
      <c r="M3" s="87"/>
      <c r="N3" s="87"/>
      <c r="O3" s="104"/>
    </row>
    <row r="4" customHeight="1" spans="1:17">
      <c r="A4" s="44" t="s">
        <v>6</v>
      </c>
      <c r="B4" s="44" t="s">
        <v>7</v>
      </c>
      <c r="C4" s="44" t="s">
        <v>8</v>
      </c>
      <c r="D4" s="44" t="s">
        <v>9</v>
      </c>
      <c r="E4" s="88" t="s">
        <v>10</v>
      </c>
      <c r="F4" s="88" t="s">
        <v>11</v>
      </c>
      <c r="G4" s="88" t="s">
        <v>12</v>
      </c>
      <c r="H4" s="89" t="s">
        <v>13</v>
      </c>
      <c r="I4" s="88" t="s">
        <v>14</v>
      </c>
      <c r="J4" s="88" t="s">
        <v>15</v>
      </c>
      <c r="K4" s="88" t="s">
        <v>16</v>
      </c>
      <c r="L4" s="88" t="s">
        <v>17</v>
      </c>
      <c r="M4" s="88" t="s">
        <v>18</v>
      </c>
      <c r="N4" s="88" t="s">
        <v>19</v>
      </c>
      <c r="O4" s="88" t="s">
        <v>20</v>
      </c>
      <c r="P4" s="105" t="s">
        <v>21</v>
      </c>
      <c r="Q4" s="44" t="s">
        <v>22</v>
      </c>
    </row>
    <row r="5" customHeight="1" spans="1:17">
      <c r="A5" s="81">
        <f>计算!AH4</f>
        <v>3693.92</v>
      </c>
      <c r="B5" s="90">
        <f>计算!AF4</f>
        <v>0.82</v>
      </c>
      <c r="C5" s="90">
        <f>计算!AG4</f>
        <v>2.546</v>
      </c>
      <c r="D5" s="81">
        <f>计算!AE4</f>
        <v>90</v>
      </c>
      <c r="E5" s="91" t="s">
        <v>23</v>
      </c>
      <c r="F5" s="92" t="str">
        <f>计算!E4</f>
        <v>以太</v>
      </c>
      <c r="G5" s="92" t="str">
        <f>计算!F4</f>
        <v>治安局</v>
      </c>
      <c r="H5" s="93" t="str">
        <f>计算!G4</f>
        <v>防爆者VI型</v>
      </c>
      <c r="I5" s="106">
        <f>计算!AP4</f>
        <v>3824.315376</v>
      </c>
      <c r="J5" s="99">
        <f>计算!AT4</f>
        <v>0</v>
      </c>
      <c r="K5" s="91"/>
      <c r="L5" s="91"/>
      <c r="M5" s="91"/>
      <c r="N5" s="91"/>
      <c r="O5" s="91"/>
      <c r="P5" s="85"/>
      <c r="Q5" s="81">
        <f>计算!AR4</f>
        <v>23737.12992</v>
      </c>
    </row>
    <row r="6" customHeight="1" spans="1:17">
      <c r="A6" s="81">
        <f>计算!AH5</f>
        <v>2494.56</v>
      </c>
      <c r="B6" s="90">
        <f>计算!AF5</f>
        <v>0.53</v>
      </c>
      <c r="C6" s="90">
        <f>计算!AG5</f>
        <v>0.98</v>
      </c>
      <c r="D6" s="81">
        <f>计算!AE5</f>
        <v>195.96</v>
      </c>
      <c r="E6" s="91" t="s">
        <v>24</v>
      </c>
      <c r="F6" s="92" t="str">
        <f>计算!E5</f>
        <v>电</v>
      </c>
      <c r="G6" s="92" t="str">
        <f>计算!F5</f>
        <v>治安局</v>
      </c>
      <c r="H6" s="93" t="str">
        <f>计算!G5</f>
        <v>玉壶青冰</v>
      </c>
      <c r="I6" s="106">
        <f>计算!AP5</f>
        <v>3481.38</v>
      </c>
      <c r="J6" s="99">
        <f>计算!AT5</f>
        <v>0</v>
      </c>
      <c r="K6" s="91"/>
      <c r="L6" s="91"/>
      <c r="M6" s="91"/>
      <c r="N6" s="91"/>
      <c r="O6" s="91"/>
      <c r="P6" s="85"/>
      <c r="Q6" s="81">
        <f>计算!AR5</f>
        <v>12532.968</v>
      </c>
    </row>
    <row r="7" customHeight="1" spans="1:17">
      <c r="A7" s="81">
        <f>计算!AH6</f>
        <v>2583.72</v>
      </c>
      <c r="B7" s="90">
        <f>计算!AF6</f>
        <v>0.53</v>
      </c>
      <c r="C7" s="90">
        <f>计算!AG6</f>
        <v>0.98</v>
      </c>
      <c r="D7" s="81">
        <f>计算!AE6</f>
        <v>88</v>
      </c>
      <c r="E7" s="91" t="s">
        <v>25</v>
      </c>
      <c r="F7" s="94" t="str">
        <f>计算!E6</f>
        <v>以太</v>
      </c>
      <c r="G7" s="94" t="str">
        <f>计算!F6</f>
        <v>狡兔屋</v>
      </c>
      <c r="H7" s="95" t="str">
        <f>计算!G6</f>
        <v>聚宝箱</v>
      </c>
      <c r="I7" s="106">
        <f>计算!AP6</f>
        <v>2672.6774796</v>
      </c>
      <c r="J7" s="99">
        <f>计算!AT6</f>
        <v>0</v>
      </c>
      <c r="K7" s="91"/>
      <c r="L7" s="91"/>
      <c r="M7" s="91"/>
      <c r="N7" s="91"/>
      <c r="O7" s="91"/>
      <c r="P7" s="85"/>
      <c r="Q7" s="81">
        <f>计算!AR6</f>
        <v>16589.032632</v>
      </c>
    </row>
    <row r="8" customHeight="1" spans="5:15">
      <c r="E8" s="96" t="s">
        <v>26</v>
      </c>
      <c r="F8" s="97"/>
      <c r="G8" s="98"/>
      <c r="H8" s="98"/>
      <c r="I8" s="98"/>
      <c r="J8" s="98"/>
      <c r="K8" s="99">
        <f>计算!AU15</f>
        <v>0</v>
      </c>
      <c r="L8" s="99">
        <f>计算!BN15</f>
        <v>0</v>
      </c>
      <c r="M8" s="99">
        <f>计算!CG15</f>
        <v>0</v>
      </c>
      <c r="N8" s="99">
        <f>计算!CZ15</f>
        <v>0</v>
      </c>
      <c r="O8" s="99">
        <f>计算!DS15</f>
        <v>0</v>
      </c>
    </row>
    <row r="9" customHeight="1" spans="5:15">
      <c r="E9" s="96" t="s">
        <v>27</v>
      </c>
      <c r="F9" s="97"/>
      <c r="G9" s="98"/>
      <c r="H9" s="98"/>
      <c r="I9" s="98"/>
      <c r="J9" s="98"/>
      <c r="K9" s="99">
        <f>计算!AU16</f>
        <v>0</v>
      </c>
      <c r="L9" s="99">
        <f>计算!BN16</f>
        <v>0</v>
      </c>
      <c r="M9" s="99">
        <f>计算!CG16</f>
        <v>0</v>
      </c>
      <c r="N9" s="99">
        <f>计算!CZ16</f>
        <v>0</v>
      </c>
      <c r="O9" s="99">
        <f>计算!DS16</f>
        <v>0</v>
      </c>
    </row>
    <row r="10" customHeight="1" spans="5:15">
      <c r="E10" s="96" t="s">
        <v>28</v>
      </c>
      <c r="F10" s="97"/>
      <c r="G10" s="98"/>
      <c r="H10" s="98"/>
      <c r="I10" s="98"/>
      <c r="J10" s="98"/>
      <c r="K10" s="99">
        <f>计算!AU17</f>
        <v>0</v>
      </c>
      <c r="L10" s="99">
        <f>计算!BN17</f>
        <v>0</v>
      </c>
      <c r="M10" s="99">
        <f>计算!CG17</f>
        <v>0</v>
      </c>
      <c r="N10" s="99">
        <f>计算!CZ17</f>
        <v>0</v>
      </c>
      <c r="O10" s="99">
        <f>计算!DS17</f>
        <v>0</v>
      </c>
    </row>
    <row r="11" customHeight="1" spans="5:15">
      <c r="E11" s="88" t="s">
        <v>29</v>
      </c>
      <c r="F11" s="99">
        <f>ROUND(计算!DS18,0)</f>
        <v>0</v>
      </c>
      <c r="G11" s="88" t="s">
        <v>30</v>
      </c>
      <c r="H11" s="99">
        <f>计算!AS4+计算!AS5+计算!AS6</f>
        <v>0</v>
      </c>
      <c r="I11" s="88" t="s">
        <v>31</v>
      </c>
      <c r="J11" s="88"/>
      <c r="K11" s="107">
        <f>计算!BF14+计算!BY14+计算!CR14+计算!DK14+计算!ED14</f>
        <v>0</v>
      </c>
      <c r="L11" s="108">
        <f>计算!BG14+计算!BZ14+计算!CS14+计算!DL14+计算!EE14</f>
        <v>0</v>
      </c>
      <c r="M11" s="109">
        <f>计算!BH14+计算!CA14+计算!CT14+计算!DM14+计算!EF14</f>
        <v>0</v>
      </c>
      <c r="N11" s="110">
        <f>计算!BI14+计算!CB14+计算!CU14+计算!DN14+计算!EG14</f>
        <v>0</v>
      </c>
      <c r="O11" s="111">
        <f>计算!BJ14+计算!CC14+计算!CV14+计算!DO14+计算!EH14</f>
        <v>0</v>
      </c>
    </row>
    <row r="12" customHeight="1" spans="5:15">
      <c r="E12" s="88" t="s">
        <v>32</v>
      </c>
      <c r="F12" s="99">
        <f>IF($O$8&lt;&gt;0,ROUND(F11/$O$8,0),0)</f>
        <v>0</v>
      </c>
      <c r="G12" s="88" t="s">
        <v>33</v>
      </c>
      <c r="H12" s="99">
        <f>IF($O$8&lt;&gt;0,ROUND(H11/$O$8,0),0)</f>
        <v>0</v>
      </c>
      <c r="I12" s="88" t="s">
        <v>34</v>
      </c>
      <c r="J12" s="88"/>
      <c r="K12" s="107">
        <f>IF($O$8&lt;&gt;0,ROUND(K11/$O$8,0),0)</f>
        <v>0</v>
      </c>
      <c r="L12" s="108">
        <f>IF($O$8&lt;&gt;0,ROUND(L11/$O$8,0),0)</f>
        <v>0</v>
      </c>
      <c r="M12" s="109">
        <f>IF($O$8&lt;&gt;0,ROUND(M11/$O$8,0),0)</f>
        <v>0</v>
      </c>
      <c r="N12" s="110">
        <f>IF($O$8&lt;&gt;0,ROUND(N11/$O$8,0),0)</f>
        <v>0</v>
      </c>
      <c r="O12" s="111">
        <f>IF($O$8&lt;&gt;0,ROUND(O11/$O$8,0),0)</f>
        <v>0</v>
      </c>
    </row>
    <row r="13" customHeight="1" spans="5:15">
      <c r="E13" s="100"/>
      <c r="F13" s="101"/>
      <c r="G13" s="102" t="s">
        <v>35</v>
      </c>
      <c r="H13" s="102"/>
      <c r="I13" s="112" t="s">
        <v>36</v>
      </c>
      <c r="J13" s="113"/>
      <c r="K13" s="114"/>
      <c r="L13" s="114"/>
      <c r="M13" s="114"/>
      <c r="N13" s="114"/>
      <c r="O13" s="114"/>
    </row>
    <row r="14" customHeight="1" spans="5:15">
      <c r="E14" s="100"/>
      <c r="F14" s="101"/>
      <c r="G14" s="102" t="s">
        <v>37</v>
      </c>
      <c r="H14" s="102"/>
      <c r="I14" s="112" t="s">
        <v>36</v>
      </c>
      <c r="J14" s="113"/>
      <c r="K14" s="114"/>
      <c r="L14" s="114"/>
      <c r="M14" s="114"/>
      <c r="N14" s="114"/>
      <c r="O14" s="114"/>
    </row>
    <row r="15" customHeight="1" spans="5:15">
      <c r="E15" s="100"/>
      <c r="F15" s="101"/>
      <c r="G15" s="102" t="s">
        <v>38</v>
      </c>
      <c r="H15" s="102"/>
      <c r="I15" s="112" t="s">
        <v>36</v>
      </c>
      <c r="J15" s="113"/>
      <c r="K15" s="114"/>
      <c r="L15" s="114"/>
      <c r="M15" s="114"/>
      <c r="N15" s="114"/>
      <c r="O15" s="114"/>
    </row>
    <row r="16" customHeight="1" spans="5:15">
      <c r="E16" s="100"/>
      <c r="F16" s="101"/>
      <c r="G16" s="102" t="s">
        <v>39</v>
      </c>
      <c r="H16" s="102"/>
      <c r="I16" s="112" t="s">
        <v>36</v>
      </c>
      <c r="J16" s="113"/>
      <c r="K16" s="114"/>
      <c r="L16" s="114"/>
      <c r="M16" s="114"/>
      <c r="N16" s="114"/>
      <c r="O16" s="114"/>
    </row>
    <row r="17" customHeight="1" spans="5:15">
      <c r="E17" s="100"/>
      <c r="F17" s="101"/>
      <c r="G17" s="102" t="s">
        <v>40</v>
      </c>
      <c r="H17" s="102"/>
      <c r="I17" s="112" t="s">
        <v>36</v>
      </c>
      <c r="J17" s="113"/>
      <c r="K17" s="114"/>
      <c r="L17" s="114"/>
      <c r="M17" s="114"/>
      <c r="N17" s="114"/>
      <c r="O17" s="114"/>
    </row>
    <row r="18" customHeight="1" spans="5:15"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</row>
    <row r="19" customHeight="1" spans="5:15"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</row>
    <row r="20" customHeight="1" spans="5:15"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</row>
    <row r="21" customHeight="1" spans="5:15"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</row>
    <row r="22" customHeight="1" spans="5:15"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</row>
    <row r="23" customHeight="1" spans="5:15"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</row>
    <row r="24" customHeight="1" spans="5:15"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</row>
  </sheetData>
  <sheetProtection password="C7C9" sheet="1" selectLockedCells="1" formatCells="0" formatColumns="0" insertHyperlinks="0" autoFilter="0" objects="1"/>
  <protectedRanges>
    <protectedRange sqref="K8:O12 I18" name="区域2"/>
    <protectedRange sqref="A5:E5 E6 E7" name="区域1"/>
  </protectedRanges>
  <mergeCells count="12">
    <mergeCell ref="E2:O2"/>
    <mergeCell ref="E3:O3"/>
    <mergeCell ref="E8:J8"/>
    <mergeCell ref="E9:J9"/>
    <mergeCell ref="E10:J10"/>
    <mergeCell ref="I11:J11"/>
    <mergeCell ref="I12:J12"/>
    <mergeCell ref="G13:H13"/>
    <mergeCell ref="G14:H14"/>
    <mergeCell ref="G15:H15"/>
    <mergeCell ref="G16:H16"/>
    <mergeCell ref="G17:H17"/>
  </mergeCells>
  <conditionalFormatting sqref="F11">
    <cfRule type="cellIs" dxfId="0" priority="17" operator="equal">
      <formula>0</formula>
    </cfRule>
  </conditionalFormatting>
  <conditionalFormatting sqref="H11">
    <cfRule type="cellIs" dxfId="0" priority="6" operator="equal">
      <formula>0</formula>
    </cfRule>
  </conditionalFormatting>
  <conditionalFormatting sqref="K11">
    <cfRule type="cellIs" dxfId="1" priority="15" operator="equal">
      <formula>0</formula>
    </cfRule>
  </conditionalFormatting>
  <conditionalFormatting sqref="F12">
    <cfRule type="cellIs" dxfId="0" priority="16" operator="equal">
      <formula>0</formula>
    </cfRule>
  </conditionalFormatting>
  <conditionalFormatting sqref="H12">
    <cfRule type="cellIs" dxfId="0" priority="5" operator="equal">
      <formula>0</formula>
    </cfRule>
  </conditionalFormatting>
  <conditionalFormatting sqref="K12">
    <cfRule type="cellIs" dxfId="1" priority="14" operator="equal">
      <formula>0</formula>
    </cfRule>
  </conditionalFormatting>
  <conditionalFormatting sqref="A5:A7">
    <cfRule type="cellIs" dxfId="0" priority="2" operator="equal">
      <formula>0</formula>
    </cfRule>
  </conditionalFormatting>
  <conditionalFormatting sqref="D5:D7">
    <cfRule type="cellIs" dxfId="0" priority="1" operator="equal">
      <formula>0</formula>
    </cfRule>
  </conditionalFormatting>
  <conditionalFormatting sqref="I5:I7">
    <cfRule type="cellIs" dxfId="0" priority="18" operator="equal">
      <formula>0</formula>
    </cfRule>
  </conditionalFormatting>
  <conditionalFormatting sqref="J5:J7">
    <cfRule type="cellIs" dxfId="0" priority="9" operator="equal">
      <formula>0</formula>
    </cfRule>
  </conditionalFormatting>
  <conditionalFormatting sqref="K8:K10">
    <cfRule type="cellIs" dxfId="0" priority="51" operator="equal">
      <formula>0</formula>
    </cfRule>
  </conditionalFormatting>
  <conditionalFormatting sqref="L8:L10">
    <cfRule type="cellIs" dxfId="0" priority="47" operator="equal">
      <formula>0</formula>
    </cfRule>
  </conditionalFormatting>
  <conditionalFormatting sqref="L11:L12">
    <cfRule type="cellIs" dxfId="2" priority="13" operator="equal">
      <formula>0</formula>
    </cfRule>
  </conditionalFormatting>
  <conditionalFormatting sqref="M8:M10">
    <cfRule type="cellIs" dxfId="0" priority="39" operator="equal">
      <formula>0</formula>
    </cfRule>
  </conditionalFormatting>
  <conditionalFormatting sqref="M11:M12">
    <cfRule type="cellIs" dxfId="3" priority="12" operator="equal">
      <formula>0</formula>
    </cfRule>
  </conditionalFormatting>
  <conditionalFormatting sqref="N8:N10">
    <cfRule type="cellIs" dxfId="0" priority="31" operator="equal">
      <formula>0</formula>
    </cfRule>
  </conditionalFormatting>
  <conditionalFormatting sqref="N11:N12">
    <cfRule type="cellIs" dxfId="4" priority="11" operator="equal">
      <formula>0</formula>
    </cfRule>
  </conditionalFormatting>
  <conditionalFormatting sqref="O8:O10">
    <cfRule type="cellIs" dxfId="0" priority="23" operator="equal">
      <formula>0</formula>
    </cfRule>
  </conditionalFormatting>
  <conditionalFormatting sqref="O11:O12">
    <cfRule type="cellIs" dxfId="5" priority="10" operator="equal">
      <formula>0</formula>
    </cfRule>
  </conditionalFormatting>
  <conditionalFormatting sqref="Q5:Q7">
    <cfRule type="cellIs" dxfId="0" priority="4" operator="equal">
      <formula>0</formula>
    </cfRule>
  </conditionalFormatting>
  <dataValidations count="8">
    <dataValidation type="whole" operator="between" showInputMessage="1" showErrorMessage="1" sqref="B3">
      <formula1>0</formula1>
      <formula2>60</formula2>
    </dataValidation>
    <dataValidation type="whole" operator="between" showInputMessage="1" showErrorMessage="1" sqref="C3">
      <formula1>0</formula1>
      <formula2>70</formula2>
    </dataValidation>
    <dataValidation type="list" allowBlank="1" showInputMessage="1" showErrorMessage="1" sqref="D3">
      <formula1>"普通,精英,首领"</formula1>
    </dataValidation>
    <dataValidation type="list" allowBlank="1" showErrorMessage="1" errorTitle="错误提示" error="请输入下拉列表中的值" sqref="E5:E7" errorStyle="information">
      <formula1>角色!$F$3:$F$25</formula1>
    </dataValidation>
    <dataValidation type="list" allowBlank="1" showInputMessage="1" showErrorMessage="1" sqref="I13:I17">
      <formula1>数值!$AF$2:$AF$17</formula1>
    </dataValidation>
    <dataValidation type="whole" operator="between" allowBlank="1" showInputMessage="1" showErrorMessage="1" sqref="P5:P7">
      <formula1>0</formula1>
      <formula2>15</formula2>
    </dataValidation>
    <dataValidation type="list" allowBlank="1" showErrorMessage="1" errorTitle="错误提示" error="请输入下拉列表中的值" sqref="K5:O7" errorStyle="information">
      <formula1>数值!$F$2:$F$15</formula1>
    </dataValidation>
    <dataValidation type="list" allowBlank="1" showInputMessage="1" showErrorMessage="1" sqref="K13:O17">
      <formula1>数值!$Q$2:$Q$37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80" zoomScaleNormal="80" topLeftCell="A2" workbookViewId="0">
      <pane xSplit="1" ySplit="1" topLeftCell="B3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44" customHeight="1"/>
  <cols>
    <col min="1" max="1" width="13.7777777777778" style="1" customWidth="1"/>
    <col min="2" max="2" width="13.7777777777778" style="1" hidden="1" customWidth="1"/>
    <col min="3" max="3" width="13.7777777777778" style="4" customWidth="1"/>
    <col min="4" max="4" width="13.7777777777778" style="1" customWidth="1"/>
    <col min="5" max="5" width="35.2222222222222" style="7" customWidth="1"/>
    <col min="6" max="7" width="13.7777777777778" style="1" customWidth="1"/>
    <col min="8" max="8" width="30.2222222222222" style="4" customWidth="1"/>
    <col min="9" max="9" width="13.7777777777778" style="1" customWidth="1"/>
    <col min="10" max="18" width="11.7777777777778" style="1" customWidth="1"/>
    <col min="19" max="21" width="13.7777777777778" style="1" customWidth="1"/>
  </cols>
  <sheetData>
    <row r="1" customHeight="1" spans="1:18">
      <c r="A1" s="1">
        <f>COLUMN()</f>
        <v>1</v>
      </c>
      <c r="B1" s="1">
        <v>2</v>
      </c>
      <c r="C1" s="4">
        <f t="shared" ref="C1:R1" si="0">COLUMN()</f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</row>
    <row r="2" customHeight="1" spans="1:18">
      <c r="A2" s="1" t="s">
        <v>41</v>
      </c>
      <c r="B2" s="1" t="s">
        <v>42</v>
      </c>
      <c r="C2" s="4" t="s">
        <v>43</v>
      </c>
      <c r="D2" s="1" t="s">
        <v>44</v>
      </c>
      <c r="E2" s="1" t="s">
        <v>45</v>
      </c>
      <c r="F2" s="1" t="s">
        <v>46</v>
      </c>
      <c r="G2" s="1" t="s">
        <v>44</v>
      </c>
      <c r="H2" s="4" t="s">
        <v>45</v>
      </c>
      <c r="I2" s="1" t="s">
        <v>47</v>
      </c>
      <c r="J2" s="1" t="s">
        <v>48</v>
      </c>
      <c r="K2" s="1" t="s">
        <v>49</v>
      </c>
      <c r="L2" s="1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</row>
    <row r="3" customHeight="1" spans="1:18">
      <c r="A3" s="1" t="s">
        <v>23</v>
      </c>
      <c r="B3" s="1" t="s">
        <v>57</v>
      </c>
      <c r="C3" s="79" t="s">
        <v>58</v>
      </c>
      <c r="D3" s="80">
        <v>1</v>
      </c>
      <c r="E3" s="2" t="str">
        <f>VLOOKUP(C3,音擎!$A$2:$K$37,音擎!$K$1,FALSE)</f>
        <v>15暴击
技能后8次35增伤的普攻</v>
      </c>
      <c r="F3" s="80" t="s">
        <v>59</v>
      </c>
      <c r="G3" s="80">
        <v>0.6</v>
      </c>
      <c r="H3" s="2" t="str">
        <f>VLOOKUP(F3,驱动盘!$A$2:$X$17,驱动盘!$J$1,FALSE)</f>
        <v>20暴伤，异常后5.5%暴伤6层8秒</v>
      </c>
      <c r="I3" s="80" t="s">
        <v>60</v>
      </c>
      <c r="J3" s="80" t="s">
        <v>61</v>
      </c>
      <c r="K3" s="80" t="s">
        <v>62</v>
      </c>
      <c r="L3" s="80" t="s">
        <v>62</v>
      </c>
      <c r="M3" s="81">
        <v>10</v>
      </c>
      <c r="N3" s="81">
        <v>10</v>
      </c>
      <c r="O3" s="81">
        <v>8</v>
      </c>
      <c r="P3" s="81">
        <v>0</v>
      </c>
      <c r="Q3" s="81">
        <v>0</v>
      </c>
      <c r="R3" s="81">
        <v>0</v>
      </c>
    </row>
    <row r="4" customHeight="1" spans="1:18">
      <c r="A4" s="1" t="s">
        <v>63</v>
      </c>
      <c r="B4" s="1" t="s">
        <v>57</v>
      </c>
      <c r="C4" s="79" t="s">
        <v>64</v>
      </c>
      <c r="D4" s="80">
        <v>1</v>
      </c>
      <c r="E4" s="2" t="str">
        <f>VLOOKUP(C4,音擎!$A$2:$K$37,音擎!$K$1,FALSE)</f>
        <v>25冰伤，普攻/冲刺攻击后各10暴击8/15秒</v>
      </c>
      <c r="F4" s="80" t="s">
        <v>65</v>
      </c>
      <c r="G4" s="80">
        <v>0.75</v>
      </c>
      <c r="H4" s="2" t="str">
        <f>VLOOKUP(F4,驱动盘!$A$2:$X$17,驱动盘!$J$1,FALSE)</f>
        <v>25%普伤冲伤，异常后翻倍12秒</v>
      </c>
      <c r="I4" s="80" t="s">
        <v>66</v>
      </c>
      <c r="J4" s="80" t="s">
        <v>61</v>
      </c>
      <c r="K4" s="80" t="s">
        <v>67</v>
      </c>
      <c r="L4" s="80" t="s">
        <v>62</v>
      </c>
      <c r="M4" s="81">
        <v>10</v>
      </c>
      <c r="N4" s="81">
        <v>10</v>
      </c>
      <c r="O4" s="81">
        <v>8</v>
      </c>
      <c r="P4" s="81">
        <v>0</v>
      </c>
      <c r="Q4" s="81">
        <v>0</v>
      </c>
      <c r="R4" s="81">
        <v>0</v>
      </c>
    </row>
    <row r="5" customHeight="1" spans="1:18">
      <c r="A5" s="1" t="s">
        <v>68</v>
      </c>
      <c r="B5" s="1" t="s">
        <v>57</v>
      </c>
      <c r="C5" s="79" t="s">
        <v>69</v>
      </c>
      <c r="D5" s="80">
        <v>1</v>
      </c>
      <c r="E5" s="2" t="str">
        <f>VLOOKUP(C5,音擎!$A$2:$K$37,音擎!$K$1,FALSE)</f>
        <v>普攻冲刺闪反叠层3.5%攻击
8层8秒</v>
      </c>
      <c r="F5" s="80" t="s">
        <v>70</v>
      </c>
      <c r="G5" s="80">
        <v>0.5</v>
      </c>
      <c r="H5" s="2" t="str">
        <f>VLOOKUP(F5,驱动盘!$A$2:$X$17,驱动盘!$J$1,FALSE)</f>
        <v>切前台25%攻击10秒/20秒</v>
      </c>
      <c r="I5" s="80" t="s">
        <v>71</v>
      </c>
      <c r="J5" s="80" t="s">
        <v>72</v>
      </c>
      <c r="K5" s="80" t="s">
        <v>67</v>
      </c>
      <c r="L5" s="80" t="s">
        <v>62</v>
      </c>
      <c r="M5" s="81">
        <v>10</v>
      </c>
      <c r="N5" s="81">
        <v>10</v>
      </c>
      <c r="O5" s="81">
        <v>8</v>
      </c>
      <c r="P5" s="81">
        <v>0</v>
      </c>
      <c r="Q5" s="81">
        <v>0</v>
      </c>
      <c r="R5" s="81">
        <v>0</v>
      </c>
    </row>
    <row r="6" customHeight="1" spans="1:18">
      <c r="A6" s="1" t="s">
        <v>73</v>
      </c>
      <c r="B6" s="1" t="s">
        <v>57</v>
      </c>
      <c r="C6" s="79" t="s">
        <v>69</v>
      </c>
      <c r="D6" s="80">
        <v>1</v>
      </c>
      <c r="E6" s="2" t="str">
        <f>VLOOKUP(C6,音擎!$A$2:$K$37,音擎!$K$1,FALSE)</f>
        <v>普攻冲刺闪反叠层3.5%攻击
8层8秒</v>
      </c>
      <c r="F6" s="80" t="s">
        <v>74</v>
      </c>
      <c r="G6" s="80">
        <v>1</v>
      </c>
      <c r="H6" s="2" t="str">
        <f>VLOOKUP(F6,驱动盘!$A$2:$X$17,驱动盘!$J$1,FALSE)</f>
        <v>异常后28%暴击</v>
      </c>
      <c r="I6" s="80" t="s">
        <v>60</v>
      </c>
      <c r="J6" s="80" t="s">
        <v>61</v>
      </c>
      <c r="K6" s="80" t="s">
        <v>67</v>
      </c>
      <c r="L6" s="80" t="s">
        <v>62</v>
      </c>
      <c r="M6" s="81">
        <v>10</v>
      </c>
      <c r="N6" s="81">
        <v>10</v>
      </c>
      <c r="O6" s="81">
        <v>8</v>
      </c>
      <c r="P6" s="81">
        <v>0</v>
      </c>
      <c r="Q6" s="81">
        <v>0</v>
      </c>
      <c r="R6" s="81">
        <v>0</v>
      </c>
    </row>
    <row r="7" customHeight="1" spans="1:18">
      <c r="A7" s="1" t="s">
        <v>75</v>
      </c>
      <c r="B7" s="1" t="s">
        <v>57</v>
      </c>
      <c r="C7" s="79" t="s">
        <v>76</v>
      </c>
      <c r="D7" s="80">
        <v>0.9</v>
      </c>
      <c r="E7" s="2" t="str">
        <f>VLOOKUP(C7,音擎!$A$2:$K$37,音擎!$K$1,FALSE)</f>
        <v>回能；技能3%物伤叠15层
（逐渐叠）</v>
      </c>
      <c r="F7" s="80" t="s">
        <v>70</v>
      </c>
      <c r="G7" s="80">
        <v>1</v>
      </c>
      <c r="H7" s="2" t="str">
        <f>VLOOKUP(F7,驱动盘!$A$2:$X$17,驱动盘!$J$1,FALSE)</f>
        <v>切前台25%攻击10秒/20秒</v>
      </c>
      <c r="I7" s="80" t="s">
        <v>60</v>
      </c>
      <c r="J7" s="80" t="s">
        <v>72</v>
      </c>
      <c r="K7" s="80" t="s">
        <v>67</v>
      </c>
      <c r="L7" s="80" t="s">
        <v>62</v>
      </c>
      <c r="M7" s="81">
        <v>10</v>
      </c>
      <c r="N7" s="81">
        <v>10</v>
      </c>
      <c r="O7" s="81">
        <v>8</v>
      </c>
      <c r="P7" s="81">
        <v>0</v>
      </c>
      <c r="Q7" s="81">
        <v>0</v>
      </c>
      <c r="R7" s="81">
        <v>0</v>
      </c>
    </row>
    <row r="8" customHeight="1" spans="1:18">
      <c r="A8" s="1" t="s">
        <v>77</v>
      </c>
      <c r="B8" s="1" t="s">
        <v>57</v>
      </c>
      <c r="C8" s="79" t="s">
        <v>69</v>
      </c>
      <c r="D8" s="80">
        <v>1</v>
      </c>
      <c r="E8" s="2" t="str">
        <f>VLOOKUP(C8,音擎!$A$2:$K$37,音擎!$K$1,FALSE)</f>
        <v>普攻冲刺闪反叠层3.5%攻击
8层8秒</v>
      </c>
      <c r="F8" s="80" t="s">
        <v>78</v>
      </c>
      <c r="G8" s="80">
        <v>1</v>
      </c>
      <c r="H8" s="2" t="str">
        <f>VLOOKUP(F8,驱动盘!$A$2:$X$17,驱动盘!$J$1,FALSE)</f>
        <v>有感电27%攻击</v>
      </c>
      <c r="I8" s="80" t="s">
        <v>60</v>
      </c>
      <c r="J8" s="80" t="s">
        <v>72</v>
      </c>
      <c r="K8" s="80" t="s">
        <v>67</v>
      </c>
      <c r="L8" s="80" t="s">
        <v>62</v>
      </c>
      <c r="M8" s="81">
        <v>10</v>
      </c>
      <c r="N8" s="81">
        <v>10</v>
      </c>
      <c r="O8" s="81">
        <v>8</v>
      </c>
      <c r="P8" s="81">
        <v>0</v>
      </c>
      <c r="Q8" s="81">
        <v>0</v>
      </c>
      <c r="R8" s="81">
        <v>0</v>
      </c>
    </row>
    <row r="9" customHeight="1" spans="1:18">
      <c r="A9" s="1" t="s">
        <v>24</v>
      </c>
      <c r="B9" s="1" t="s">
        <v>79</v>
      </c>
      <c r="C9" s="79" t="s">
        <v>80</v>
      </c>
      <c r="D9" s="80">
        <v>1</v>
      </c>
      <c r="E9" s="2" t="str">
        <f>VLOOKUP(C9,音擎!$A$2:$K$37,音擎!$K$1,FALSE)</f>
        <v>普攻冲击0.7%，30层
全队20增伤（未记）</v>
      </c>
      <c r="F9" s="80" t="s">
        <v>81</v>
      </c>
      <c r="G9" s="80">
        <v>1</v>
      </c>
      <c r="H9" s="2" t="str">
        <f>VLOOKUP(F9,驱动盘!$A$2:$X$17,驱动盘!$J$1,FALSE)</f>
        <v>普攻失衡20%</v>
      </c>
      <c r="I9" s="80" t="s">
        <v>82</v>
      </c>
      <c r="J9" s="80" t="s">
        <v>72</v>
      </c>
      <c r="K9" s="80" t="s">
        <v>83</v>
      </c>
      <c r="L9" s="80" t="s">
        <v>84</v>
      </c>
      <c r="M9" s="81">
        <v>10</v>
      </c>
      <c r="N9" s="81">
        <v>10</v>
      </c>
      <c r="O9" s="81">
        <v>8</v>
      </c>
      <c r="P9" s="81">
        <v>0</v>
      </c>
      <c r="Q9" s="81">
        <v>0</v>
      </c>
      <c r="R9" s="81">
        <v>0</v>
      </c>
    </row>
    <row r="10" customHeight="1" spans="1:18">
      <c r="A10" s="1" t="s">
        <v>85</v>
      </c>
      <c r="B10" s="1" t="s">
        <v>79</v>
      </c>
      <c r="C10" s="79" t="s">
        <v>86</v>
      </c>
      <c r="D10" s="80">
        <v>1</v>
      </c>
      <c r="E10" s="2" t="str">
        <f>VLOOKUP(C10,音擎!$A$2:$K$37,音擎!$K$1,FALSE)</f>
        <v>每10能量3.2%冲击，最多8层</v>
      </c>
      <c r="F10" s="80" t="s">
        <v>87</v>
      </c>
      <c r="G10" s="80">
        <v>1</v>
      </c>
      <c r="H10" s="2" t="str">
        <f>VLOOKUP(F10,驱动盘!$A$2:$X$17,驱动盘!$J$1,FALSE)</f>
        <v>15护盾；招架后全队15增伤10秒（未记）</v>
      </c>
      <c r="I10" s="80" t="s">
        <v>81</v>
      </c>
      <c r="J10" s="80" t="s">
        <v>72</v>
      </c>
      <c r="K10" s="80" t="s">
        <v>83</v>
      </c>
      <c r="L10" s="80" t="s">
        <v>84</v>
      </c>
      <c r="M10" s="81">
        <v>10</v>
      </c>
      <c r="N10" s="81">
        <v>10</v>
      </c>
      <c r="O10" s="81">
        <v>8</v>
      </c>
      <c r="P10" s="81">
        <v>0</v>
      </c>
      <c r="Q10" s="81">
        <v>0</v>
      </c>
      <c r="R10" s="81">
        <v>0</v>
      </c>
    </row>
    <row r="11" customHeight="1" spans="1:18">
      <c r="A11" s="1" t="s">
        <v>88</v>
      </c>
      <c r="B11" s="1" t="s">
        <v>79</v>
      </c>
      <c r="C11" s="79" t="s">
        <v>86</v>
      </c>
      <c r="D11" s="80">
        <v>1</v>
      </c>
      <c r="E11" s="2" t="str">
        <f>VLOOKUP(C11,音擎!$A$2:$K$37,音擎!$K$1,FALSE)</f>
        <v>每10能量3.2%冲击，最多8层</v>
      </c>
      <c r="F11" s="80" t="s">
        <v>87</v>
      </c>
      <c r="G11" s="80">
        <v>1</v>
      </c>
      <c r="H11" s="2" t="str">
        <f>VLOOKUP(F11,驱动盘!$A$2:$X$17,驱动盘!$J$1,FALSE)</f>
        <v>15护盾；招架后全队15增伤10秒（未记）</v>
      </c>
      <c r="I11" s="80" t="s">
        <v>81</v>
      </c>
      <c r="J11" s="80" t="s">
        <v>72</v>
      </c>
      <c r="K11" s="80" t="s">
        <v>83</v>
      </c>
      <c r="L11" s="80" t="s">
        <v>84</v>
      </c>
      <c r="M11" s="81">
        <v>10</v>
      </c>
      <c r="N11" s="81">
        <v>10</v>
      </c>
      <c r="O11" s="81">
        <v>8</v>
      </c>
      <c r="P11" s="81">
        <v>0</v>
      </c>
      <c r="Q11" s="81">
        <v>0</v>
      </c>
      <c r="R11" s="81">
        <v>0</v>
      </c>
    </row>
    <row r="12" customHeight="1" spans="1:18">
      <c r="A12" s="1" t="s">
        <v>89</v>
      </c>
      <c r="B12" s="1" t="s">
        <v>79</v>
      </c>
      <c r="C12" s="79" t="s">
        <v>86</v>
      </c>
      <c r="D12" s="80">
        <v>1</v>
      </c>
      <c r="E12" s="2" t="str">
        <f>VLOOKUP(C12,音擎!$A$2:$K$37,音擎!$K$1,FALSE)</f>
        <v>每10能量3.2%冲击，最多8层</v>
      </c>
      <c r="F12" s="80" t="s">
        <v>87</v>
      </c>
      <c r="G12" s="80">
        <v>1</v>
      </c>
      <c r="H12" s="2" t="str">
        <f>VLOOKUP(F12,驱动盘!$A$2:$X$17,驱动盘!$J$1,FALSE)</f>
        <v>15护盾；招架后全队15增伤10秒（未记）</v>
      </c>
      <c r="I12" s="80" t="s">
        <v>81</v>
      </c>
      <c r="J12" s="80" t="s">
        <v>72</v>
      </c>
      <c r="K12" s="80" t="s">
        <v>83</v>
      </c>
      <c r="L12" s="80" t="s">
        <v>84</v>
      </c>
      <c r="M12" s="81">
        <v>10</v>
      </c>
      <c r="N12" s="81">
        <v>10</v>
      </c>
      <c r="O12" s="81">
        <v>8</v>
      </c>
      <c r="P12" s="81">
        <v>0</v>
      </c>
      <c r="Q12" s="81">
        <v>0</v>
      </c>
      <c r="R12" s="81">
        <v>0</v>
      </c>
    </row>
    <row r="13" customHeight="1" spans="1:18">
      <c r="A13" s="1" t="s">
        <v>90</v>
      </c>
      <c r="B13" s="1" t="s">
        <v>79</v>
      </c>
      <c r="C13" s="79" t="s">
        <v>86</v>
      </c>
      <c r="D13" s="80">
        <v>1</v>
      </c>
      <c r="E13" s="2" t="str">
        <f>VLOOKUP(C13,音擎!$A$2:$K$37,音擎!$K$1,FALSE)</f>
        <v>每10能量3.2%冲击，最多8层</v>
      </c>
      <c r="F13" s="80" t="s">
        <v>87</v>
      </c>
      <c r="G13" s="80">
        <v>1</v>
      </c>
      <c r="H13" s="2" t="str">
        <f>VLOOKUP(F13,驱动盘!$A$2:$X$17,驱动盘!$J$1,FALSE)</f>
        <v>15护盾；招架后全队15增伤10秒（未记）</v>
      </c>
      <c r="I13" s="80" t="s">
        <v>81</v>
      </c>
      <c r="J13" s="80" t="s">
        <v>72</v>
      </c>
      <c r="K13" s="80" t="s">
        <v>83</v>
      </c>
      <c r="L13" s="80" t="s">
        <v>84</v>
      </c>
      <c r="M13" s="81">
        <v>10</v>
      </c>
      <c r="N13" s="81">
        <v>10</v>
      </c>
      <c r="O13" s="81">
        <v>8</v>
      </c>
      <c r="P13" s="81">
        <v>0</v>
      </c>
      <c r="Q13" s="81">
        <v>0</v>
      </c>
      <c r="R13" s="81">
        <v>0</v>
      </c>
    </row>
    <row r="14" customHeight="1" spans="1:18">
      <c r="A14" s="1" t="s">
        <v>91</v>
      </c>
      <c r="B14" s="1" t="s">
        <v>92</v>
      </c>
      <c r="C14" s="79" t="s">
        <v>93</v>
      </c>
      <c r="D14" s="80">
        <v>1</v>
      </c>
      <c r="E14" s="2" t="str">
        <f>VLOOKUP(C14,音擎!$A$2:$K$37,音擎!$K$1,FALSE)</f>
        <v>回能；技能伤害3.5叠10层6秒</v>
      </c>
      <c r="F14" s="80" t="s">
        <v>94</v>
      </c>
      <c r="G14" s="80">
        <v>1</v>
      </c>
      <c r="H14" s="2" t="str">
        <f>VLOOKUP(F14,驱动盘!$A$2:$X$17,驱动盘!$J$1,FALSE)</f>
        <v>15火电伤；20技能、协同伤</v>
      </c>
      <c r="I14" s="80" t="s">
        <v>95</v>
      </c>
      <c r="J14" s="80" t="s">
        <v>96</v>
      </c>
      <c r="K14" s="80" t="s">
        <v>62</v>
      </c>
      <c r="L14" s="80" t="s">
        <v>97</v>
      </c>
      <c r="M14" s="81">
        <v>0</v>
      </c>
      <c r="N14" s="81"/>
      <c r="O14" s="81">
        <v>8</v>
      </c>
      <c r="P14" s="81">
        <v>0</v>
      </c>
      <c r="Q14" s="81">
        <v>10</v>
      </c>
      <c r="R14" s="81">
        <v>0</v>
      </c>
    </row>
    <row r="15" customHeight="1" spans="1:18">
      <c r="A15" s="1" t="s">
        <v>98</v>
      </c>
      <c r="B15" s="1" t="s">
        <v>92</v>
      </c>
      <c r="C15" s="79" t="s">
        <v>99</v>
      </c>
      <c r="D15" s="80">
        <v>1</v>
      </c>
      <c r="E15" s="2" t="str">
        <f>VLOOKUP(C15,音擎!$A$2:$K$37,音擎!$K$1,FALSE)</f>
        <v>36物伤40异常效率</v>
      </c>
      <c r="F15" s="80" t="s">
        <v>71</v>
      </c>
      <c r="G15" s="80">
        <v>1</v>
      </c>
      <c r="H15" s="2" t="str">
        <f>VLOOKUP(F15,驱动盘!$A$2:$X$17,驱动盘!$J$1,FALSE)</f>
        <v>异常后35增伤12秒</v>
      </c>
      <c r="I15" s="80" t="s">
        <v>95</v>
      </c>
      <c r="J15" s="80" t="s">
        <v>96</v>
      </c>
      <c r="K15" s="80" t="s">
        <v>67</v>
      </c>
      <c r="L15" s="80" t="s">
        <v>97</v>
      </c>
      <c r="M15" s="81">
        <v>0</v>
      </c>
      <c r="N15" s="81"/>
      <c r="O15" s="81">
        <v>8</v>
      </c>
      <c r="P15" s="81">
        <v>0</v>
      </c>
      <c r="Q15" s="81">
        <v>10</v>
      </c>
      <c r="R15" s="81">
        <v>0</v>
      </c>
    </row>
    <row r="16" customHeight="1" spans="1:18">
      <c r="A16" s="1" t="s">
        <v>100</v>
      </c>
      <c r="B16" s="1" t="s">
        <v>92</v>
      </c>
      <c r="C16" s="79" t="s">
        <v>101</v>
      </c>
      <c r="D16" s="80">
        <v>1</v>
      </c>
      <c r="E16" s="2" t="str">
        <f>VLOOKUP(C16,音擎!$A$2:$K$37,音擎!$K$1,FALSE)</f>
        <v>12战时攻击
e和强化e后25精通3层</v>
      </c>
      <c r="F16" s="80" t="s">
        <v>78</v>
      </c>
      <c r="G16" s="80">
        <v>1</v>
      </c>
      <c r="H16" s="2" t="str">
        <f>VLOOKUP(F16,驱动盘!$A$2:$X$17,驱动盘!$J$1,FALSE)</f>
        <v>有感电27%攻击</v>
      </c>
      <c r="I16" s="80" t="s">
        <v>95</v>
      </c>
      <c r="J16" s="80" t="s">
        <v>96</v>
      </c>
      <c r="K16" s="80" t="s">
        <v>67</v>
      </c>
      <c r="L16" s="80" t="s">
        <v>62</v>
      </c>
      <c r="M16" s="81">
        <v>0</v>
      </c>
      <c r="N16" s="81"/>
      <c r="O16" s="81">
        <v>8</v>
      </c>
      <c r="P16" s="81">
        <v>0</v>
      </c>
      <c r="Q16" s="81">
        <v>10</v>
      </c>
      <c r="R16" s="81">
        <v>0</v>
      </c>
    </row>
    <row r="17" customHeight="1" spans="1:18">
      <c r="A17" s="1" t="s">
        <v>102</v>
      </c>
      <c r="B17" s="1" t="s">
        <v>92</v>
      </c>
      <c r="C17" s="79" t="s">
        <v>103</v>
      </c>
      <c r="D17" s="80">
        <v>0.7</v>
      </c>
      <c r="E17" s="2" t="str">
        <f>VLOOKUP(C17,音擎!$A$2:$K$37,音擎!$K$1,FALSE)</f>
        <v>强化E时给攻精效，5秒</v>
      </c>
      <c r="F17" s="80" t="s">
        <v>71</v>
      </c>
      <c r="G17" s="80">
        <v>1</v>
      </c>
      <c r="H17" s="2" t="str">
        <f>VLOOKUP(F17,驱动盘!$A$2:$X$17,驱动盘!$J$1,FALSE)</f>
        <v>异常后35增伤12秒</v>
      </c>
      <c r="I17" s="80" t="s">
        <v>95</v>
      </c>
      <c r="J17" s="80" t="s">
        <v>96</v>
      </c>
      <c r="K17" s="80" t="s">
        <v>83</v>
      </c>
      <c r="L17" s="80" t="s">
        <v>62</v>
      </c>
      <c r="M17" s="81">
        <v>0</v>
      </c>
      <c r="N17" s="81"/>
      <c r="O17" s="81">
        <v>8</v>
      </c>
      <c r="P17" s="81">
        <v>0</v>
      </c>
      <c r="Q17" s="81">
        <v>10</v>
      </c>
      <c r="R17" s="81">
        <v>0</v>
      </c>
    </row>
    <row r="18" customHeight="1" spans="1:18">
      <c r="A18" s="1" t="s">
        <v>104</v>
      </c>
      <c r="B18" s="1" t="s">
        <v>105</v>
      </c>
      <c r="C18" s="79" t="s">
        <v>106</v>
      </c>
      <c r="D18" s="80">
        <v>1</v>
      </c>
      <c r="E18" s="2" t="str">
        <f>VLOOKUP(C18,音擎!$A$2:$K$37,音擎!$K$1,FALSE)</f>
        <v>15冰伤，强化e全队2%攻击，叠4层12秒（未记）</v>
      </c>
      <c r="F18" s="80" t="s">
        <v>82</v>
      </c>
      <c r="G18" s="80">
        <v>1</v>
      </c>
      <c r="H18" s="2" t="str">
        <f>VLOOKUP(F18,驱动盘!$A$2:$X$17,驱动盘!$J$1,FALSE)</f>
        <v>连锁后全队15增伤12秒（未记）</v>
      </c>
      <c r="I18" s="80" t="s">
        <v>81</v>
      </c>
      <c r="J18" s="80" t="s">
        <v>72</v>
      </c>
      <c r="K18" s="80" t="s">
        <v>62</v>
      </c>
      <c r="L18" s="80" t="s">
        <v>62</v>
      </c>
      <c r="M18" s="81">
        <v>10</v>
      </c>
      <c r="N18" s="81">
        <v>10</v>
      </c>
      <c r="O18" s="81">
        <v>8</v>
      </c>
      <c r="P18" s="81">
        <v>0</v>
      </c>
      <c r="Q18" s="81">
        <v>0</v>
      </c>
      <c r="R18" s="81">
        <v>0</v>
      </c>
    </row>
    <row r="19" customHeight="1" spans="1:18">
      <c r="A19" s="5" t="s">
        <v>107</v>
      </c>
      <c r="B19" s="1" t="s">
        <v>105</v>
      </c>
      <c r="C19" s="79" t="s">
        <v>108</v>
      </c>
      <c r="D19" s="80">
        <v>1</v>
      </c>
      <c r="E19" s="2" t="str">
        <f>VLOOKUP(C19,音擎!$A$2:$K$37,音擎!$K$1,FALSE)</f>
        <v>全队增伤10-20.2%（未记）</v>
      </c>
      <c r="F19" s="80" t="s">
        <v>65</v>
      </c>
      <c r="G19" s="80">
        <v>1</v>
      </c>
      <c r="H19" s="2" t="str">
        <f>VLOOKUP(F19,驱动盘!$A$2:$X$17,驱动盘!$J$1,FALSE)</f>
        <v>25%普伤冲伤，异常后翻倍12秒</v>
      </c>
      <c r="I19" s="80" t="s">
        <v>66</v>
      </c>
      <c r="J19" s="80" t="s">
        <v>72</v>
      </c>
      <c r="K19" s="80" t="s">
        <v>67</v>
      </c>
      <c r="L19" s="80" t="s">
        <v>62</v>
      </c>
      <c r="M19" s="81">
        <v>10</v>
      </c>
      <c r="N19" s="81">
        <v>10</v>
      </c>
      <c r="O19" s="81">
        <v>8</v>
      </c>
      <c r="P19" s="81">
        <v>0</v>
      </c>
      <c r="Q19" s="81">
        <v>0</v>
      </c>
      <c r="R19" s="81">
        <v>0</v>
      </c>
    </row>
    <row r="20" customHeight="1" spans="1:18">
      <c r="A20" s="1" t="s">
        <v>109</v>
      </c>
      <c r="B20" s="1" t="s">
        <v>105</v>
      </c>
      <c r="C20" s="79" t="s">
        <v>108</v>
      </c>
      <c r="D20" s="80">
        <v>1</v>
      </c>
      <c r="E20" s="2" t="str">
        <f>VLOOKUP(C20,音擎!$A$2:$K$37,音擎!$K$1,FALSE)</f>
        <v>全队增伤10-20.2%（未记）</v>
      </c>
      <c r="F20" s="80" t="s">
        <v>78</v>
      </c>
      <c r="G20" s="80">
        <v>1</v>
      </c>
      <c r="H20" s="2" t="str">
        <f>VLOOKUP(F20,驱动盘!$A$2:$X$17,驱动盘!$J$1,FALSE)</f>
        <v>有感电27%攻击</v>
      </c>
      <c r="I20" s="80" t="s">
        <v>66</v>
      </c>
      <c r="J20" s="80" t="s">
        <v>96</v>
      </c>
      <c r="K20" s="80" t="s">
        <v>67</v>
      </c>
      <c r="L20" s="80" t="s">
        <v>62</v>
      </c>
      <c r="M20" s="81">
        <v>0</v>
      </c>
      <c r="N20" s="81"/>
      <c r="O20" s="81">
        <v>8</v>
      </c>
      <c r="P20" s="81">
        <v>0</v>
      </c>
      <c r="Q20" s="81">
        <v>10</v>
      </c>
      <c r="R20" s="81">
        <v>0</v>
      </c>
    </row>
    <row r="21" customHeight="1" spans="1:18">
      <c r="A21" s="1" t="s">
        <v>25</v>
      </c>
      <c r="B21" s="1" t="s">
        <v>105</v>
      </c>
      <c r="C21" s="79" t="s">
        <v>110</v>
      </c>
      <c r="D21" s="80">
        <v>1</v>
      </c>
      <c r="E21" s="2" t="str">
        <f>VLOOKUP(C21,音擎!$A$2:$K$37,音擎!$K$1,FALSE)</f>
        <v>造成以太技伤后，挂15增伤debuff（未记）回能提升（算妮可身上）</v>
      </c>
      <c r="F21" s="80" t="s">
        <v>82</v>
      </c>
      <c r="G21" s="80">
        <v>1</v>
      </c>
      <c r="H21" s="2" t="str">
        <f>VLOOKUP(F21,驱动盘!$A$2:$X$17,驱动盘!$J$1,FALSE)</f>
        <v>连锁后全队15增伤12秒（未记）</v>
      </c>
      <c r="I21" s="80" t="s">
        <v>95</v>
      </c>
      <c r="J21" s="80" t="s">
        <v>72</v>
      </c>
      <c r="K21" s="80" t="s">
        <v>62</v>
      </c>
      <c r="L21" s="80" t="s">
        <v>111</v>
      </c>
      <c r="M21" s="81">
        <v>10</v>
      </c>
      <c r="N21" s="81">
        <v>10</v>
      </c>
      <c r="O21" s="81">
        <v>8</v>
      </c>
      <c r="P21" s="81">
        <v>0</v>
      </c>
      <c r="Q21" s="81">
        <v>0</v>
      </c>
      <c r="R21" s="81">
        <v>0</v>
      </c>
    </row>
    <row r="22" customHeight="1" spans="1:18">
      <c r="A22" s="1" t="s">
        <v>112</v>
      </c>
      <c r="B22" s="1" t="s">
        <v>105</v>
      </c>
      <c r="C22" s="79" t="s">
        <v>113</v>
      </c>
      <c r="D22" s="80">
        <v>1</v>
      </c>
      <c r="E22" s="2" t="str">
        <f>VLOOKUP(C22,音擎!$A$2:$K$37,音擎!$K$1,FALSE)</f>
        <v>全队2.5%攻4层（未记）</v>
      </c>
      <c r="F22" s="80" t="s">
        <v>82</v>
      </c>
      <c r="G22" s="80">
        <v>1</v>
      </c>
      <c r="H22" s="2" t="str">
        <f>VLOOKUP(F22,驱动盘!$A$2:$X$17,驱动盘!$J$1,FALSE)</f>
        <v>连锁后全队15增伤12秒（未记）</v>
      </c>
      <c r="I22" s="80" t="s">
        <v>70</v>
      </c>
      <c r="J22" s="80" t="s">
        <v>62</v>
      </c>
      <c r="K22" s="80" t="s">
        <v>62</v>
      </c>
      <c r="L22" s="80" t="s">
        <v>111</v>
      </c>
      <c r="M22" s="81">
        <v>10</v>
      </c>
      <c r="N22" s="81">
        <v>10</v>
      </c>
      <c r="O22" s="81">
        <v>8</v>
      </c>
      <c r="P22" s="81">
        <v>0</v>
      </c>
      <c r="Q22" s="81">
        <v>0</v>
      </c>
      <c r="R22" s="81">
        <v>0</v>
      </c>
    </row>
    <row r="23" customHeight="1" spans="1:18">
      <c r="A23" s="1" t="s">
        <v>114</v>
      </c>
      <c r="B23" s="1" t="s">
        <v>105</v>
      </c>
      <c r="C23" s="79" t="s">
        <v>113</v>
      </c>
      <c r="D23" s="80">
        <v>0</v>
      </c>
      <c r="E23" s="2" t="str">
        <f>VLOOKUP(C23,音擎!$A$2:$K$37,音擎!$K$1,FALSE)</f>
        <v>全队2.5%攻4层（未记）</v>
      </c>
      <c r="F23" s="80" t="s">
        <v>36</v>
      </c>
      <c r="G23" s="80">
        <v>0</v>
      </c>
      <c r="H23" s="2" t="str">
        <f>VLOOKUP(F23,驱动盘!$A$2:$X$17,驱动盘!$J$1,FALSE)</f>
        <v>无</v>
      </c>
      <c r="I23" s="80" t="s">
        <v>70</v>
      </c>
      <c r="J23" s="80" t="s">
        <v>62</v>
      </c>
      <c r="K23" s="80" t="s">
        <v>62</v>
      </c>
      <c r="L23" s="80" t="s">
        <v>111</v>
      </c>
      <c r="M23" s="81">
        <v>10</v>
      </c>
      <c r="N23" s="81">
        <v>10</v>
      </c>
      <c r="O23" s="81">
        <v>8</v>
      </c>
      <c r="P23" s="81"/>
      <c r="Q23" s="81"/>
      <c r="R23" s="81"/>
    </row>
    <row r="24" customHeight="1" spans="1:18">
      <c r="A24" s="1" t="s">
        <v>115</v>
      </c>
      <c r="B24" s="1" t="s">
        <v>116</v>
      </c>
      <c r="C24" s="79" t="s">
        <v>117</v>
      </c>
      <c r="D24" s="80">
        <v>1</v>
      </c>
      <c r="E24" s="2" t="str">
        <f>VLOOKUP(C24,音擎!$A$2:$K$37,音擎!$K$1,FALSE)</f>
        <v>20能效；全队18增伤12失衡20秒</v>
      </c>
      <c r="F24" s="80" t="s">
        <v>87</v>
      </c>
      <c r="G24" s="80">
        <v>1</v>
      </c>
      <c r="H24" s="2" t="str">
        <f>VLOOKUP(F24,驱动盘!$A$2:$X$17,驱动盘!$J$1,FALSE)</f>
        <v>15护盾；招架后全队15增伤10秒（未记）</v>
      </c>
      <c r="I24" s="80" t="s">
        <v>81</v>
      </c>
      <c r="J24" s="80" t="s">
        <v>72</v>
      </c>
      <c r="K24" s="80" t="s">
        <v>62</v>
      </c>
      <c r="L24" s="80" t="s">
        <v>84</v>
      </c>
      <c r="M24" s="81">
        <v>10</v>
      </c>
      <c r="N24" s="81">
        <v>10</v>
      </c>
      <c r="O24" s="81">
        <v>8</v>
      </c>
      <c r="P24" s="81">
        <v>0</v>
      </c>
      <c r="Q24" s="81">
        <v>0</v>
      </c>
      <c r="R24" s="81">
        <v>0</v>
      </c>
    </row>
    <row r="25" customHeight="1" spans="1:18">
      <c r="A25" s="1" t="s">
        <v>118</v>
      </c>
      <c r="B25" s="1" t="s">
        <v>116</v>
      </c>
      <c r="C25" s="79" t="s">
        <v>119</v>
      </c>
      <c r="D25" s="80">
        <v>1</v>
      </c>
      <c r="E25" s="2" t="str">
        <f>VLOOKUP(C25,音擎!$A$2:$K$37,音擎!$K$1,FALSE)</f>
        <v>生命；受击(含招架)16%冲击</v>
      </c>
      <c r="F25" s="80" t="s">
        <v>87</v>
      </c>
      <c r="G25" s="80">
        <v>1</v>
      </c>
      <c r="H25" s="2" t="str">
        <f>VLOOKUP(F25,驱动盘!$A$2:$X$17,驱动盘!$J$1,FALSE)</f>
        <v>15护盾；招架后全队15增伤10秒（未记）</v>
      </c>
      <c r="I25" s="80" t="s">
        <v>81</v>
      </c>
      <c r="J25" s="80" t="s">
        <v>62</v>
      </c>
      <c r="K25" s="80" t="s">
        <v>62</v>
      </c>
      <c r="L25" s="80" t="s">
        <v>84</v>
      </c>
      <c r="M25" s="81">
        <v>0</v>
      </c>
      <c r="N25" s="81"/>
      <c r="O25" s="81">
        <v>8</v>
      </c>
      <c r="P25" s="81">
        <v>0</v>
      </c>
      <c r="Q25" s="81">
        <v>10</v>
      </c>
      <c r="R25" s="81">
        <v>0</v>
      </c>
    </row>
    <row r="26" customHeight="1" spans="5:5">
      <c r="E26" s="2"/>
    </row>
    <row r="27" customHeight="1" spans="5:5">
      <c r="E27" s="2"/>
    </row>
    <row r="28" customHeight="1" spans="5:5">
      <c r="E28" s="2"/>
    </row>
    <row r="29" customHeight="1" spans="5:5">
      <c r="E29" s="2"/>
    </row>
    <row r="30" customHeight="1" spans="5:5">
      <c r="E30" s="2"/>
    </row>
    <row r="31" customHeight="1" spans="5:5">
      <c r="E31" s="2"/>
    </row>
    <row r="32" customHeight="1" spans="5:5">
      <c r="E32" s="2"/>
    </row>
    <row r="33" customHeight="1" spans="5:5">
      <c r="E33" s="2"/>
    </row>
    <row r="34" customHeight="1" spans="5:5">
      <c r="E34" s="2"/>
    </row>
    <row r="35" customHeight="1" spans="5:5">
      <c r="E35" s="2"/>
    </row>
    <row r="36" customHeight="1" spans="5:5">
      <c r="E36" s="2"/>
    </row>
    <row r="37" customHeight="1" spans="5:5">
      <c r="E37" s="2"/>
    </row>
    <row r="38" customHeight="1" spans="5:5">
      <c r="E38" s="2"/>
    </row>
    <row r="39" customHeight="1" spans="5:5">
      <c r="E39" s="2"/>
    </row>
    <row r="40" customHeight="1" spans="5:5">
      <c r="E40" s="2"/>
    </row>
  </sheetData>
  <sheetProtection selectLockedCells="1" formatCells="0" insertHyperlinks="0" autoFilter="0"/>
  <conditionalFormatting sqref="M18">
    <cfRule type="cellIs" dxfId="0" priority="16" operator="equal">
      <formula>0</formula>
    </cfRule>
  </conditionalFormatting>
  <conditionalFormatting sqref="N18">
    <cfRule type="cellIs" dxfId="0" priority="15" operator="equal">
      <formula>0</formula>
    </cfRule>
  </conditionalFormatting>
  <conditionalFormatting sqref="M19">
    <cfRule type="cellIs" dxfId="0" priority="14" operator="equal">
      <formula>0</formula>
    </cfRule>
  </conditionalFormatting>
  <conditionalFormatting sqref="N19">
    <cfRule type="cellIs" dxfId="0" priority="13" operator="equal">
      <formula>0</formula>
    </cfRule>
  </conditionalFormatting>
  <conditionalFormatting sqref="M21">
    <cfRule type="cellIs" dxfId="0" priority="12" operator="equal">
      <formula>0</formula>
    </cfRule>
  </conditionalFormatting>
  <conditionalFormatting sqref="N21">
    <cfRule type="cellIs" dxfId="0" priority="9" operator="equal">
      <formula>0</formula>
    </cfRule>
  </conditionalFormatting>
  <conditionalFormatting sqref="M24">
    <cfRule type="cellIs" dxfId="0" priority="10" operator="equal">
      <formula>0</formula>
    </cfRule>
  </conditionalFormatting>
  <conditionalFormatting sqref="N24">
    <cfRule type="cellIs" dxfId="0" priority="7" operator="equal">
      <formula>0</formula>
    </cfRule>
  </conditionalFormatting>
  <conditionalFormatting sqref="M22:M23">
    <cfRule type="cellIs" dxfId="0" priority="11" operator="equal">
      <formula>0</formula>
    </cfRule>
  </conditionalFormatting>
  <conditionalFormatting sqref="N22:N23">
    <cfRule type="cellIs" dxfId="0" priority="8" operator="equal">
      <formula>0</formula>
    </cfRule>
  </conditionalFormatting>
  <conditionalFormatting sqref="J3:L25">
    <cfRule type="cellIs" dxfId="6" priority="1" operator="equal">
      <formula>"回能"</formula>
    </cfRule>
    <cfRule type="cellIs" dxfId="7" priority="2" operator="equal">
      <formula>"暴伤"</formula>
    </cfRule>
    <cfRule type="cellIs" dxfId="8" priority="3" operator="equal">
      <formula>"暴击"</formula>
    </cfRule>
    <cfRule type="cellIs" dxfId="9" priority="4" operator="equal">
      <formula>"穿透"</formula>
    </cfRule>
    <cfRule type="cellIs" dxfId="10" priority="5" operator="equal">
      <formula>"冲击"</formula>
    </cfRule>
    <cfRule type="cellIs" dxfId="11" priority="6" operator="equal">
      <formula>"攻击"</formula>
    </cfRule>
  </conditionalFormatting>
  <conditionalFormatting sqref="M3:M17 M20 O3:R25 M25">
    <cfRule type="cellIs" dxfId="0" priority="18" operator="equal">
      <formula>0</formula>
    </cfRule>
  </conditionalFormatting>
  <conditionalFormatting sqref="N3:N17 N20 N25">
    <cfRule type="cellIs" dxfId="0" priority="17" operator="equal">
      <formula>0</formula>
    </cfRule>
  </conditionalFormatting>
  <dataValidations count="12">
    <dataValidation type="list" allowBlank="1" showErrorMessage="1" errorTitle="错误提示" error="请输入下拉列表中的值" sqref="C3:C8">
      <formula1>音擎!$A$11:$A$19</formula1>
    </dataValidation>
    <dataValidation type="list" allowBlank="1" showErrorMessage="1" errorTitle="错误提示" error="请输入下拉列表中的值" sqref="C9:C13">
      <formula1>音擎!$A$3:$A$10</formula1>
    </dataValidation>
    <dataValidation type="list" allowBlank="1" showErrorMessage="1" errorTitle="错误提示" error="请输入下拉列表中的值" sqref="C14:C17">
      <formula1>音擎!$A$20:$A$27</formula1>
    </dataValidation>
    <dataValidation type="list" allowBlank="1" showErrorMessage="1" errorTitle="错误提示" error="请输入下拉列表中的值" sqref="C18:C23">
      <formula1>音擎!$A$28:$A$34</formula1>
    </dataValidation>
    <dataValidation type="list" allowBlank="1" showErrorMessage="1" errorTitle="错误提示" error="请输入下拉列表中的值" sqref="C24:C25">
      <formula1>音擎!$A$35:$A$37</formula1>
    </dataValidation>
    <dataValidation type="decimal" operator="between" showInputMessage="1" showErrorMessage="1" sqref="D3:D25">
      <formula1>0</formula1>
      <formula2>2</formula2>
    </dataValidation>
    <dataValidation type="list" allowBlank="1" showInputMessage="1" showErrorMessage="1" sqref="F3:F25 I3:I25">
      <formula1>驱动盘!$A$3:$A$17</formula1>
    </dataValidation>
    <dataValidation type="decimal" operator="between" showInputMessage="1" showErrorMessage="1" sqref="G3:G25">
      <formula1>0</formula1>
      <formula2>1</formula2>
    </dataValidation>
    <dataValidation type="list" allowBlank="1" showInputMessage="1" showErrorMessage="1" sqref="J3:J25">
      <formula1>"暴击,暴伤,精通,攻击"</formula1>
    </dataValidation>
    <dataValidation type="list" allowBlank="1" showInputMessage="1" showErrorMessage="1" sqref="K3:K25">
      <formula1>"攻击,属伤,穿透"</formula1>
    </dataValidation>
    <dataValidation type="list" allowBlank="1" showInputMessage="1" showErrorMessage="1" sqref="L3:L25">
      <formula1>"攻击,冲击,回能,掌控"</formula1>
    </dataValidation>
    <dataValidation type="whole" operator="between" allowBlank="1" showInputMessage="1" showErrorMessage="1" sqref="M3:R25">
      <formula1>0</formula1>
      <formula2>40</formula2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6" sqref="J6"/>
    </sheetView>
  </sheetViews>
  <sheetFormatPr defaultColWidth="11.8888888888889" defaultRowHeight="34" customHeight="1"/>
  <cols>
    <col min="1" max="16382" width="11.8888888888889" style="70" customWidth="1"/>
    <col min="16383" max="16384" width="11.8888888888889" style="70"/>
  </cols>
  <sheetData>
    <row r="1" customHeight="1" spans="1:15">
      <c r="A1" s="71" t="s">
        <v>120</v>
      </c>
      <c r="B1" s="71"/>
      <c r="C1" s="71"/>
      <c r="D1" s="71"/>
      <c r="E1" s="71"/>
      <c r="F1" s="71"/>
      <c r="G1" s="71"/>
      <c r="H1" s="71"/>
      <c r="I1" s="71"/>
      <c r="J1" s="70" t="s">
        <v>121</v>
      </c>
      <c r="O1" s="73" t="str">
        <f>RIGHT(LEFT(云配队!E2,13),6)</f>
        <v>V1.0.0</v>
      </c>
    </row>
    <row r="2" customHeight="1" spans="1:13">
      <c r="A2" s="72" t="s">
        <v>122</v>
      </c>
      <c r="B2" s="72"/>
      <c r="C2" s="72"/>
      <c r="D2" s="72"/>
      <c r="E2" s="72"/>
      <c r="F2" s="72"/>
      <c r="G2" s="72"/>
      <c r="H2" s="72"/>
      <c r="I2" s="72"/>
      <c r="J2" s="74" t="s">
        <v>123</v>
      </c>
      <c r="K2" s="75" t="str">
        <f>"《zzz云配队》"&amp;$O$1</f>
        <v>《zzz云配队》V1.0.0</v>
      </c>
      <c r="L2" s="76"/>
      <c r="M2" s="76"/>
    </row>
    <row r="3" customHeight="1" spans="1:14">
      <c r="A3" s="72"/>
      <c r="B3" s="72"/>
      <c r="C3" s="72"/>
      <c r="D3" s="72"/>
      <c r="E3" s="72"/>
      <c r="F3" s="72"/>
      <c r="G3" s="72"/>
      <c r="H3" s="72"/>
      <c r="I3" s="72"/>
      <c r="J3" s="74" t="s">
        <v>124</v>
      </c>
      <c r="K3" s="74" t="s">
        <v>125</v>
      </c>
      <c r="L3" s="76"/>
      <c r="M3" s="76"/>
      <c r="N3" s="76"/>
    </row>
    <row r="4" customHeight="1" spans="1:14">
      <c r="A4" s="72"/>
      <c r="B4" s="72"/>
      <c r="C4" s="72"/>
      <c r="D4" s="72"/>
      <c r="E4" s="72"/>
      <c r="F4" s="72"/>
      <c r="G4" s="72"/>
      <c r="H4" s="72"/>
      <c r="I4" s="72"/>
      <c r="J4" s="74" t="s">
        <v>126</v>
      </c>
      <c r="K4" s="77" t="s">
        <v>127</v>
      </c>
      <c r="L4" s="76"/>
      <c r="M4" s="76"/>
      <c r="N4" s="76"/>
    </row>
    <row r="5" customHeight="1" spans="1:14">
      <c r="A5" s="72"/>
      <c r="B5" s="72"/>
      <c r="C5" s="72"/>
      <c r="D5" s="72"/>
      <c r="E5" s="72"/>
      <c r="F5" s="72"/>
      <c r="G5" s="72"/>
      <c r="H5" s="72"/>
      <c r="I5" s="72"/>
      <c r="J5" s="76" t="s">
        <v>128</v>
      </c>
      <c r="K5" s="76"/>
      <c r="L5" s="76"/>
      <c r="M5" s="76"/>
      <c r="N5" s="76"/>
    </row>
    <row r="6" customHeight="1" spans="1:14">
      <c r="A6" s="72"/>
      <c r="B6" s="72"/>
      <c r="C6" s="72"/>
      <c r="D6" s="72"/>
      <c r="E6" s="72"/>
      <c r="F6" s="72"/>
      <c r="G6" s="72"/>
      <c r="H6" s="72"/>
      <c r="I6" s="72"/>
      <c r="J6" s="76"/>
      <c r="K6" s="76"/>
      <c r="L6" s="76"/>
      <c r="M6" s="74"/>
      <c r="N6" s="74"/>
    </row>
    <row r="7" customHeight="1" spans="1:14">
      <c r="A7" s="72"/>
      <c r="B7" s="72"/>
      <c r="C7" s="72"/>
      <c r="D7" s="72"/>
      <c r="E7" s="72"/>
      <c r="F7" s="72"/>
      <c r="G7" s="72"/>
      <c r="H7" s="72"/>
      <c r="I7" s="72"/>
      <c r="J7" s="74" t="s">
        <v>123</v>
      </c>
      <c r="K7" s="75" t="str">
        <f>"《zzz云配队》"&amp;$O$1</f>
        <v>《zzz云配队》V1.0.0</v>
      </c>
      <c r="L7" s="74"/>
      <c r="M7" s="74"/>
      <c r="N7" s="74"/>
    </row>
    <row r="8" customHeight="1" spans="1:14">
      <c r="A8" s="72"/>
      <c r="B8" s="72"/>
      <c r="C8" s="72"/>
      <c r="D8" s="72"/>
      <c r="E8" s="72"/>
      <c r="F8" s="72"/>
      <c r="G8" s="72"/>
      <c r="H8" s="72"/>
      <c r="I8" s="72"/>
      <c r="J8" s="74" t="s">
        <v>124</v>
      </c>
      <c r="K8" s="74" t="s">
        <v>125</v>
      </c>
      <c r="L8" s="76"/>
      <c r="M8" s="76"/>
      <c r="N8" s="76"/>
    </row>
    <row r="9" customHeight="1" spans="1:14">
      <c r="A9" s="72"/>
      <c r="B9" s="72"/>
      <c r="C9" s="72"/>
      <c r="D9" s="72"/>
      <c r="E9" s="72"/>
      <c r="F9" s="72"/>
      <c r="G9" s="72"/>
      <c r="H9" s="72"/>
      <c r="I9" s="72"/>
      <c r="J9" s="74" t="s">
        <v>129</v>
      </c>
      <c r="K9" s="77" t="s">
        <v>130</v>
      </c>
      <c r="L9" s="76"/>
      <c r="M9" s="76"/>
      <c r="N9" s="76"/>
    </row>
    <row r="10" customHeight="1" spans="1:14">
      <c r="A10" s="72"/>
      <c r="B10" s="72"/>
      <c r="C10" s="72"/>
      <c r="D10" s="72"/>
      <c r="E10" s="72"/>
      <c r="F10" s="72"/>
      <c r="G10" s="72"/>
      <c r="H10" s="72"/>
      <c r="I10" s="72"/>
      <c r="J10" s="76" t="s">
        <v>128</v>
      </c>
      <c r="K10" s="76"/>
      <c r="L10" s="76"/>
      <c r="M10" s="76"/>
      <c r="N10" s="76"/>
    </row>
    <row r="11" customHeight="1" spans="1:14">
      <c r="A11" s="72"/>
      <c r="B11" s="72"/>
      <c r="C11" s="72"/>
      <c r="D11" s="72"/>
      <c r="E11" s="72"/>
      <c r="F11" s="72"/>
      <c r="G11" s="72"/>
      <c r="H11" s="72"/>
      <c r="I11" s="72"/>
      <c r="J11" s="76" t="s">
        <v>131</v>
      </c>
      <c r="K11" s="76"/>
      <c r="L11" s="76"/>
      <c r="M11" s="76"/>
      <c r="N11" s="76"/>
    </row>
    <row r="12" customHeight="1" spans="1:14">
      <c r="A12" s="72"/>
      <c r="B12" s="72"/>
      <c r="C12" s="72"/>
      <c r="D12" s="72"/>
      <c r="E12" s="72"/>
      <c r="F12" s="72"/>
      <c r="G12" s="72"/>
      <c r="H12" s="72"/>
      <c r="I12" s="72"/>
      <c r="J12" s="74" t="s">
        <v>123</v>
      </c>
      <c r="K12" s="75" t="str">
        <f>"《zzz云配队》"&amp;$O$1</f>
        <v>《zzz云配队》V1.0.0</v>
      </c>
      <c r="L12" s="76"/>
      <c r="M12" s="76"/>
      <c r="N12" s="76"/>
    </row>
    <row r="13" customHeight="1" spans="1:14">
      <c r="A13" s="72"/>
      <c r="B13" s="72"/>
      <c r="C13" s="72"/>
      <c r="D13" s="72"/>
      <c r="E13" s="72"/>
      <c r="F13" s="72"/>
      <c r="G13" s="72"/>
      <c r="H13" s="72"/>
      <c r="I13" s="72"/>
      <c r="J13" s="74" t="s">
        <v>124</v>
      </c>
      <c r="K13" s="74" t="s">
        <v>132</v>
      </c>
      <c r="L13" s="76"/>
      <c r="M13" s="76"/>
      <c r="N13" s="76"/>
    </row>
    <row r="14" customHeight="1" spans="1:14">
      <c r="A14" s="72"/>
      <c r="B14" s="72"/>
      <c r="C14" s="72"/>
      <c r="D14" s="72"/>
      <c r="E14" s="72"/>
      <c r="F14" s="72"/>
      <c r="G14" s="72"/>
      <c r="H14" s="72"/>
      <c r="I14" s="72"/>
      <c r="J14" s="74" t="s">
        <v>128</v>
      </c>
      <c r="K14" s="78"/>
      <c r="L14" s="76"/>
      <c r="M14" s="76"/>
      <c r="N14" s="76"/>
    </row>
  </sheetData>
  <sheetProtection password="C7C9" sheet="1" selectLockedCells="1" objects="1"/>
  <mergeCells count="2">
    <mergeCell ref="A1:I1"/>
    <mergeCell ref="A2:I14"/>
  </mergeCells>
  <hyperlinks>
    <hyperlink ref="K4" r:id="rId1" display="https://github.com/AmicBeam/ZzzCloudTeam"/>
    <hyperlink ref="K9" r:id="rId2" display="https://space.bilibili.com/9412490" tooltip="https://space.bilibili.com/941249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4" sqref="S4"/>
    </sheetView>
  </sheetViews>
  <sheetFormatPr defaultColWidth="13.7777777777778" defaultRowHeight="44" customHeight="1"/>
  <cols>
    <col min="1" max="2" width="13.7777777777778" style="38" customWidth="1"/>
    <col min="3" max="9" width="13.7777777777778" style="38" hidden="1" customWidth="1"/>
    <col min="10" max="13" width="13.7777777777778" style="38" customWidth="1"/>
    <col min="14" max="14" width="13.7777777777778" style="38" hidden="1" customWidth="1"/>
    <col min="15" max="15" width="13.7777777777778" style="38" customWidth="1"/>
    <col min="16" max="16" width="13.7777777777778" style="38" hidden="1" customWidth="1"/>
    <col min="17" max="16384" width="13.7777777777778" style="38" customWidth="1"/>
  </cols>
  <sheetData>
    <row r="1" customHeight="1" spans="1:17">
      <c r="A1" s="38" t="s">
        <v>133</v>
      </c>
      <c r="B1" s="38" t="s">
        <v>134</v>
      </c>
      <c r="C1" s="38" t="s">
        <v>62</v>
      </c>
      <c r="D1" s="38" t="s">
        <v>84</v>
      </c>
      <c r="E1" s="38" t="s">
        <v>135</v>
      </c>
      <c r="F1" s="38" t="s">
        <v>136</v>
      </c>
      <c r="G1" s="38" t="s">
        <v>137</v>
      </c>
      <c r="H1" s="38" t="s">
        <v>138</v>
      </c>
      <c r="I1" s="38" t="s">
        <v>139</v>
      </c>
      <c r="J1" s="68" t="s">
        <v>140</v>
      </c>
      <c r="K1" s="68" t="s">
        <v>141</v>
      </c>
      <c r="L1" s="68" t="s">
        <v>142</v>
      </c>
      <c r="M1" s="68" t="s">
        <v>143</v>
      </c>
      <c r="N1" s="38" t="s">
        <v>144</v>
      </c>
      <c r="O1" s="68" t="s">
        <v>145</v>
      </c>
      <c r="P1" s="38" t="s">
        <v>146</v>
      </c>
      <c r="Q1" s="68" t="s">
        <v>147</v>
      </c>
    </row>
    <row r="2" customHeight="1" spans="1:18">
      <c r="A2" s="38" t="s">
        <v>148</v>
      </c>
      <c r="B2" s="38" t="s">
        <v>149</v>
      </c>
      <c r="C2" s="38">
        <v>8863</v>
      </c>
      <c r="D2" s="38">
        <v>103</v>
      </c>
      <c r="E2" s="3">
        <v>0.5</v>
      </c>
      <c r="F2" s="38">
        <f>1440*1.36</f>
        <v>1958.4</v>
      </c>
      <c r="G2" s="38">
        <v>526.5</v>
      </c>
      <c r="H2" s="38"/>
      <c r="I2" s="3">
        <v>0.1</v>
      </c>
      <c r="J2" s="38">
        <v>30</v>
      </c>
      <c r="K2" s="38">
        <f>C2*(1+E2)*F2%*0.48/J2</f>
        <v>4165.751808</v>
      </c>
      <c r="L2" s="38">
        <f>D2*G2%/J2</f>
        <v>18.0765</v>
      </c>
      <c r="M2" s="38">
        <f>H2*(1+I2)/J2</f>
        <v>0</v>
      </c>
      <c r="N2" s="38">
        <v>1129.5</v>
      </c>
      <c r="O2" s="69">
        <f>C2*(1+E2)*N2%*0.48</f>
        <v>72077.4612</v>
      </c>
      <c r="Q2" s="38">
        <f>P2*(1+I2)</f>
        <v>0</v>
      </c>
      <c r="R2" s="38" t="s">
        <v>150</v>
      </c>
    </row>
    <row r="3" customHeight="1" spans="1:17">
      <c r="A3" s="38" t="s">
        <v>151</v>
      </c>
      <c r="B3" s="38" t="s">
        <v>149</v>
      </c>
      <c r="C3" s="38">
        <v>8863</v>
      </c>
      <c r="D3" s="38">
        <v>103</v>
      </c>
      <c r="E3" s="3">
        <v>0.5</v>
      </c>
      <c r="F3" s="38">
        <f>277*3.75</f>
        <v>1038.75</v>
      </c>
      <c r="G3" s="38">
        <f>101*2.875</f>
        <v>290.375</v>
      </c>
      <c r="H3" s="38">
        <f>130*2.875</f>
        <v>373.75</v>
      </c>
      <c r="I3" s="3">
        <v>0.1</v>
      </c>
      <c r="J3" s="38">
        <v>26</v>
      </c>
      <c r="K3" s="38">
        <f t="shared" ref="K3:K18" si="0">C3*(1+E3)*F3%*0.48/J3</f>
        <v>2549.47603846154</v>
      </c>
      <c r="L3" s="38">
        <f>D3*G3%/J3</f>
        <v>11.5033173076923</v>
      </c>
      <c r="M3" s="38">
        <f>H3*(1+I3)/J3</f>
        <v>15.8125</v>
      </c>
      <c r="N3" s="38">
        <f>1251*1.35</f>
        <v>1688.85</v>
      </c>
      <c r="O3" s="69">
        <f t="shared" ref="O3:O18" si="1">C3*(1+E3)*N3%*0.48</f>
        <v>107771.59836</v>
      </c>
      <c r="P3" s="38">
        <v>358</v>
      </c>
      <c r="Q3" s="38">
        <f>P3*(1+I3)</f>
        <v>393.8</v>
      </c>
    </row>
    <row r="4" customHeight="1" spans="1:17">
      <c r="A4" s="38" t="s">
        <v>152</v>
      </c>
      <c r="B4" s="38" t="s">
        <v>149</v>
      </c>
      <c r="C4" s="38">
        <v>8863</v>
      </c>
      <c r="D4" s="38">
        <v>103</v>
      </c>
      <c r="E4" s="3">
        <v>0.5</v>
      </c>
      <c r="F4" s="38">
        <v>864</v>
      </c>
      <c r="G4" s="38">
        <v>316.5</v>
      </c>
      <c r="H4" s="38">
        <v>270</v>
      </c>
      <c r="I4" s="3">
        <v>0.1</v>
      </c>
      <c r="J4" s="38">
        <v>18</v>
      </c>
      <c r="K4" s="38">
        <f t="shared" si="0"/>
        <v>3063.0528</v>
      </c>
      <c r="L4" s="38">
        <f>D4*G4%/J4</f>
        <v>18.1108333333333</v>
      </c>
      <c r="M4" s="38">
        <f>H4*(1+I4)/J4</f>
        <v>16.5</v>
      </c>
      <c r="N4" s="38">
        <f>997.5*1.4</f>
        <v>1396.5</v>
      </c>
      <c r="O4" s="69">
        <f t="shared" si="1"/>
        <v>89115.6924</v>
      </c>
      <c r="P4" s="38">
        <v>285</v>
      </c>
      <c r="Q4" s="38">
        <f>P4*(1+I4)</f>
        <v>313.5</v>
      </c>
    </row>
    <row r="5" customHeight="1" spans="1:17">
      <c r="A5" s="38" t="s">
        <v>153</v>
      </c>
      <c r="B5" s="38" t="s">
        <v>149</v>
      </c>
      <c r="C5" s="38">
        <v>8863</v>
      </c>
      <c r="D5" s="38">
        <v>103</v>
      </c>
      <c r="E5" s="3">
        <v>0.5</v>
      </c>
      <c r="F5" s="38">
        <v>1215</v>
      </c>
      <c r="G5" s="38">
        <v>0</v>
      </c>
      <c r="H5" s="38">
        <v>330</v>
      </c>
      <c r="I5" s="3">
        <v>0.1</v>
      </c>
      <c r="J5" s="38">
        <v>22</v>
      </c>
      <c r="K5" s="38">
        <f t="shared" si="0"/>
        <v>3524.25109090909</v>
      </c>
      <c r="L5" s="38">
        <f>D5*G5%/J5</f>
        <v>0</v>
      </c>
      <c r="M5" s="38">
        <f>H5*(1+I5)/J5</f>
        <v>16.5</v>
      </c>
      <c r="N5" s="38">
        <f>1260*1.45</f>
        <v>1827</v>
      </c>
      <c r="O5" s="69">
        <f t="shared" si="1"/>
        <v>116587.4472</v>
      </c>
      <c r="P5" s="38">
        <v>360</v>
      </c>
      <c r="Q5" s="38">
        <f>P5*(1+I5)</f>
        <v>396</v>
      </c>
    </row>
    <row r="6" customHeight="1" spans="1:17">
      <c r="A6" s="38" t="s">
        <v>154</v>
      </c>
      <c r="B6" s="38" t="s">
        <v>149</v>
      </c>
      <c r="C6" s="38">
        <v>8057</v>
      </c>
      <c r="D6" s="38">
        <v>99</v>
      </c>
      <c r="E6" s="3">
        <v>0.5</v>
      </c>
      <c r="F6" s="38">
        <f>192+384</f>
        <v>576</v>
      </c>
      <c r="G6" s="38">
        <f>70+140</f>
        <v>210</v>
      </c>
      <c r="H6" s="38">
        <v>180</v>
      </c>
      <c r="I6" s="3">
        <v>0.32</v>
      </c>
      <c r="J6" s="38">
        <v>12</v>
      </c>
      <c r="K6" s="38">
        <f t="shared" si="0"/>
        <v>2784.4992</v>
      </c>
      <c r="L6" s="38">
        <f>D6*G6%/J6</f>
        <v>17.325</v>
      </c>
      <c r="M6" s="38">
        <f>H6*(1+I6)/J6</f>
        <v>19.8</v>
      </c>
      <c r="N6" s="38">
        <f>691.5+192+384</f>
        <v>1267.5</v>
      </c>
      <c r="O6" s="69">
        <f t="shared" si="1"/>
        <v>73528.182</v>
      </c>
      <c r="P6" s="38">
        <f>190*2+180</f>
        <v>560</v>
      </c>
      <c r="Q6" s="38">
        <f>P6*(1+I6)</f>
        <v>739.2</v>
      </c>
    </row>
    <row r="7" customHeight="1" spans="1:17">
      <c r="A7" s="38" t="s">
        <v>155</v>
      </c>
      <c r="B7" s="38" t="s">
        <v>149</v>
      </c>
      <c r="C7" s="38">
        <v>8541</v>
      </c>
      <c r="D7" s="38">
        <v>99</v>
      </c>
      <c r="E7" s="3">
        <v>0.5</v>
      </c>
      <c r="F7" s="38">
        <v>864</v>
      </c>
      <c r="G7" s="38">
        <v>316.5</v>
      </c>
      <c r="H7" s="38">
        <v>270</v>
      </c>
      <c r="I7" s="3">
        <v>0.19</v>
      </c>
      <c r="J7" s="38">
        <v>18</v>
      </c>
      <c r="K7" s="38">
        <f t="shared" si="0"/>
        <v>2951.7696</v>
      </c>
      <c r="L7" s="38">
        <f t="shared" ref="L7:L13" si="2">D7*G7%/J7</f>
        <v>17.4075</v>
      </c>
      <c r="M7" s="38">
        <f t="shared" ref="M7:M13" si="3">H7*(1+I7)/J7</f>
        <v>17.85</v>
      </c>
      <c r="N7" s="38">
        <v>814.5</v>
      </c>
      <c r="O7" s="69">
        <f t="shared" si="1"/>
        <v>50087.8404</v>
      </c>
      <c r="P7" s="38">
        <f>233*2</f>
        <v>466</v>
      </c>
      <c r="Q7" s="38">
        <f t="shared" ref="Q7:Q13" si="4">P7*(1+I7)</f>
        <v>554.54</v>
      </c>
    </row>
    <row r="8" customHeight="1" spans="1:17">
      <c r="A8" s="38" t="s">
        <v>156</v>
      </c>
      <c r="B8" s="38" t="s">
        <v>149</v>
      </c>
      <c r="C8" s="38">
        <v>8057</v>
      </c>
      <c r="D8" s="38">
        <v>99</v>
      </c>
      <c r="E8" s="3">
        <v>0.5</v>
      </c>
      <c r="F8" s="38">
        <v>768</v>
      </c>
      <c r="G8" s="38">
        <v>280.5</v>
      </c>
      <c r="H8" s="38">
        <v>240</v>
      </c>
      <c r="I8" s="3">
        <v>0.32</v>
      </c>
      <c r="J8" s="38">
        <v>16</v>
      </c>
      <c r="K8" s="38">
        <f t="shared" si="0"/>
        <v>2784.4992</v>
      </c>
      <c r="L8" s="38">
        <f t="shared" si="2"/>
        <v>17.3559375</v>
      </c>
      <c r="M8" s="38">
        <f t="shared" si="3"/>
        <v>19.8</v>
      </c>
      <c r="N8" s="38">
        <v>1032</v>
      </c>
      <c r="O8" s="69">
        <f t="shared" si="1"/>
        <v>59866.7328</v>
      </c>
      <c r="P8" s="38">
        <f>295*2</f>
        <v>590</v>
      </c>
      <c r="Q8" s="38">
        <f t="shared" si="4"/>
        <v>778.8</v>
      </c>
    </row>
    <row r="9" customHeight="1" spans="1:17">
      <c r="A9" s="38" t="s">
        <v>157</v>
      </c>
      <c r="B9" s="38" t="s">
        <v>149</v>
      </c>
      <c r="C9" s="38">
        <v>8057</v>
      </c>
      <c r="D9" s="38">
        <v>99</v>
      </c>
      <c r="E9" s="3">
        <v>0.5</v>
      </c>
      <c r="F9" s="38">
        <v>1344</v>
      </c>
      <c r="G9" s="38">
        <v>492</v>
      </c>
      <c r="H9" s="38">
        <v>420</v>
      </c>
      <c r="I9" s="3">
        <v>0.32</v>
      </c>
      <c r="J9" s="38">
        <v>28</v>
      </c>
      <c r="K9" s="38">
        <f t="shared" si="0"/>
        <v>2784.4992</v>
      </c>
      <c r="L9" s="38">
        <f t="shared" si="2"/>
        <v>17.3957142857143</v>
      </c>
      <c r="M9" s="38">
        <f t="shared" si="3"/>
        <v>19.8</v>
      </c>
      <c r="N9" s="38">
        <v>979.5</v>
      </c>
      <c r="O9" s="69">
        <f t="shared" si="1"/>
        <v>56821.1868</v>
      </c>
      <c r="P9" s="38">
        <f>280*2</f>
        <v>560</v>
      </c>
      <c r="Q9" s="38">
        <f t="shared" si="4"/>
        <v>739.2</v>
      </c>
    </row>
    <row r="10" customHeight="1" spans="1:17">
      <c r="A10" s="38" t="s">
        <v>158</v>
      </c>
      <c r="B10" s="38" t="s">
        <v>149</v>
      </c>
      <c r="C10" s="38">
        <v>8057</v>
      </c>
      <c r="D10" s="38">
        <v>103</v>
      </c>
      <c r="E10" s="3">
        <v>0.5</v>
      </c>
      <c r="F10" s="38">
        <f>864*0.7+1728*0.15</f>
        <v>864</v>
      </c>
      <c r="G10" s="38">
        <f>316.5*0.7+631.5*0.15</f>
        <v>316.275</v>
      </c>
      <c r="H10" s="38">
        <f>270*0.7+333*0.15</f>
        <v>238.95</v>
      </c>
      <c r="I10" s="3">
        <v>0.23</v>
      </c>
      <c r="J10" s="38">
        <v>18</v>
      </c>
      <c r="K10" s="38">
        <f t="shared" si="0"/>
        <v>2784.4992</v>
      </c>
      <c r="L10" s="38">
        <f t="shared" si="2"/>
        <v>18.0979583333333</v>
      </c>
      <c r="M10" s="38">
        <f t="shared" si="3"/>
        <v>16.32825</v>
      </c>
      <c r="N10" s="38">
        <v>1164</v>
      </c>
      <c r="O10" s="69">
        <f t="shared" si="1"/>
        <v>67524.1056</v>
      </c>
      <c r="P10" s="38">
        <f>540*2</f>
        <v>1080</v>
      </c>
      <c r="Q10" s="38">
        <f t="shared" si="4"/>
        <v>1328.4</v>
      </c>
    </row>
    <row r="11" customHeight="1" spans="1:17">
      <c r="A11" s="38" t="s">
        <v>159</v>
      </c>
      <c r="B11" s="38" t="s">
        <v>160</v>
      </c>
      <c r="C11" s="38">
        <v>6570</v>
      </c>
      <c r="D11" s="38">
        <v>94</v>
      </c>
      <c r="E11" s="3">
        <v>0.5</v>
      </c>
      <c r="F11" s="38">
        <f>912*1.6</f>
        <v>1459.2</v>
      </c>
      <c r="G11" s="38">
        <v>533.9</v>
      </c>
      <c r="H11" s="38">
        <v>360</v>
      </c>
      <c r="I11" s="3">
        <v>0</v>
      </c>
      <c r="J11" s="38">
        <v>24</v>
      </c>
      <c r="K11" s="38">
        <f t="shared" si="0"/>
        <v>2876.0832</v>
      </c>
      <c r="L11" s="38">
        <f t="shared" si="2"/>
        <v>20.9110833333333</v>
      </c>
      <c r="M11" s="38">
        <f t="shared" si="3"/>
        <v>15</v>
      </c>
      <c r="O11" s="69">
        <f t="shared" si="1"/>
        <v>0</v>
      </c>
      <c r="Q11" s="38">
        <f t="shared" si="4"/>
        <v>0</v>
      </c>
    </row>
    <row r="12" customHeight="1" spans="1:17">
      <c r="A12" s="38" t="s">
        <v>161</v>
      </c>
      <c r="B12" s="38" t="s">
        <v>160</v>
      </c>
      <c r="C12" s="38">
        <v>5826</v>
      </c>
      <c r="D12" s="38">
        <v>112</v>
      </c>
      <c r="E12" s="3">
        <v>0.5</v>
      </c>
      <c r="F12" s="38">
        <v>613.7</v>
      </c>
      <c r="G12" s="38">
        <f>359.1*1.18</f>
        <v>423.738</v>
      </c>
      <c r="H12" s="38">
        <v>242</v>
      </c>
      <c r="I12" s="3">
        <v>-0.12</v>
      </c>
      <c r="J12" s="38">
        <v>14</v>
      </c>
      <c r="K12" s="38">
        <f t="shared" si="0"/>
        <v>1838.78547428571</v>
      </c>
      <c r="L12" s="38">
        <f t="shared" si="2"/>
        <v>33.89904</v>
      </c>
      <c r="M12" s="38">
        <f t="shared" si="3"/>
        <v>15.2114285714286</v>
      </c>
      <c r="O12" s="69">
        <f t="shared" si="1"/>
        <v>0</v>
      </c>
      <c r="Q12" s="38">
        <f t="shared" si="4"/>
        <v>0</v>
      </c>
    </row>
    <row r="13" customHeight="1" spans="1:17">
      <c r="A13" s="38" t="s">
        <v>162</v>
      </c>
      <c r="B13" s="38" t="s">
        <v>160</v>
      </c>
      <c r="C13" s="38">
        <v>6570</v>
      </c>
      <c r="D13" s="38">
        <v>94</v>
      </c>
      <c r="E13" s="3">
        <v>0.5</v>
      </c>
      <c r="F13" s="38">
        <v>608</v>
      </c>
      <c r="G13" s="38">
        <v>355.3</v>
      </c>
      <c r="H13" s="38">
        <v>240</v>
      </c>
      <c r="I13" s="3">
        <v>0</v>
      </c>
      <c r="J13" s="38">
        <v>16</v>
      </c>
      <c r="K13" s="38">
        <f t="shared" si="0"/>
        <v>1797.552</v>
      </c>
      <c r="L13" s="38">
        <f t="shared" si="2"/>
        <v>20.873875</v>
      </c>
      <c r="M13" s="38">
        <f t="shared" si="3"/>
        <v>15</v>
      </c>
      <c r="N13" s="38">
        <f>1662.5*1.6</f>
        <v>2660</v>
      </c>
      <c r="O13" s="69">
        <f t="shared" si="1"/>
        <v>125828.64</v>
      </c>
      <c r="P13" s="38">
        <v>375</v>
      </c>
      <c r="Q13" s="38">
        <f t="shared" si="4"/>
        <v>375</v>
      </c>
    </row>
    <row r="14" customHeight="1" spans="1:17">
      <c r="A14" s="38" t="s">
        <v>163</v>
      </c>
      <c r="B14" s="38" t="s">
        <v>160</v>
      </c>
      <c r="C14" s="38">
        <v>6198</v>
      </c>
      <c r="D14" s="38">
        <v>90</v>
      </c>
      <c r="E14" s="3">
        <v>0.5</v>
      </c>
      <c r="F14" s="38">
        <v>877.8</v>
      </c>
      <c r="G14" s="38">
        <v>513</v>
      </c>
      <c r="H14" s="38">
        <v>346</v>
      </c>
      <c r="I14" s="3">
        <v>0.2</v>
      </c>
      <c r="J14" s="38">
        <v>20</v>
      </c>
      <c r="K14" s="38">
        <f t="shared" si="0"/>
        <v>1958.617584</v>
      </c>
      <c r="L14" s="38">
        <f t="shared" ref="L14:L19" si="5">D14*G14%/J14</f>
        <v>23.085</v>
      </c>
      <c r="M14" s="38">
        <f t="shared" ref="M14:M19" si="6">H14*(1+I14)/J14</f>
        <v>20.76</v>
      </c>
      <c r="N14" s="38">
        <v>1818.3</v>
      </c>
      <c r="O14" s="69">
        <f t="shared" si="1"/>
        <v>81142.72848</v>
      </c>
      <c r="P14" s="38">
        <f>410*2.2</f>
        <v>902</v>
      </c>
      <c r="Q14" s="38">
        <f t="shared" ref="Q14:Q19" si="7">P14*(1+I14)</f>
        <v>1082.4</v>
      </c>
    </row>
    <row r="15" customHeight="1" spans="1:17">
      <c r="A15" s="38" t="s">
        <v>164</v>
      </c>
      <c r="B15" s="38" t="s">
        <v>160</v>
      </c>
      <c r="C15" s="38">
        <v>6198</v>
      </c>
      <c r="D15" s="38">
        <v>90</v>
      </c>
      <c r="E15" s="3">
        <v>0.5</v>
      </c>
      <c r="F15" s="38">
        <v>532</v>
      </c>
      <c r="G15" s="38">
        <v>311.6</v>
      </c>
      <c r="H15" s="38">
        <v>210</v>
      </c>
      <c r="I15" s="3">
        <v>0.2</v>
      </c>
      <c r="J15" s="38">
        <v>14</v>
      </c>
      <c r="K15" s="38">
        <f t="shared" si="0"/>
        <v>1695.7728</v>
      </c>
      <c r="L15" s="38">
        <f t="shared" si="5"/>
        <v>20.0314285714286</v>
      </c>
      <c r="M15" s="38">
        <f t="shared" si="6"/>
        <v>18</v>
      </c>
      <c r="N15" s="38">
        <v>1318.6</v>
      </c>
      <c r="O15" s="69">
        <f t="shared" si="1"/>
        <v>58843.31616</v>
      </c>
      <c r="P15" s="38">
        <f>298*2.2</f>
        <v>655.6</v>
      </c>
      <c r="Q15" s="38">
        <f t="shared" si="7"/>
        <v>786.72</v>
      </c>
    </row>
    <row r="16" customHeight="1" spans="1:17">
      <c r="A16" s="38" t="s">
        <v>165</v>
      </c>
      <c r="B16" s="38" t="s">
        <v>160</v>
      </c>
      <c r="C16" s="38">
        <v>6198</v>
      </c>
      <c r="D16" s="38">
        <v>90</v>
      </c>
      <c r="E16" s="3">
        <v>0.5</v>
      </c>
      <c r="F16" s="38">
        <v>684</v>
      </c>
      <c r="G16" s="38">
        <v>400.9</v>
      </c>
      <c r="H16" s="38">
        <v>270</v>
      </c>
      <c r="I16" s="3">
        <v>0.2</v>
      </c>
      <c r="J16" s="38">
        <v>18</v>
      </c>
      <c r="K16" s="38">
        <f t="shared" si="0"/>
        <v>1695.7728</v>
      </c>
      <c r="L16" s="38">
        <f t="shared" si="5"/>
        <v>20.045</v>
      </c>
      <c r="M16" s="38">
        <f t="shared" si="6"/>
        <v>18</v>
      </c>
      <c r="N16" s="38">
        <v>1352.8</v>
      </c>
      <c r="O16" s="69">
        <f t="shared" si="1"/>
        <v>60369.51168</v>
      </c>
      <c r="P16" s="38">
        <f>305*2.2</f>
        <v>671</v>
      </c>
      <c r="Q16" s="38">
        <f t="shared" si="7"/>
        <v>805.2</v>
      </c>
    </row>
    <row r="17" customHeight="1" spans="1:17">
      <c r="A17" s="38" t="s">
        <v>166</v>
      </c>
      <c r="B17" s="38" t="s">
        <v>160</v>
      </c>
      <c r="C17" s="38">
        <v>6570</v>
      </c>
      <c r="D17" s="38">
        <v>90</v>
      </c>
      <c r="E17" s="3">
        <v>0.5</v>
      </c>
      <c r="F17" s="38">
        <f>126.7*3</f>
        <v>380.1</v>
      </c>
      <c r="G17" s="38">
        <f>74.1*3</f>
        <v>222.3</v>
      </c>
      <c r="H17" s="38">
        <v>150</v>
      </c>
      <c r="I17" s="3">
        <v>0.08</v>
      </c>
      <c r="J17" s="38">
        <v>30</v>
      </c>
      <c r="K17" s="38">
        <f t="shared" si="0"/>
        <v>599.34168</v>
      </c>
      <c r="L17" s="38">
        <f t="shared" si="5"/>
        <v>6.669</v>
      </c>
      <c r="M17" s="38">
        <f t="shared" si="6"/>
        <v>5.4</v>
      </c>
      <c r="N17" s="38">
        <f>621.3+70.3*2*18</f>
        <v>3152.1</v>
      </c>
      <c r="O17" s="69">
        <f t="shared" si="1"/>
        <v>149106.9384</v>
      </c>
      <c r="P17" s="38">
        <f>(140+32*18)*1.8</f>
        <v>1288.8</v>
      </c>
      <c r="Q17" s="38">
        <f t="shared" si="7"/>
        <v>1391.904</v>
      </c>
    </row>
    <row r="18" customHeight="1" spans="1:17">
      <c r="A18" s="38" t="s">
        <v>167</v>
      </c>
      <c r="B18" s="38" t="s">
        <v>160</v>
      </c>
      <c r="C18" s="38">
        <v>6198</v>
      </c>
      <c r="D18" s="38">
        <v>94</v>
      </c>
      <c r="E18" s="3">
        <v>0.5</v>
      </c>
      <c r="F18" s="38">
        <f>8.4*140*1.27*0.6</f>
        <v>896.112</v>
      </c>
      <c r="G18" s="38">
        <f>4.9*140*1.27*0.6</f>
        <v>522.732</v>
      </c>
      <c r="H18" s="38">
        <f>330*1.4*1.27*0.6</f>
        <v>352.044</v>
      </c>
      <c r="I18" s="3">
        <v>0.12</v>
      </c>
      <c r="J18" s="38">
        <v>22</v>
      </c>
      <c r="K18" s="38">
        <f t="shared" si="0"/>
        <v>1817.70616669091</v>
      </c>
      <c r="L18" s="38">
        <f t="shared" si="5"/>
        <v>22.3349127272727</v>
      </c>
      <c r="M18" s="38">
        <f t="shared" si="6"/>
        <v>17.92224</v>
      </c>
      <c r="O18" s="69">
        <f t="shared" si="1"/>
        <v>0</v>
      </c>
      <c r="Q18" s="38">
        <f t="shared" si="7"/>
        <v>0</v>
      </c>
    </row>
  </sheetData>
  <sheetProtection formatCells="0" insertHyperlinks="0" autoFilter="0"/>
  <conditionalFormatting sqref="E2">
    <cfRule type="cellIs" dxfId="0" priority="2" operator="equal">
      <formula>0</formula>
    </cfRule>
  </conditionalFormatting>
  <conditionalFormatting sqref="I2">
    <cfRule type="cellIs" dxfId="0" priority="1" operator="equal">
      <formula>0</formula>
    </cfRule>
  </conditionalFormatting>
  <conditionalFormatting sqref="E4">
    <cfRule type="cellIs" dxfId="0" priority="4" operator="equal">
      <formula>0</formula>
    </cfRule>
  </conditionalFormatting>
  <conditionalFormatting sqref="E5">
    <cfRule type="cellIs" dxfId="0" priority="5" operator="equal">
      <formula>0</formula>
    </cfRule>
  </conditionalFormatting>
  <conditionalFormatting sqref="E8">
    <cfRule type="cellIs" dxfId="0" priority="9" operator="equal">
      <formula>0</formula>
    </cfRule>
  </conditionalFormatting>
  <conditionalFormatting sqref="I8">
    <cfRule type="cellIs" dxfId="0" priority="8" operator="equal">
      <formula>0</formula>
    </cfRule>
  </conditionalFormatting>
  <conditionalFormatting sqref="E9">
    <cfRule type="cellIs" dxfId="0" priority="7" operator="equal">
      <formula>0</formula>
    </cfRule>
  </conditionalFormatting>
  <conditionalFormatting sqref="I9">
    <cfRule type="cellIs" dxfId="0" priority="6" operator="equal">
      <formula>0</formula>
    </cfRule>
  </conditionalFormatting>
  <conditionalFormatting sqref="I3:I5">
    <cfRule type="cellIs" dxfId="0" priority="20" operator="equal">
      <formula>0</formula>
    </cfRule>
  </conditionalFormatting>
  <conditionalFormatting sqref="E3 E10:E18 E6:E7">
    <cfRule type="cellIs" dxfId="0" priority="21" operator="equal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7"/>
  <sheetViews>
    <sheetView zoomScale="85" zoomScaleNormal="85" topLeftCell="B1" workbookViewId="0">
      <pane ySplit="1" topLeftCell="A28" activePane="bottomLeft" state="frozen"/>
      <selection/>
      <selection pane="bottomLeft" activeCell="Q2" sqref="Q2"/>
    </sheetView>
  </sheetViews>
  <sheetFormatPr defaultColWidth="13.7777777777778" defaultRowHeight="44" customHeight="1"/>
  <cols>
    <col min="1" max="5" width="13.7777777777778" style="1"/>
    <col min="6" max="40" width="13.7777777777778" style="1" customWidth="1"/>
    <col min="41" max="42" width="13.7777777777778" style="8" customWidth="1"/>
    <col min="43" max="45" width="13.7777777777778" style="3" customWidth="1"/>
    <col min="46" max="46" width="13.7777777777778" style="13" customWidth="1"/>
    <col min="47" max="16384" width="13.7777777777778" style="3" customWidth="1"/>
  </cols>
  <sheetData>
    <row r="1" customHeight="1" spans="2:46">
      <c r="B1" s="1" t="s">
        <v>168</v>
      </c>
      <c r="C1" s="4"/>
      <c r="D1" s="4"/>
      <c r="F1" s="1" t="s">
        <v>169</v>
      </c>
      <c r="G1" s="1" t="s">
        <v>136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72</v>
      </c>
      <c r="Z1" s="1" t="s">
        <v>61</v>
      </c>
      <c r="AA1" s="1" t="s">
        <v>67</v>
      </c>
      <c r="AB1" s="1" t="s">
        <v>186</v>
      </c>
      <c r="AC1" s="1" t="s">
        <v>84</v>
      </c>
      <c r="AD1" s="1" t="s">
        <v>187</v>
      </c>
      <c r="AF1" s="1" t="s">
        <v>188</v>
      </c>
      <c r="AG1" s="1" t="s">
        <v>189</v>
      </c>
      <c r="AH1" s="1" t="s">
        <v>183</v>
      </c>
      <c r="AI1" s="1" t="s">
        <v>184</v>
      </c>
      <c r="AJ1" s="1" t="s">
        <v>96</v>
      </c>
      <c r="AK1" s="1" t="s">
        <v>185</v>
      </c>
      <c r="AL1" s="1" t="s">
        <v>67</v>
      </c>
      <c r="AM1" s="1" t="s">
        <v>186</v>
      </c>
      <c r="AO1" s="8" t="s">
        <v>190</v>
      </c>
      <c r="AP1" s="8" t="s">
        <v>191</v>
      </c>
      <c r="AQ1" s="3" t="s">
        <v>192</v>
      </c>
      <c r="AS1" s="3" t="s">
        <v>193</v>
      </c>
      <c r="AT1" s="3" t="s">
        <v>194</v>
      </c>
    </row>
    <row r="2" customHeight="1" spans="1:46">
      <c r="A2" s="1" t="s">
        <v>195</v>
      </c>
      <c r="B2" s="1" t="s">
        <v>183</v>
      </c>
      <c r="C2" s="1">
        <v>316</v>
      </c>
      <c r="E2" s="61"/>
      <c r="F2" s="1"/>
      <c r="R2" s="3"/>
      <c r="S2" s="3"/>
      <c r="T2" s="3"/>
      <c r="U2" s="3"/>
      <c r="V2" s="63"/>
      <c r="W2" s="3"/>
      <c r="X2" s="3"/>
      <c r="Y2" s="3"/>
      <c r="Z2" s="3"/>
      <c r="AA2" s="3"/>
      <c r="AB2" s="3"/>
      <c r="AC2" s="3"/>
      <c r="AD2" s="3"/>
      <c r="AE2" s="3"/>
      <c r="AF2" s="4" t="str">
        <f>""</f>
        <v/>
      </c>
      <c r="AH2" s="63"/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/>
      <c r="AO2" s="8" t="s">
        <v>196</v>
      </c>
      <c r="AP2" s="50">
        <v>7.13</v>
      </c>
      <c r="AQ2" s="3">
        <v>0.075</v>
      </c>
      <c r="AS2" s="3" t="s">
        <v>197</v>
      </c>
      <c r="AT2" s="66">
        <v>7.2</v>
      </c>
    </row>
    <row r="3" customHeight="1" spans="2:46">
      <c r="B3" s="1" t="s">
        <v>62</v>
      </c>
      <c r="C3" s="50">
        <v>0.3</v>
      </c>
      <c r="D3" s="1" t="s">
        <v>198</v>
      </c>
      <c r="F3" s="1" t="s">
        <v>199</v>
      </c>
      <c r="G3" s="1">
        <f>角色!AM1</f>
        <v>39</v>
      </c>
      <c r="H3" s="1">
        <f>角色!$Y$1</f>
        <v>25</v>
      </c>
      <c r="I3" s="1">
        <f>音擎!$U$1</f>
        <v>21</v>
      </c>
      <c r="J3" s="1">
        <f>驱动盘!$N$1</f>
        <v>14</v>
      </c>
      <c r="K3" s="1">
        <f>角色!$AI$1</f>
        <v>35</v>
      </c>
      <c r="L3" s="1">
        <f>音擎!$AE$1</f>
        <v>31</v>
      </c>
      <c r="M3" s="1">
        <f>驱动盘!$X$1</f>
        <v>24</v>
      </c>
      <c r="N3" s="1">
        <f>1/5.95</f>
        <v>0.168067226890756</v>
      </c>
      <c r="Q3" s="1" t="s">
        <v>187</v>
      </c>
      <c r="R3" s="3">
        <v>0.5</v>
      </c>
      <c r="S3" s="3"/>
      <c r="T3" s="3"/>
      <c r="U3" s="3"/>
      <c r="V3" s="63"/>
      <c r="W3" s="3"/>
      <c r="X3" s="3"/>
      <c r="Y3" s="3"/>
      <c r="Z3" s="3"/>
      <c r="AA3" s="3"/>
      <c r="AB3" s="3"/>
      <c r="AC3" s="3"/>
      <c r="AD3" s="3"/>
      <c r="AE3" s="3"/>
      <c r="AF3" s="64" t="s">
        <v>200</v>
      </c>
      <c r="AG3" s="3">
        <v>0.18</v>
      </c>
      <c r="AH3" s="63"/>
      <c r="AI3" s="3"/>
      <c r="AJ3" s="3"/>
      <c r="AK3" s="3"/>
      <c r="AL3" s="3"/>
      <c r="AM3" s="3"/>
      <c r="AN3" s="3"/>
      <c r="AO3" s="8" t="s">
        <v>201</v>
      </c>
      <c r="AP3" s="62">
        <f>125%</f>
        <v>1.25</v>
      </c>
      <c r="AQ3" s="62">
        <f>125%</f>
        <v>1.25</v>
      </c>
      <c r="AS3" s="3" t="s">
        <v>202</v>
      </c>
      <c r="AT3" s="13">
        <v>6</v>
      </c>
    </row>
    <row r="4" customHeight="1" spans="2:46">
      <c r="B4" s="1" t="s">
        <v>203</v>
      </c>
      <c r="C4" s="50">
        <v>0.24</v>
      </c>
      <c r="D4" s="1">
        <v>4</v>
      </c>
      <c r="F4" s="1" t="s">
        <v>204</v>
      </c>
      <c r="G4" s="1">
        <f>角色!AR1</f>
        <v>44</v>
      </c>
      <c r="H4" s="1">
        <f>H3+1</f>
        <v>26</v>
      </c>
      <c r="I4" s="1">
        <f t="shared" ref="I4:I9" si="0">I3+1</f>
        <v>22</v>
      </c>
      <c r="J4" s="1">
        <f>J3+1</f>
        <v>15</v>
      </c>
      <c r="K4" s="1">
        <f>角色!$AJ$1</f>
        <v>36</v>
      </c>
      <c r="L4" s="1">
        <f>L3</f>
        <v>31</v>
      </c>
      <c r="M4" s="1">
        <f>M3</f>
        <v>24</v>
      </c>
      <c r="N4" s="1">
        <f t="shared" ref="N4:N14" si="1">1/5.95</f>
        <v>0.168067226890756</v>
      </c>
      <c r="Q4" s="5" t="s">
        <v>205</v>
      </c>
      <c r="R4" s="3">
        <v>1.3</v>
      </c>
      <c r="S4" s="3"/>
      <c r="T4" s="3"/>
      <c r="U4" s="3"/>
      <c r="V4" s="63"/>
      <c r="W4" s="3"/>
      <c r="X4" s="3"/>
      <c r="Y4" s="3"/>
      <c r="Z4" s="3"/>
      <c r="AA4" s="3"/>
      <c r="AB4" s="3"/>
      <c r="AC4" s="3"/>
      <c r="AD4" s="3"/>
      <c r="AE4" s="3"/>
      <c r="AF4" s="64" t="s">
        <v>206</v>
      </c>
      <c r="AG4" s="3">
        <v>0.36</v>
      </c>
      <c r="AH4" s="63"/>
      <c r="AI4" s="3"/>
      <c r="AJ4" s="3"/>
      <c r="AK4" s="3"/>
      <c r="AL4" s="3"/>
      <c r="AM4" s="3"/>
      <c r="AN4" s="3"/>
      <c r="AO4" s="8" t="s">
        <v>207</v>
      </c>
      <c r="AP4" s="50">
        <v>5</v>
      </c>
      <c r="AQ4" s="3">
        <v>0.075</v>
      </c>
      <c r="AS4" s="3" t="s">
        <v>208</v>
      </c>
      <c r="AT4" s="13">
        <v>6</v>
      </c>
    </row>
    <row r="5" customHeight="1" spans="2:46">
      <c r="B5" s="1" t="s">
        <v>61</v>
      </c>
      <c r="C5" s="50">
        <v>0.48</v>
      </c>
      <c r="D5" s="1">
        <v>4</v>
      </c>
      <c r="F5" s="1" t="s">
        <v>209</v>
      </c>
      <c r="G5" s="1">
        <f>角色!AW1</f>
        <v>49</v>
      </c>
      <c r="H5" s="1">
        <f>H4+1</f>
        <v>27</v>
      </c>
      <c r="I5" s="1">
        <f t="shared" si="0"/>
        <v>23</v>
      </c>
      <c r="J5" s="1">
        <f>J4+1</f>
        <v>16</v>
      </c>
      <c r="K5" s="1">
        <f>K3</f>
        <v>35</v>
      </c>
      <c r="L5" s="1">
        <f>L3</f>
        <v>31</v>
      </c>
      <c r="M5" s="1">
        <f>M3</f>
        <v>24</v>
      </c>
      <c r="N5" s="1">
        <f t="shared" si="1"/>
        <v>0.168067226890756</v>
      </c>
      <c r="Q5" s="5" t="s">
        <v>210</v>
      </c>
      <c r="R5" s="3">
        <v>0.85</v>
      </c>
      <c r="S5" s="3"/>
      <c r="T5" s="3"/>
      <c r="U5" s="3"/>
      <c r="V5" s="63"/>
      <c r="W5" s="3"/>
      <c r="X5" s="3"/>
      <c r="Y5" s="3"/>
      <c r="Z5" s="3"/>
      <c r="AA5" s="3"/>
      <c r="AB5" s="3"/>
      <c r="AC5" s="3"/>
      <c r="AD5" s="3"/>
      <c r="AE5" s="3"/>
      <c r="AF5" s="4" t="s">
        <v>211</v>
      </c>
      <c r="AH5" s="63"/>
      <c r="AI5" s="3"/>
      <c r="AJ5" s="3"/>
      <c r="AK5" s="3"/>
      <c r="AL5" s="3"/>
      <c r="AM5" s="3">
        <v>0.4</v>
      </c>
      <c r="AN5" s="3"/>
      <c r="AO5" s="8" t="s">
        <v>212</v>
      </c>
      <c r="AP5" s="50">
        <f>50%</f>
        <v>0.5</v>
      </c>
      <c r="AQ5" s="3">
        <v>1</v>
      </c>
      <c r="AS5" s="3" t="s">
        <v>213</v>
      </c>
      <c r="AT5" s="13">
        <v>2</v>
      </c>
    </row>
    <row r="6" customHeight="1" spans="2:46">
      <c r="B6" s="1" t="s">
        <v>96</v>
      </c>
      <c r="C6" s="1">
        <v>92</v>
      </c>
      <c r="D6" s="1">
        <v>4</v>
      </c>
      <c r="F6" s="5" t="s">
        <v>214</v>
      </c>
      <c r="G6" s="1">
        <f>角色!BB1</f>
        <v>54</v>
      </c>
      <c r="H6" s="1">
        <f>H5+1</f>
        <v>28</v>
      </c>
      <c r="I6" s="1">
        <f t="shared" si="0"/>
        <v>24</v>
      </c>
      <c r="J6" s="1">
        <f>J5+1</f>
        <v>17</v>
      </c>
      <c r="K6" s="1">
        <f>K3</f>
        <v>35</v>
      </c>
      <c r="L6" s="1">
        <f>L3</f>
        <v>31</v>
      </c>
      <c r="M6" s="1">
        <f>M3</f>
        <v>24</v>
      </c>
      <c r="N6" s="1">
        <f t="shared" si="1"/>
        <v>0.168067226890756</v>
      </c>
      <c r="Q6" s="1" t="s">
        <v>215</v>
      </c>
      <c r="R6" s="3"/>
      <c r="S6" s="3">
        <v>0.25</v>
      </c>
      <c r="T6" s="3"/>
      <c r="U6" s="3"/>
      <c r="V6" s="63"/>
      <c r="W6" s="3"/>
      <c r="X6" s="3"/>
      <c r="Y6" s="3"/>
      <c r="Z6" s="3"/>
      <c r="AA6" s="3"/>
      <c r="AB6" s="3"/>
      <c r="AC6" s="3"/>
      <c r="AD6" s="3"/>
      <c r="AE6" s="3"/>
      <c r="AF6" s="4" t="s">
        <v>216</v>
      </c>
      <c r="AH6" s="63"/>
      <c r="AI6" s="3"/>
      <c r="AJ6" s="3">
        <v>1</v>
      </c>
      <c r="AK6" s="3"/>
      <c r="AL6" s="3"/>
      <c r="AM6" s="3"/>
      <c r="AN6" s="3"/>
      <c r="AO6" s="8" t="s">
        <v>217</v>
      </c>
      <c r="AP6" s="62">
        <f>72.5%</f>
        <v>0.725</v>
      </c>
      <c r="AQ6" s="3">
        <v>1.25</v>
      </c>
      <c r="AS6" s="3" t="s">
        <v>218</v>
      </c>
      <c r="AT6" s="13">
        <v>3</v>
      </c>
    </row>
    <row r="7" customHeight="1" spans="2:46">
      <c r="B7" s="1" t="s">
        <v>219</v>
      </c>
      <c r="C7" s="50">
        <v>0.3</v>
      </c>
      <c r="D7" s="1">
        <v>5</v>
      </c>
      <c r="F7" s="1" t="s">
        <v>220</v>
      </c>
      <c r="G7" s="1">
        <f>角色!BG1</f>
        <v>59</v>
      </c>
      <c r="H7" s="1">
        <f>H6</f>
        <v>28</v>
      </c>
      <c r="I7" s="1">
        <f t="shared" ref="I7:I12" si="2">I6</f>
        <v>24</v>
      </c>
      <c r="J7" s="1">
        <f>J6</f>
        <v>17</v>
      </c>
      <c r="K7" s="1">
        <f>K3</f>
        <v>35</v>
      </c>
      <c r="L7" s="1">
        <f>L3</f>
        <v>31</v>
      </c>
      <c r="M7" s="1">
        <f>M3</f>
        <v>24</v>
      </c>
      <c r="N7" s="1">
        <f t="shared" si="1"/>
        <v>0.168067226890756</v>
      </c>
      <c r="O7" s="1">
        <v>10</v>
      </c>
      <c r="Q7" s="1" t="s">
        <v>221</v>
      </c>
      <c r="R7" s="3"/>
      <c r="S7" s="3"/>
      <c r="T7" s="3"/>
      <c r="U7" s="3"/>
      <c r="V7" s="63"/>
      <c r="W7" s="3"/>
      <c r="X7" s="3">
        <v>0.7</v>
      </c>
      <c r="Y7" s="3"/>
      <c r="Z7" s="3"/>
      <c r="AA7" s="3"/>
      <c r="AB7" s="3"/>
      <c r="AC7" s="3"/>
      <c r="AD7" s="3"/>
      <c r="AE7" s="3"/>
      <c r="AF7" s="4" t="s">
        <v>222</v>
      </c>
      <c r="AH7" s="63"/>
      <c r="AI7" s="3"/>
      <c r="AJ7" s="3"/>
      <c r="AK7" s="3"/>
      <c r="AL7" s="3">
        <v>0.296</v>
      </c>
      <c r="AM7" s="3"/>
      <c r="AN7" s="65"/>
      <c r="AO7" s="8" t="s">
        <v>223</v>
      </c>
      <c r="AP7" s="62">
        <v>0</v>
      </c>
      <c r="AQ7" s="3">
        <v>0</v>
      </c>
      <c r="AS7" s="3" t="s">
        <v>224</v>
      </c>
      <c r="AT7" s="13">
        <v>2</v>
      </c>
    </row>
    <row r="8" customHeight="1" spans="2:46">
      <c r="B8" s="1" t="s">
        <v>225</v>
      </c>
      <c r="C8" s="50">
        <v>0.24</v>
      </c>
      <c r="D8" s="1">
        <v>5</v>
      </c>
      <c r="F8" s="1" t="s">
        <v>226</v>
      </c>
      <c r="G8" s="1">
        <f>角色!BQ1</f>
        <v>69</v>
      </c>
      <c r="H8" s="1">
        <f>H7+1</f>
        <v>29</v>
      </c>
      <c r="I8" s="1">
        <f t="shared" si="0"/>
        <v>25</v>
      </c>
      <c r="J8" s="1">
        <f>J7+1</f>
        <v>18</v>
      </c>
      <c r="K8" s="1">
        <v>1</v>
      </c>
      <c r="L8" s="1">
        <f>音擎!$AG$1</f>
        <v>33</v>
      </c>
      <c r="M8" s="1">
        <f>驱动盘!$Y$1</f>
        <v>25</v>
      </c>
      <c r="N8" s="1">
        <v>0</v>
      </c>
      <c r="Q8" s="1" t="s">
        <v>222</v>
      </c>
      <c r="R8" s="3"/>
      <c r="S8" s="3"/>
      <c r="T8" s="3"/>
      <c r="U8" s="3"/>
      <c r="V8" s="63"/>
      <c r="W8" s="3"/>
      <c r="X8" s="3"/>
      <c r="Y8" s="3"/>
      <c r="Z8" s="3"/>
      <c r="AA8" s="3">
        <v>0.296</v>
      </c>
      <c r="AB8" s="3"/>
      <c r="AC8" s="3"/>
      <c r="AD8" s="3"/>
      <c r="AE8" s="3"/>
      <c r="AF8" s="4" t="s">
        <v>227</v>
      </c>
      <c r="AH8" s="63"/>
      <c r="AI8" s="3"/>
      <c r="AJ8" s="3"/>
      <c r="AK8" s="3"/>
      <c r="AL8" s="3">
        <f>29.6%*1.3</f>
        <v>0.3848</v>
      </c>
      <c r="AM8" s="3"/>
      <c r="AN8" s="65"/>
      <c r="AO8" s="67"/>
      <c r="AP8" s="67"/>
      <c r="AS8" s="3" t="s">
        <v>228</v>
      </c>
      <c r="AT8" s="13">
        <v>2</v>
      </c>
    </row>
    <row r="9" customHeight="1" spans="2:46">
      <c r="B9" s="1" t="s">
        <v>139</v>
      </c>
      <c r="C9" s="50">
        <v>0.3</v>
      </c>
      <c r="D9" s="1">
        <v>6</v>
      </c>
      <c r="F9" s="1" t="s">
        <v>229</v>
      </c>
      <c r="G9" s="1">
        <f>角色!BV1</f>
        <v>74</v>
      </c>
      <c r="H9" s="1">
        <f>H8+1</f>
        <v>30</v>
      </c>
      <c r="I9" s="1">
        <f t="shared" si="0"/>
        <v>26</v>
      </c>
      <c r="J9" s="1">
        <f>J8+1</f>
        <v>19</v>
      </c>
      <c r="K9" s="1">
        <f>角色!$AK$1</f>
        <v>37</v>
      </c>
      <c r="L9" s="1">
        <f>音擎!$AF$1</f>
        <v>32</v>
      </c>
      <c r="M9" s="1">
        <f>驱动盘!$Y$1</f>
        <v>25</v>
      </c>
      <c r="N9" s="1">
        <v>0</v>
      </c>
      <c r="Q9" s="1" t="s">
        <v>230</v>
      </c>
      <c r="R9" s="3"/>
      <c r="S9" s="3"/>
      <c r="T9" s="3"/>
      <c r="U9" s="3"/>
      <c r="V9" s="63"/>
      <c r="W9" s="3"/>
      <c r="X9" s="3">
        <v>0.1</v>
      </c>
      <c r="Y9" s="3"/>
      <c r="Z9" s="3"/>
      <c r="AA9" s="3"/>
      <c r="AB9" s="3"/>
      <c r="AC9" s="3"/>
      <c r="AD9" s="3"/>
      <c r="AE9" s="3"/>
      <c r="AF9" s="6" t="s">
        <v>230</v>
      </c>
      <c r="AG9" s="5"/>
      <c r="AH9" s="63"/>
      <c r="AI9" s="3"/>
      <c r="AJ9" s="3"/>
      <c r="AK9" s="3">
        <v>0.1</v>
      </c>
      <c r="AL9" s="3"/>
      <c r="AM9" s="3"/>
      <c r="AN9" s="65"/>
      <c r="AO9" s="67"/>
      <c r="AP9" s="67"/>
      <c r="AS9" s="3" t="s">
        <v>231</v>
      </c>
      <c r="AT9" s="13">
        <v>5</v>
      </c>
    </row>
    <row r="10" customHeight="1" spans="2:46">
      <c r="B10" s="1" t="s">
        <v>232</v>
      </c>
      <c r="C10" s="50">
        <v>0.18</v>
      </c>
      <c r="D10" s="1">
        <v>6</v>
      </c>
      <c r="F10" s="1" t="s">
        <v>233</v>
      </c>
      <c r="G10" s="1">
        <f>角色!CA1</f>
        <v>79</v>
      </c>
      <c r="H10" s="1">
        <f>H9</f>
        <v>30</v>
      </c>
      <c r="I10" s="1">
        <f t="shared" si="2"/>
        <v>26</v>
      </c>
      <c r="J10" s="1">
        <f>J9</f>
        <v>19</v>
      </c>
      <c r="K10" s="1">
        <f>K9</f>
        <v>37</v>
      </c>
      <c r="L10" s="1">
        <f>L9</f>
        <v>32</v>
      </c>
      <c r="M10" s="1">
        <f>驱动盘!$Y$1</f>
        <v>25</v>
      </c>
      <c r="N10" s="1">
        <v>0</v>
      </c>
      <c r="Q10" s="1" t="s">
        <v>234</v>
      </c>
      <c r="R10" s="3"/>
      <c r="S10" s="3"/>
      <c r="T10" s="3"/>
      <c r="U10" s="3"/>
      <c r="V10" s="63"/>
      <c r="W10" s="3"/>
      <c r="X10" s="3"/>
      <c r="Y10" s="3"/>
      <c r="Z10" s="3"/>
      <c r="AA10" s="3">
        <v>0.2</v>
      </c>
      <c r="AB10" s="3"/>
      <c r="AC10" s="3"/>
      <c r="AD10" s="3"/>
      <c r="AE10" s="3"/>
      <c r="AF10" s="4" t="s">
        <v>234</v>
      </c>
      <c r="AH10" s="63"/>
      <c r="AI10" s="3"/>
      <c r="AJ10" s="3"/>
      <c r="AK10" s="3"/>
      <c r="AL10" s="3">
        <v>0.2</v>
      </c>
      <c r="AM10" s="3"/>
      <c r="AN10" s="3"/>
      <c r="AP10" s="50"/>
      <c r="AS10" s="3" t="s">
        <v>235</v>
      </c>
      <c r="AT10" s="13">
        <v>5</v>
      </c>
    </row>
    <row r="11" customHeight="1" spans="2:46">
      <c r="B11" s="1" t="s">
        <v>111</v>
      </c>
      <c r="C11" s="50">
        <v>0.6</v>
      </c>
      <c r="D11" s="1">
        <v>6</v>
      </c>
      <c r="F11" s="1" t="s">
        <v>236</v>
      </c>
      <c r="G11" s="1">
        <f>角色!BL1</f>
        <v>64</v>
      </c>
      <c r="H11" s="1">
        <f t="shared" ref="H11:H15" si="3">H10+1</f>
        <v>31</v>
      </c>
      <c r="I11" s="1">
        <f t="shared" ref="I11:I15" si="4">I10+1</f>
        <v>27</v>
      </c>
      <c r="J11" s="1">
        <f t="shared" ref="J11:J15" si="5">J10+1</f>
        <v>20</v>
      </c>
      <c r="K11" s="1">
        <v>1</v>
      </c>
      <c r="L11" s="1">
        <f>L8</f>
        <v>33</v>
      </c>
      <c r="M11" s="1">
        <f>驱动盘!$Y$1</f>
        <v>25</v>
      </c>
      <c r="N11" s="1">
        <f t="shared" si="1"/>
        <v>0.168067226890756</v>
      </c>
      <c r="O11" s="1">
        <v>20</v>
      </c>
      <c r="Q11" s="4" t="s">
        <v>237</v>
      </c>
      <c r="R11" s="3"/>
      <c r="S11" s="3"/>
      <c r="T11" s="3"/>
      <c r="U11" s="3"/>
      <c r="V11" s="63">
        <v>500</v>
      </c>
      <c r="W11" s="3">
        <v>0.025</v>
      </c>
      <c r="X11" s="3"/>
      <c r="Y11" s="3"/>
      <c r="Z11" s="3"/>
      <c r="AA11" s="3"/>
      <c r="AB11" s="3"/>
      <c r="AC11" s="3"/>
      <c r="AD11" s="3"/>
      <c r="AE11" s="3"/>
      <c r="AF11" s="64" t="s">
        <v>238</v>
      </c>
      <c r="AG11" s="3"/>
      <c r="AH11" s="63">
        <v>600</v>
      </c>
      <c r="AI11" s="3">
        <v>0.1</v>
      </c>
      <c r="AJ11" s="3"/>
      <c r="AK11" s="3"/>
      <c r="AL11" s="3"/>
      <c r="AM11" s="3"/>
      <c r="AN11" s="65"/>
      <c r="AS11" s="3" t="s">
        <v>239</v>
      </c>
      <c r="AT11" s="13">
        <v>5</v>
      </c>
    </row>
    <row r="12" customHeight="1" spans="1:46">
      <c r="A12" s="1" t="s">
        <v>240</v>
      </c>
      <c r="B12" s="1" t="s">
        <v>183</v>
      </c>
      <c r="C12" s="1">
        <v>22</v>
      </c>
      <c r="F12" s="1" t="s">
        <v>241</v>
      </c>
      <c r="G12" s="1">
        <f>角色!CF1</f>
        <v>84</v>
      </c>
      <c r="H12" s="1">
        <f>H11</f>
        <v>31</v>
      </c>
      <c r="I12" s="1">
        <f t="shared" si="2"/>
        <v>27</v>
      </c>
      <c r="J12" s="1">
        <f>J11</f>
        <v>20</v>
      </c>
      <c r="K12" s="1">
        <v>1</v>
      </c>
      <c r="L12" s="1">
        <f>L8</f>
        <v>33</v>
      </c>
      <c r="M12" s="1">
        <f>驱动盘!$Y$1</f>
        <v>25</v>
      </c>
      <c r="N12" s="1">
        <v>0</v>
      </c>
      <c r="O12" s="1">
        <v>200</v>
      </c>
      <c r="Q12" s="4" t="s">
        <v>242</v>
      </c>
      <c r="R12" s="3"/>
      <c r="S12" s="3"/>
      <c r="T12" s="3"/>
      <c r="U12" s="3"/>
      <c r="V12" s="63">
        <v>500</v>
      </c>
      <c r="W12" s="3">
        <v>0.025</v>
      </c>
      <c r="X12" s="3">
        <v>0.2</v>
      </c>
      <c r="Y12" s="3"/>
      <c r="Z12" s="3"/>
      <c r="AA12" s="3"/>
      <c r="AB12" s="3"/>
      <c r="AC12" s="3"/>
      <c r="AD12" s="3"/>
      <c r="AE12" s="3"/>
      <c r="AF12" s="4" t="s">
        <v>243</v>
      </c>
      <c r="AG12" s="50">
        <v>0.5</v>
      </c>
      <c r="AH12" s="1">
        <v>600</v>
      </c>
      <c r="AN12" s="3"/>
      <c r="AS12" s="3" t="s">
        <v>244</v>
      </c>
      <c r="AT12" s="13">
        <v>5</v>
      </c>
    </row>
    <row r="13" customHeight="1" spans="2:46">
      <c r="B13" s="1" t="s">
        <v>184</v>
      </c>
      <c r="C13" s="50">
        <v>0.03</v>
      </c>
      <c r="F13" s="1" t="s">
        <v>245</v>
      </c>
      <c r="G13" s="1">
        <f>角色!CK1</f>
        <v>89</v>
      </c>
      <c r="H13" s="1">
        <f t="shared" si="3"/>
        <v>32</v>
      </c>
      <c r="I13" s="1">
        <f t="shared" si="4"/>
        <v>28</v>
      </c>
      <c r="J13" s="1">
        <f t="shared" si="5"/>
        <v>21</v>
      </c>
      <c r="K13" s="1">
        <f>K9</f>
        <v>37</v>
      </c>
      <c r="L13" s="1">
        <f>L9</f>
        <v>32</v>
      </c>
      <c r="M13" s="1">
        <f>驱动盘!$Y$1</f>
        <v>25</v>
      </c>
      <c r="N13" s="1">
        <v>0</v>
      </c>
      <c r="O13" s="1">
        <v>10</v>
      </c>
      <c r="Q13" s="4" t="s">
        <v>246</v>
      </c>
      <c r="R13" s="3"/>
      <c r="S13" s="3"/>
      <c r="T13" s="3"/>
      <c r="U13" s="3"/>
      <c r="V13" s="63">
        <v>1000</v>
      </c>
      <c r="W13" s="3">
        <v>0.025</v>
      </c>
      <c r="X13" s="3"/>
      <c r="Y13" s="3"/>
      <c r="Z13" s="3"/>
      <c r="AA13" s="3"/>
      <c r="AB13" s="3"/>
      <c r="AC13" s="3"/>
      <c r="AD13" s="3"/>
      <c r="AE13" s="3"/>
      <c r="AF13" s="4" t="s">
        <v>247</v>
      </c>
      <c r="AG13" s="50">
        <v>0.5</v>
      </c>
      <c r="AH13" s="1">
        <v>300</v>
      </c>
      <c r="AN13" s="3"/>
      <c r="AS13" s="3" t="s">
        <v>248</v>
      </c>
      <c r="AT13" s="13">
        <v>5</v>
      </c>
    </row>
    <row r="14" customHeight="1" spans="2:40">
      <c r="B14" s="1" t="s">
        <v>203</v>
      </c>
      <c r="C14" s="3">
        <v>0.024</v>
      </c>
      <c r="F14" s="5" t="s">
        <v>249</v>
      </c>
      <c r="G14" s="1">
        <f>角色!CP1</f>
        <v>94</v>
      </c>
      <c r="H14" s="1">
        <f t="shared" si="3"/>
        <v>33</v>
      </c>
      <c r="I14" s="1">
        <f t="shared" si="4"/>
        <v>29</v>
      </c>
      <c r="J14" s="1">
        <f t="shared" si="5"/>
        <v>22</v>
      </c>
      <c r="K14" s="1">
        <f>K9</f>
        <v>37</v>
      </c>
      <c r="L14" s="1">
        <f>L9</f>
        <v>32</v>
      </c>
      <c r="M14" s="1">
        <f>驱动盘!$Y$1</f>
        <v>25</v>
      </c>
      <c r="N14" s="1">
        <v>0</v>
      </c>
      <c r="Q14" s="4" t="s">
        <v>250</v>
      </c>
      <c r="R14" s="3"/>
      <c r="S14" s="3"/>
      <c r="T14" s="3"/>
      <c r="U14" s="3"/>
      <c r="V14" s="63">
        <v>1000</v>
      </c>
      <c r="W14" s="3">
        <v>0.025</v>
      </c>
      <c r="X14" s="3">
        <v>0.2</v>
      </c>
      <c r="Y14" s="3"/>
      <c r="Z14" s="3"/>
      <c r="AA14" s="3"/>
      <c r="AB14" s="3"/>
      <c r="AC14" s="3"/>
      <c r="AD14" s="3"/>
      <c r="AE14" s="3"/>
      <c r="AF14" s="4" t="s">
        <v>251</v>
      </c>
      <c r="AG14" s="50">
        <v>0.5</v>
      </c>
      <c r="AN14" s="3"/>
    </row>
    <row r="15" customHeight="1" spans="2:40">
      <c r="B15" s="1" t="s">
        <v>61</v>
      </c>
      <c r="C15" s="3">
        <v>0.048</v>
      </c>
      <c r="F15" s="5" t="s">
        <v>252</v>
      </c>
      <c r="G15" s="1">
        <f>角色!CU1</f>
        <v>99</v>
      </c>
      <c r="H15" s="1">
        <f t="shared" si="3"/>
        <v>34</v>
      </c>
      <c r="I15" s="1">
        <f t="shared" si="4"/>
        <v>30</v>
      </c>
      <c r="J15" s="1">
        <f t="shared" si="5"/>
        <v>23</v>
      </c>
      <c r="K15" s="1">
        <f>K10</f>
        <v>37</v>
      </c>
      <c r="L15" s="1">
        <f>L10</f>
        <v>32</v>
      </c>
      <c r="M15" s="1">
        <f>驱动盘!$Y$1</f>
        <v>25</v>
      </c>
      <c r="N15" s="1">
        <v>0</v>
      </c>
      <c r="Q15" s="4" t="s">
        <v>211</v>
      </c>
      <c r="R15" s="3"/>
      <c r="S15" s="3"/>
      <c r="T15" s="3"/>
      <c r="U15" s="3"/>
      <c r="V15" s="63"/>
      <c r="W15" s="3"/>
      <c r="X15" s="3"/>
      <c r="Y15" s="3"/>
      <c r="Z15" s="3"/>
      <c r="AA15" s="3"/>
      <c r="AB15" s="3">
        <v>0.4</v>
      </c>
      <c r="AC15" s="3"/>
      <c r="AD15" s="3"/>
      <c r="AF15" s="64" t="s">
        <v>253</v>
      </c>
      <c r="AG15" s="3"/>
      <c r="AH15" s="63"/>
      <c r="AI15" s="3"/>
      <c r="AJ15" s="3"/>
      <c r="AK15" s="3">
        <v>0.2</v>
      </c>
      <c r="AL15" s="3"/>
      <c r="AM15" s="3"/>
      <c r="AN15" s="3"/>
    </row>
    <row r="16" customHeight="1" spans="2:40">
      <c r="B16" s="1" t="s">
        <v>254</v>
      </c>
      <c r="C16" s="1">
        <v>9</v>
      </c>
      <c r="F16" s="1" t="s">
        <v>92</v>
      </c>
      <c r="H16" s="1">
        <f>H15</f>
        <v>34</v>
      </c>
      <c r="I16" s="1">
        <f>I15</f>
        <v>30</v>
      </c>
      <c r="J16" s="1">
        <f>J15</f>
        <v>23</v>
      </c>
      <c r="Q16" s="4" t="s">
        <v>255</v>
      </c>
      <c r="R16" s="3"/>
      <c r="S16" s="3"/>
      <c r="T16" s="3"/>
      <c r="U16" s="3"/>
      <c r="V16" s="63"/>
      <c r="W16" s="3"/>
      <c r="X16" s="3"/>
      <c r="Y16" s="3">
        <v>0.15</v>
      </c>
      <c r="Z16" s="3"/>
      <c r="AA16" s="3"/>
      <c r="AB16" s="3">
        <v>0.4</v>
      </c>
      <c r="AC16" s="3"/>
      <c r="AD16" s="3"/>
      <c r="AF16" s="1" t="s">
        <v>256</v>
      </c>
      <c r="AG16" s="3"/>
      <c r="AH16" s="63">
        <v>1000</v>
      </c>
      <c r="AI16" s="3"/>
      <c r="AJ16" s="3"/>
      <c r="AK16" s="3">
        <v>0.25</v>
      </c>
      <c r="AL16" s="3"/>
      <c r="AM16" s="3"/>
      <c r="AN16" s="3"/>
    </row>
    <row r="17" customHeight="1" spans="2:39">
      <c r="B17" s="1" t="s">
        <v>96</v>
      </c>
      <c r="C17" s="1">
        <v>9</v>
      </c>
      <c r="Q17" s="4" t="s">
        <v>257</v>
      </c>
      <c r="R17" s="3"/>
      <c r="S17" s="3"/>
      <c r="T17" s="3"/>
      <c r="U17" s="3"/>
      <c r="V17" s="63"/>
      <c r="W17" s="3"/>
      <c r="X17" s="3">
        <f>15%</f>
        <v>0.15</v>
      </c>
      <c r="Y17" s="3"/>
      <c r="Z17" s="3"/>
      <c r="AA17" s="3"/>
      <c r="AB17" s="3">
        <v>0.4</v>
      </c>
      <c r="AC17" s="3"/>
      <c r="AD17" s="3"/>
      <c r="AF17" s="4" t="s">
        <v>258</v>
      </c>
      <c r="AG17" s="3"/>
      <c r="AH17" s="63">
        <v>1000</v>
      </c>
      <c r="AI17" s="3"/>
      <c r="AJ17" s="3"/>
      <c r="AK17" s="3">
        <f>25%+18%</f>
        <v>0.43</v>
      </c>
      <c r="AL17" s="3"/>
      <c r="AM17" s="3"/>
    </row>
    <row r="18" customHeight="1" spans="3:30">
      <c r="C18" s="1" t="s">
        <v>259</v>
      </c>
      <c r="D18" s="1" t="s">
        <v>260</v>
      </c>
      <c r="Q18" s="4" t="s">
        <v>261</v>
      </c>
      <c r="R18" s="3"/>
      <c r="S18" s="3"/>
      <c r="T18" s="3"/>
      <c r="U18" s="3"/>
      <c r="V18" s="63"/>
      <c r="W18" s="3"/>
      <c r="X18" s="3">
        <f>15%+24%</f>
        <v>0.39</v>
      </c>
      <c r="Y18" s="3">
        <v>0.15</v>
      </c>
      <c r="Z18" s="3"/>
      <c r="AA18" s="3"/>
      <c r="AB18" s="3">
        <v>0.4</v>
      </c>
      <c r="AC18" s="3"/>
      <c r="AD18" s="3"/>
    </row>
    <row r="19" customHeight="1" spans="1:30">
      <c r="A19" s="1" t="s">
        <v>262</v>
      </c>
      <c r="B19" s="1" t="s">
        <v>263</v>
      </c>
      <c r="C19" s="1">
        <v>40</v>
      </c>
      <c r="D19" s="12">
        <v>594</v>
      </c>
      <c r="Q19" s="4" t="s">
        <v>264</v>
      </c>
      <c r="R19" s="3"/>
      <c r="S19" s="3"/>
      <c r="T19" s="3"/>
      <c r="U19" s="3"/>
      <c r="V19" s="63"/>
      <c r="W19" s="3"/>
      <c r="X19" s="3"/>
      <c r="Y19" s="3">
        <v>0.15</v>
      </c>
      <c r="Z19" s="3"/>
      <c r="AA19" s="3"/>
      <c r="AB19" s="3"/>
      <c r="AC19" s="3"/>
      <c r="AD19" s="3"/>
    </row>
    <row r="20" customHeight="1" spans="2:30">
      <c r="B20" s="1" t="s">
        <v>265</v>
      </c>
      <c r="C20" s="1">
        <v>42</v>
      </c>
      <c r="D20" s="12">
        <v>625</v>
      </c>
      <c r="Q20" s="1" t="s">
        <v>238</v>
      </c>
      <c r="R20" s="3"/>
      <c r="S20" s="3"/>
      <c r="T20" s="3"/>
      <c r="U20" s="3"/>
      <c r="V20" s="63">
        <v>600</v>
      </c>
      <c r="W20" s="3">
        <v>0.1</v>
      </c>
      <c r="X20" s="3"/>
      <c r="Y20" s="3"/>
      <c r="Z20" s="3"/>
      <c r="AA20" s="3"/>
      <c r="AB20" s="3"/>
      <c r="AC20" s="3"/>
      <c r="AD20" s="3"/>
    </row>
    <row r="21" customHeight="1" spans="2:30">
      <c r="B21" s="1" t="s">
        <v>266</v>
      </c>
      <c r="C21" s="1">
        <v>46</v>
      </c>
      <c r="D21" s="12">
        <v>684</v>
      </c>
      <c r="Q21" s="1" t="s">
        <v>267</v>
      </c>
      <c r="R21" s="3"/>
      <c r="S21" s="3"/>
      <c r="T21" s="3"/>
      <c r="U21" s="3"/>
      <c r="V21" s="63"/>
      <c r="W21" s="3"/>
      <c r="X21" s="3">
        <v>0.2</v>
      </c>
      <c r="Y21" s="3"/>
      <c r="Z21" s="3"/>
      <c r="AA21" s="3"/>
      <c r="AB21" s="3"/>
      <c r="AC21" s="3"/>
      <c r="AD21" s="3"/>
    </row>
    <row r="22" customHeight="1" spans="2:30">
      <c r="B22" s="1" t="s">
        <v>268</v>
      </c>
      <c r="C22" s="1">
        <v>48</v>
      </c>
      <c r="D22" s="1">
        <v>713</v>
      </c>
      <c r="Q22" s="1" t="s">
        <v>269</v>
      </c>
      <c r="R22" s="3"/>
      <c r="S22" s="3"/>
      <c r="T22" s="3"/>
      <c r="U22" s="3"/>
      <c r="V22" s="63"/>
      <c r="W22" s="3"/>
      <c r="X22" s="3"/>
      <c r="Y22" s="3">
        <v>0.16</v>
      </c>
      <c r="Z22" s="3"/>
      <c r="AA22" s="3"/>
      <c r="AB22" s="3"/>
      <c r="AC22" s="3"/>
      <c r="AD22" s="3"/>
    </row>
    <row r="23" customHeight="1" spans="1:30">
      <c r="A23" s="1" t="s">
        <v>270</v>
      </c>
      <c r="B23" s="1" t="s">
        <v>271</v>
      </c>
      <c r="C23" s="1" t="s">
        <v>272</v>
      </c>
      <c r="D23" s="1" t="s">
        <v>273</v>
      </c>
      <c r="Q23" s="4" t="s">
        <v>274</v>
      </c>
      <c r="R23" s="3"/>
      <c r="S23" s="3"/>
      <c r="T23" s="3"/>
      <c r="U23" s="3"/>
      <c r="V23" s="63"/>
      <c r="W23" s="3"/>
      <c r="X23" s="3"/>
      <c r="Y23" s="3"/>
      <c r="Z23" s="3">
        <v>1</v>
      </c>
      <c r="AA23" s="3"/>
      <c r="AB23" s="3"/>
      <c r="AC23" s="3"/>
      <c r="AD23" s="3"/>
    </row>
    <row r="24" customHeight="1" spans="2:30">
      <c r="B24" s="1" t="s">
        <v>275</v>
      </c>
      <c r="C24" s="1" t="s">
        <v>276</v>
      </c>
      <c r="D24" s="1" t="s">
        <v>277</v>
      </c>
      <c r="Q24" s="1" t="s">
        <v>278</v>
      </c>
      <c r="R24" s="3"/>
      <c r="S24" s="3"/>
      <c r="T24" s="3"/>
      <c r="U24" s="3"/>
      <c r="V24" s="63"/>
      <c r="W24" s="3"/>
      <c r="X24" s="3">
        <v>0.225</v>
      </c>
      <c r="Y24" s="3"/>
      <c r="Z24" s="3"/>
      <c r="AA24" s="3"/>
      <c r="AB24" s="3"/>
      <c r="AC24" s="3"/>
      <c r="AD24" s="3"/>
    </row>
    <row r="25" customHeight="1" spans="2:30">
      <c r="B25" s="1" t="s">
        <v>225</v>
      </c>
      <c r="C25" s="1" t="s">
        <v>279</v>
      </c>
      <c r="Q25" s="1" t="s">
        <v>280</v>
      </c>
      <c r="R25" s="3"/>
      <c r="S25" s="3"/>
      <c r="T25" s="3"/>
      <c r="U25" s="3"/>
      <c r="V25" s="63"/>
      <c r="W25" s="3"/>
      <c r="X25" s="3">
        <v>0.4</v>
      </c>
      <c r="Y25" s="3"/>
      <c r="Z25" s="3"/>
      <c r="AA25" s="3"/>
      <c r="AB25" s="3"/>
      <c r="AC25" s="3"/>
      <c r="AD25" s="3"/>
    </row>
    <row r="26" customHeight="1" spans="2:30">
      <c r="B26" s="62">
        <v>0.08</v>
      </c>
      <c r="C26" s="62">
        <f>((70*5+500)+(60*5+500))/((70*5+500)*MAX(1-B26,0)+(60*5+500))-1</f>
        <v>0.0429835651074588</v>
      </c>
      <c r="Q26" s="1" t="s">
        <v>281</v>
      </c>
      <c r="R26" s="3"/>
      <c r="S26" s="3"/>
      <c r="T26" s="3"/>
      <c r="U26" s="3">
        <v>0.25</v>
      </c>
      <c r="V26" s="63">
        <v>600</v>
      </c>
      <c r="W26" s="3"/>
      <c r="X26" s="3"/>
      <c r="Y26" s="3"/>
      <c r="Z26" s="3"/>
      <c r="AA26" s="3"/>
      <c r="AB26" s="3"/>
      <c r="AC26" s="3"/>
      <c r="AD26" s="3"/>
    </row>
    <row r="27" customHeight="1" spans="17:30">
      <c r="Q27" s="4" t="s">
        <v>282</v>
      </c>
      <c r="R27" s="3"/>
      <c r="S27" s="3"/>
      <c r="T27" s="3"/>
      <c r="U27" s="3"/>
      <c r="V27" s="63"/>
      <c r="W27" s="3"/>
      <c r="X27" s="3">
        <f>35%+12%</f>
        <v>0.47</v>
      </c>
      <c r="Y27" s="3"/>
      <c r="Z27" s="3"/>
      <c r="AA27" s="3"/>
      <c r="AB27" s="3"/>
      <c r="AC27" s="3"/>
      <c r="AD27" s="3"/>
    </row>
    <row r="28" customHeight="1" spans="17:30">
      <c r="Q28" s="4" t="s">
        <v>283</v>
      </c>
      <c r="R28" s="3"/>
      <c r="S28" s="3">
        <v>0.1</v>
      </c>
      <c r="T28" s="3"/>
      <c r="U28" s="3"/>
      <c r="V28" s="63"/>
      <c r="W28" s="3"/>
      <c r="X28" s="3"/>
      <c r="Y28" s="3"/>
      <c r="Z28" s="3"/>
      <c r="AA28" s="3"/>
      <c r="AB28" s="3"/>
      <c r="AC28" s="3"/>
      <c r="AD28" s="3"/>
    </row>
    <row r="29" customHeight="1" spans="17:30">
      <c r="Q29" s="4" t="s">
        <v>253</v>
      </c>
      <c r="R29" s="3"/>
      <c r="S29" s="3"/>
      <c r="T29" s="3"/>
      <c r="U29" s="3"/>
      <c r="V29" s="63"/>
      <c r="W29" s="3"/>
      <c r="X29" s="3">
        <v>0.2</v>
      </c>
      <c r="Y29" s="3"/>
      <c r="Z29" s="3"/>
      <c r="AA29" s="3"/>
      <c r="AB29" s="3"/>
      <c r="AC29" s="3"/>
      <c r="AD29" s="3"/>
    </row>
    <row r="30" customHeight="1" spans="17:30">
      <c r="Q30" s="1" t="s">
        <v>256</v>
      </c>
      <c r="R30" s="3"/>
      <c r="S30" s="3"/>
      <c r="T30" s="3"/>
      <c r="U30" s="3"/>
      <c r="V30" s="63">
        <v>1000</v>
      </c>
      <c r="W30" s="3"/>
      <c r="X30" s="3">
        <v>0.25</v>
      </c>
      <c r="Y30" s="3"/>
      <c r="Z30" s="3"/>
      <c r="AA30" s="3"/>
      <c r="AB30" s="3"/>
      <c r="AC30" s="3"/>
      <c r="AD30" s="3"/>
    </row>
    <row r="31" customHeight="1" spans="17:30">
      <c r="Q31" s="4" t="s">
        <v>258</v>
      </c>
      <c r="R31" s="3"/>
      <c r="S31" s="3"/>
      <c r="T31" s="3"/>
      <c r="U31" s="3"/>
      <c r="V31" s="63">
        <v>1000</v>
      </c>
      <c r="W31" s="3"/>
      <c r="X31" s="3">
        <f>25%+18%</f>
        <v>0.43</v>
      </c>
      <c r="Y31" s="3"/>
      <c r="Z31" s="3"/>
      <c r="AA31" s="3"/>
      <c r="AB31" s="3"/>
      <c r="AC31" s="3"/>
      <c r="AD31" s="3">
        <v>0.12</v>
      </c>
    </row>
    <row r="32" customHeight="1" spans="17:30">
      <c r="Q32" s="1" t="s">
        <v>80</v>
      </c>
      <c r="X32" s="3">
        <v>0.2</v>
      </c>
      <c r="AD32" s="3"/>
    </row>
    <row r="33" customHeight="1" spans="17:30">
      <c r="Q33" s="1" t="s">
        <v>108</v>
      </c>
      <c r="R33" s="3"/>
      <c r="S33" s="3"/>
      <c r="T33" s="3"/>
      <c r="U33" s="3"/>
      <c r="V33" s="63"/>
      <c r="W33" s="3"/>
      <c r="X33" s="3">
        <v>0.151</v>
      </c>
      <c r="Y33" s="3"/>
      <c r="Z33" s="3"/>
      <c r="AA33" s="3"/>
      <c r="AB33" s="3"/>
      <c r="AC33" s="3"/>
      <c r="AD33" s="3"/>
    </row>
    <row r="34" customHeight="1" spans="17:30">
      <c r="Q34" s="1" t="s">
        <v>110</v>
      </c>
      <c r="R34" s="3"/>
      <c r="S34" s="3"/>
      <c r="T34" s="3"/>
      <c r="U34" s="3"/>
      <c r="V34" s="63"/>
      <c r="W34" s="3"/>
      <c r="X34" s="3">
        <v>0.15</v>
      </c>
      <c r="Y34" s="3"/>
      <c r="Z34" s="3"/>
      <c r="AA34" s="3"/>
      <c r="AB34" s="3"/>
      <c r="AC34" s="3"/>
      <c r="AD34" s="3"/>
    </row>
    <row r="35" customHeight="1" spans="17:30">
      <c r="Q35" s="1" t="s">
        <v>82</v>
      </c>
      <c r="R35" s="3"/>
      <c r="S35" s="3"/>
      <c r="T35" s="3"/>
      <c r="U35" s="3"/>
      <c r="V35" s="63"/>
      <c r="W35" s="3"/>
      <c r="X35" s="3">
        <v>0.15</v>
      </c>
      <c r="Y35" s="3"/>
      <c r="Z35" s="3"/>
      <c r="AA35" s="3"/>
      <c r="AB35" s="3"/>
      <c r="AC35" s="3"/>
      <c r="AD35" s="3"/>
    </row>
    <row r="36" customHeight="1" spans="17:30">
      <c r="Q36" s="4" t="s">
        <v>95</v>
      </c>
      <c r="R36" s="3"/>
      <c r="S36" s="3"/>
      <c r="T36" s="3">
        <v>0.2</v>
      </c>
      <c r="U36" s="3"/>
      <c r="V36" s="63"/>
      <c r="W36" s="3"/>
      <c r="X36" s="3"/>
      <c r="Y36" s="3"/>
      <c r="Z36" s="3"/>
      <c r="AA36" s="3"/>
      <c r="AB36" s="3"/>
      <c r="AC36" s="3"/>
      <c r="AD36" s="3"/>
    </row>
    <row r="37" customHeight="1" spans="17:30">
      <c r="Q37" s="1" t="s">
        <v>87</v>
      </c>
      <c r="R37" s="3"/>
      <c r="S37" s="3"/>
      <c r="T37" s="3"/>
      <c r="U37" s="3"/>
      <c r="V37" s="63"/>
      <c r="W37" s="3"/>
      <c r="X37" s="3">
        <v>0.15</v>
      </c>
      <c r="Y37" s="3"/>
      <c r="Z37" s="3"/>
      <c r="AA37" s="3"/>
      <c r="AB37" s="3"/>
      <c r="AC37" s="3"/>
      <c r="AD37" s="3"/>
    </row>
  </sheetData>
  <sheetProtection formatCells="0" insertHyperlinks="0" autoFilter="0"/>
  <conditionalFormatting sqref="AJ2">
    <cfRule type="cellIs" dxfId="0" priority="237" operator="equal">
      <formula>0</formula>
    </cfRule>
  </conditionalFormatting>
  <conditionalFormatting sqref="AL2">
    <cfRule type="cellIs" dxfId="0" priority="160" operator="equal">
      <formula>0</formula>
    </cfRule>
  </conditionalFormatting>
  <conditionalFormatting sqref="AL3">
    <cfRule type="cellIs" dxfId="0" priority="163" operator="equal">
      <formula>0</formula>
    </cfRule>
  </conditionalFormatting>
  <conditionalFormatting sqref="R4">
    <cfRule type="cellIs" dxfId="0" priority="193" operator="equal">
      <formula>0</formula>
    </cfRule>
  </conditionalFormatting>
  <conditionalFormatting sqref="V4">
    <cfRule type="cellIs" dxfId="0" priority="196" operator="equal">
      <formula>0</formula>
    </cfRule>
  </conditionalFormatting>
  <conditionalFormatting sqref="W4:Z4">
    <cfRule type="cellIs" dxfId="0" priority="195" operator="equal">
      <formula>0</formula>
    </cfRule>
  </conditionalFormatting>
  <conditionalFormatting sqref="AA4">
    <cfRule type="cellIs" dxfId="0" priority="173" operator="equal">
      <formula>0</formula>
    </cfRule>
  </conditionalFormatting>
  <conditionalFormatting sqref="AB4">
    <cfRule type="cellIs" dxfId="0" priority="103" operator="equal">
      <formula>0</formula>
    </cfRule>
  </conditionalFormatting>
  <conditionalFormatting sqref="AH4">
    <cfRule type="cellIs" dxfId="0" priority="123" operator="equal">
      <formula>0</formula>
    </cfRule>
  </conditionalFormatting>
  <conditionalFormatting sqref="AL4">
    <cfRule type="cellIs" dxfId="0" priority="122" operator="equal">
      <formula>0</formula>
    </cfRule>
  </conditionalFormatting>
  <conditionalFormatting sqref="W5:Z5">
    <cfRule type="cellIs" dxfId="0" priority="208" operator="equal">
      <formula>0</formula>
    </cfRule>
  </conditionalFormatting>
  <conditionalFormatting sqref="AA5">
    <cfRule type="cellIs" dxfId="0" priority="176" operator="equal">
      <formula>0</formula>
    </cfRule>
  </conditionalFormatting>
  <conditionalFormatting sqref="AB5">
    <cfRule type="cellIs" dxfId="0" priority="106" operator="equal">
      <formula>0</formula>
    </cfRule>
  </conditionalFormatting>
  <conditionalFormatting sqref="AH5">
    <cfRule type="cellIs" dxfId="0" priority="156" operator="equal">
      <formula>0</formula>
    </cfRule>
  </conditionalFormatting>
  <conditionalFormatting sqref="AI5:AK5">
    <cfRule type="cellIs" dxfId="0" priority="157" operator="equal">
      <formula>0</formula>
    </cfRule>
  </conditionalFormatting>
  <conditionalFormatting sqref="AL5">
    <cfRule type="cellIs" dxfId="0" priority="154" operator="equal">
      <formula>0</formula>
    </cfRule>
  </conditionalFormatting>
  <conditionalFormatting sqref="AM5">
    <cfRule type="cellIs" dxfId="0" priority="155" operator="equal">
      <formula>0</formula>
    </cfRule>
  </conditionalFormatting>
  <conditionalFormatting sqref="R6">
    <cfRule type="cellIs" dxfId="0" priority="233" operator="equal">
      <formula>0</formula>
    </cfRule>
  </conditionalFormatting>
  <conditionalFormatting sqref="W6:Z6">
    <cfRule type="cellIs" dxfId="0" priority="235" operator="equal">
      <formula>0</formula>
    </cfRule>
  </conditionalFormatting>
  <conditionalFormatting sqref="AA6">
    <cfRule type="cellIs" dxfId="0" priority="183" operator="equal">
      <formula>0</formula>
    </cfRule>
  </conditionalFormatting>
  <conditionalFormatting sqref="AB6">
    <cfRule type="cellIs" dxfId="0" priority="112" operator="equal">
      <formula>0</formula>
    </cfRule>
  </conditionalFormatting>
  <conditionalFormatting sqref="AE6">
    <cfRule type="cellIs" dxfId="0" priority="129" operator="equal">
      <formula>0</formula>
    </cfRule>
  </conditionalFormatting>
  <conditionalFormatting sqref="AH6">
    <cfRule type="cellIs" dxfId="0" priority="151" operator="equal">
      <formula>0</formula>
    </cfRule>
  </conditionalFormatting>
  <conditionalFormatting sqref="AI6:AK6">
    <cfRule type="cellIs" dxfId="0" priority="152" operator="equal">
      <formula>0</formula>
    </cfRule>
  </conditionalFormatting>
  <conditionalFormatting sqref="AL6">
    <cfRule type="cellIs" dxfId="0" priority="149" operator="equal">
      <formula>0</formula>
    </cfRule>
  </conditionalFormatting>
  <conditionalFormatting sqref="AM6">
    <cfRule type="cellIs" dxfId="0" priority="150" operator="equal">
      <formula>0</formula>
    </cfRule>
  </conditionalFormatting>
  <conditionalFormatting sqref="AO6:AQ6">
    <cfRule type="cellIs" dxfId="0" priority="7" operator="equal">
      <formula>0</formula>
    </cfRule>
  </conditionalFormatting>
  <conditionalFormatting sqref="AA7">
    <cfRule type="cellIs" dxfId="0" priority="186" operator="equal">
      <formula>0</formula>
    </cfRule>
  </conditionalFormatting>
  <conditionalFormatting sqref="AB7">
    <cfRule type="cellIs" dxfId="0" priority="115" operator="equal">
      <formula>0</formula>
    </cfRule>
  </conditionalFormatting>
  <conditionalFormatting sqref="AL7">
    <cfRule type="cellIs" dxfId="0" priority="159" operator="equal">
      <formula>0</formula>
    </cfRule>
  </conditionalFormatting>
  <conditionalFormatting sqref="AM7">
    <cfRule type="cellIs" dxfId="0" priority="213" operator="equal">
      <formula>0</formula>
    </cfRule>
  </conditionalFormatting>
  <conditionalFormatting sqref="AH8">
    <cfRule type="cellIs" dxfId="0" priority="31" operator="equal">
      <formula>0</formula>
    </cfRule>
  </conditionalFormatting>
  <conditionalFormatting sqref="AI8:AK8">
    <cfRule type="cellIs" dxfId="0" priority="33" operator="equal">
      <formula>0</formula>
    </cfRule>
  </conditionalFormatting>
  <conditionalFormatting sqref="AL8">
    <cfRule type="cellIs" dxfId="0" priority="29" operator="equal">
      <formula>0</formula>
    </cfRule>
  </conditionalFormatting>
  <conditionalFormatting sqref="AM8">
    <cfRule type="cellIs" dxfId="0" priority="30" operator="equal">
      <formula>0</formula>
    </cfRule>
  </conditionalFormatting>
  <conditionalFormatting sqref="AN8">
    <cfRule type="cellIs" dxfId="0" priority="34" operator="equal">
      <formula>0</formula>
    </cfRule>
  </conditionalFormatting>
  <conditionalFormatting sqref="AO8:AQ8">
    <cfRule type="cellIs" dxfId="0" priority="32" operator="equal">
      <formula>0</formula>
    </cfRule>
  </conditionalFormatting>
  <conditionalFormatting sqref="AA9">
    <cfRule type="cellIs" dxfId="0" priority="177" operator="equal">
      <formula>0</formula>
    </cfRule>
  </conditionalFormatting>
  <conditionalFormatting sqref="AB9">
    <cfRule type="cellIs" dxfId="0" priority="107" operator="equal">
      <formula>0</formula>
    </cfRule>
  </conditionalFormatting>
  <conditionalFormatting sqref="AA10">
    <cfRule type="cellIs" dxfId="0" priority="44" operator="equal">
      <formula>0</formula>
    </cfRule>
  </conditionalFormatting>
  <conditionalFormatting sqref="AB10">
    <cfRule type="cellIs" dxfId="0" priority="43" operator="equal">
      <formula>0</formula>
    </cfRule>
  </conditionalFormatting>
  <conditionalFormatting sqref="AD10">
    <cfRule type="cellIs" dxfId="0" priority="42" operator="equal">
      <formula>0</formula>
    </cfRule>
  </conditionalFormatting>
  <conditionalFormatting sqref="AH10">
    <cfRule type="cellIs" dxfId="0" priority="40" operator="equal">
      <formula>0</formula>
    </cfRule>
  </conditionalFormatting>
  <conditionalFormatting sqref="AI10:AK10">
    <cfRule type="cellIs" dxfId="0" priority="41" operator="equal">
      <formula>0</formula>
    </cfRule>
  </conditionalFormatting>
  <conditionalFormatting sqref="AL10">
    <cfRule type="cellIs" dxfId="0" priority="38" operator="equal">
      <formula>0</formula>
    </cfRule>
  </conditionalFormatting>
  <conditionalFormatting sqref="AM10">
    <cfRule type="cellIs" dxfId="0" priority="39" operator="equal">
      <formula>0</formula>
    </cfRule>
  </conditionalFormatting>
  <conditionalFormatting sqref="AH11">
    <cfRule type="cellIs" dxfId="0" priority="204" operator="equal">
      <formula>0</formula>
    </cfRule>
  </conditionalFormatting>
  <conditionalFormatting sqref="AL11">
    <cfRule type="cellIs" dxfId="0" priority="158" operator="equal">
      <formula>0</formula>
    </cfRule>
  </conditionalFormatting>
  <conditionalFormatting sqref="X12">
    <cfRule type="cellIs" dxfId="0" priority="140" operator="equal">
      <formula>0</formula>
    </cfRule>
  </conditionalFormatting>
  <conditionalFormatting sqref="AA12">
    <cfRule type="cellIs" dxfId="0" priority="141" operator="equal">
      <formula>0</formula>
    </cfRule>
  </conditionalFormatting>
  <conditionalFormatting sqref="AB12">
    <cfRule type="cellIs" dxfId="0" priority="98" operator="equal">
      <formula>0</formula>
    </cfRule>
  </conditionalFormatting>
  <conditionalFormatting sqref="AA13">
    <cfRule type="cellIs" dxfId="0" priority="179" operator="equal">
      <formula>0</formula>
    </cfRule>
  </conditionalFormatting>
  <conditionalFormatting sqref="AB13">
    <cfRule type="cellIs" dxfId="0" priority="109" operator="equal">
      <formula>0</formula>
    </cfRule>
  </conditionalFormatting>
  <conditionalFormatting sqref="V14">
    <cfRule type="cellIs" dxfId="0" priority="209" operator="equal">
      <formula>0</formula>
    </cfRule>
  </conditionalFormatting>
  <conditionalFormatting sqref="AA15">
    <cfRule type="cellIs" dxfId="0" priority="175" operator="equal">
      <formula>0</formula>
    </cfRule>
  </conditionalFormatting>
  <conditionalFormatting sqref="AB15">
    <cfRule type="cellIs" dxfId="0" priority="105" operator="equal">
      <formula>0</formula>
    </cfRule>
  </conditionalFormatting>
  <conditionalFormatting sqref="AH15">
    <cfRule type="cellIs" dxfId="0" priority="36" operator="equal">
      <formula>0</formula>
    </cfRule>
  </conditionalFormatting>
  <conditionalFormatting sqref="AL15">
    <cfRule type="cellIs" dxfId="0" priority="35" operator="equal">
      <formula>0</formula>
    </cfRule>
  </conditionalFormatting>
  <conditionalFormatting sqref="Y16">
    <cfRule type="cellIs" dxfId="0" priority="136" operator="equal">
      <formula>0</formula>
    </cfRule>
  </conditionalFormatting>
  <conditionalFormatting sqref="AA16">
    <cfRule type="cellIs" dxfId="0" priority="137" operator="equal">
      <formula>0</formula>
    </cfRule>
  </conditionalFormatting>
  <conditionalFormatting sqref="AB16">
    <cfRule type="cellIs" dxfId="0" priority="97" operator="equal">
      <formula>0</formula>
    </cfRule>
  </conditionalFormatting>
  <conditionalFormatting sqref="AH16">
    <cfRule type="cellIs" dxfId="0" priority="13" operator="equal">
      <formula>0</formula>
    </cfRule>
  </conditionalFormatting>
  <conditionalFormatting sqref="AK16">
    <cfRule type="cellIs" dxfId="0" priority="9" operator="equal">
      <formula>0</formula>
    </cfRule>
  </conditionalFormatting>
  <conditionalFormatting sqref="AL16">
    <cfRule type="cellIs" dxfId="0" priority="11" operator="equal">
      <formula>0</formula>
    </cfRule>
  </conditionalFormatting>
  <conditionalFormatting sqref="AH17">
    <cfRule type="cellIs" dxfId="0" priority="12" operator="equal">
      <formula>0</formula>
    </cfRule>
  </conditionalFormatting>
  <conditionalFormatting sqref="AK17">
    <cfRule type="cellIs" dxfId="0" priority="8" operator="equal">
      <formula>0</formula>
    </cfRule>
  </conditionalFormatting>
  <conditionalFormatting sqref="AL17">
    <cfRule type="cellIs" dxfId="0" priority="10" operator="equal">
      <formula>0</formula>
    </cfRule>
  </conditionalFormatting>
  <conditionalFormatting sqref="AA18">
    <cfRule type="cellIs" dxfId="0" priority="165" operator="equal">
      <formula>0</formula>
    </cfRule>
  </conditionalFormatting>
  <conditionalFormatting sqref="AB18">
    <cfRule type="cellIs" dxfId="0" priority="100" operator="equal">
      <formula>0</formula>
    </cfRule>
  </conditionalFormatting>
  <conditionalFormatting sqref="X19">
    <cfRule type="cellIs" dxfId="0" priority="6" operator="equal">
      <formula>0</formula>
    </cfRule>
  </conditionalFormatting>
  <conditionalFormatting sqref="AA19">
    <cfRule type="cellIs" dxfId="0" priority="3" operator="equal">
      <formula>0</formula>
    </cfRule>
  </conditionalFormatting>
  <conditionalFormatting sqref="AB19">
    <cfRule type="cellIs" dxfId="0" priority="2" operator="equal">
      <formula>0</formula>
    </cfRule>
  </conditionalFormatting>
  <conditionalFormatting sqref="AD19">
    <cfRule type="cellIs" dxfId="0" priority="1" operator="equal">
      <formula>0</formula>
    </cfRule>
  </conditionalFormatting>
  <conditionalFormatting sqref="X20:Z20">
    <cfRule type="cellIs" dxfId="0" priority="198" operator="equal">
      <formula>0</formula>
    </cfRule>
  </conditionalFormatting>
  <conditionalFormatting sqref="AA20">
    <cfRule type="cellIs" dxfId="0" priority="174" operator="equal">
      <formula>0</formula>
    </cfRule>
  </conditionalFormatting>
  <conditionalFormatting sqref="AB20">
    <cfRule type="cellIs" dxfId="0" priority="104" operator="equal">
      <formula>0</formula>
    </cfRule>
  </conditionalFormatting>
  <conditionalFormatting sqref="X21:Z21">
    <cfRule type="cellIs" dxfId="0" priority="84" operator="equal">
      <formula>0</formula>
    </cfRule>
  </conditionalFormatting>
  <conditionalFormatting sqref="AA21">
    <cfRule type="cellIs" dxfId="0" priority="83" operator="equal">
      <formula>0</formula>
    </cfRule>
  </conditionalFormatting>
  <conditionalFormatting sqref="AB21">
    <cfRule type="cellIs" dxfId="0" priority="82" operator="equal">
      <formula>0</formula>
    </cfRule>
  </conditionalFormatting>
  <conditionalFormatting sqref="AD21">
    <cfRule type="cellIs" dxfId="0" priority="81" operator="equal">
      <formula>0</formula>
    </cfRule>
  </conditionalFormatting>
  <conditionalFormatting sqref="X22:Z22">
    <cfRule type="cellIs" dxfId="0" priority="133" operator="equal">
      <formula>0</formula>
    </cfRule>
  </conditionalFormatting>
  <conditionalFormatting sqref="AA22">
    <cfRule type="cellIs" dxfId="0" priority="131" operator="equal">
      <formula>0</formula>
    </cfRule>
  </conditionalFormatting>
  <conditionalFormatting sqref="AB22">
    <cfRule type="cellIs" dxfId="0" priority="96" operator="equal">
      <formula>0</formula>
    </cfRule>
  </conditionalFormatting>
  <conditionalFormatting sqref="AA24">
    <cfRule type="cellIs" dxfId="0" priority="184" operator="equal">
      <formula>0</formula>
    </cfRule>
  </conditionalFormatting>
  <conditionalFormatting sqref="AB24">
    <cfRule type="cellIs" dxfId="0" priority="113" operator="equal">
      <formula>0</formula>
    </cfRule>
  </conditionalFormatting>
  <conditionalFormatting sqref="AA25">
    <cfRule type="cellIs" dxfId="0" priority="185" operator="equal">
      <formula>0</formula>
    </cfRule>
  </conditionalFormatting>
  <conditionalFormatting sqref="AB25">
    <cfRule type="cellIs" dxfId="0" priority="114" operator="equal">
      <formula>0</formula>
    </cfRule>
  </conditionalFormatting>
  <conditionalFormatting sqref="AA26">
    <cfRule type="cellIs" dxfId="0" priority="73" operator="equal">
      <formula>0</formula>
    </cfRule>
  </conditionalFormatting>
  <conditionalFormatting sqref="AB26">
    <cfRule type="cellIs" dxfId="0" priority="72" operator="equal">
      <formula>0</formula>
    </cfRule>
  </conditionalFormatting>
  <conditionalFormatting sqref="AD26">
    <cfRule type="cellIs" dxfId="0" priority="71" operator="equal">
      <formula>0</formula>
    </cfRule>
  </conditionalFormatting>
  <conditionalFormatting sqref="AA27">
    <cfRule type="cellIs" dxfId="0" priority="181" operator="equal">
      <formula>0</formula>
    </cfRule>
  </conditionalFormatting>
  <conditionalFormatting sqref="AB27">
    <cfRule type="cellIs" dxfId="0" priority="111" operator="equal">
      <formula>0</formula>
    </cfRule>
  </conditionalFormatting>
  <conditionalFormatting sqref="V28">
    <cfRule type="cellIs" dxfId="0" priority="121" operator="equal">
      <formula>0</formula>
    </cfRule>
  </conditionalFormatting>
  <conditionalFormatting sqref="AA28">
    <cfRule type="cellIs" dxfId="0" priority="117" operator="equal">
      <formula>0</formula>
    </cfRule>
  </conditionalFormatting>
  <conditionalFormatting sqref="AB28">
    <cfRule type="cellIs" dxfId="0" priority="94" operator="equal">
      <formula>0</formula>
    </cfRule>
  </conditionalFormatting>
  <conditionalFormatting sqref="V29">
    <cfRule type="cellIs" dxfId="0" priority="191" operator="equal">
      <formula>0</formula>
    </cfRule>
  </conditionalFormatting>
  <conditionalFormatting sqref="AA29">
    <cfRule type="cellIs" dxfId="0" priority="172" operator="equal">
      <formula>0</formula>
    </cfRule>
  </conditionalFormatting>
  <conditionalFormatting sqref="AB29">
    <cfRule type="cellIs" dxfId="0" priority="102" operator="equal">
      <formula>0</formula>
    </cfRule>
  </conditionalFormatting>
  <conditionalFormatting sqref="V30">
    <cfRule type="cellIs" dxfId="0" priority="27" operator="equal">
      <formula>0</formula>
    </cfRule>
  </conditionalFormatting>
  <conditionalFormatting sqref="X30">
    <cfRule type="cellIs" dxfId="0" priority="22" operator="equal">
      <formula>0</formula>
    </cfRule>
  </conditionalFormatting>
  <conditionalFormatting sqref="AA30">
    <cfRule type="cellIs" dxfId="0" priority="24" operator="equal">
      <formula>0</formula>
    </cfRule>
  </conditionalFormatting>
  <conditionalFormatting sqref="AB30">
    <cfRule type="cellIs" dxfId="0" priority="23" operator="equal">
      <formula>0</formula>
    </cfRule>
  </conditionalFormatting>
  <conditionalFormatting sqref="AD30">
    <cfRule type="cellIs" dxfId="0" priority="21" operator="equal">
      <formula>0</formula>
    </cfRule>
  </conditionalFormatting>
  <conditionalFormatting sqref="AA31">
    <cfRule type="cellIs" dxfId="0" priority="18" operator="equal">
      <formula>0</formula>
    </cfRule>
  </conditionalFormatting>
  <conditionalFormatting sqref="AB31">
    <cfRule type="cellIs" dxfId="0" priority="17" operator="equal">
      <formula>0</formula>
    </cfRule>
  </conditionalFormatting>
  <conditionalFormatting sqref="AD31">
    <cfRule type="cellIs" dxfId="0" priority="16" operator="equal">
      <formula>0</formula>
    </cfRule>
  </conditionalFormatting>
  <conditionalFormatting sqref="X32">
    <cfRule type="cellIs" dxfId="0" priority="192" operator="equal">
      <formula>0</formula>
    </cfRule>
  </conditionalFormatting>
  <conditionalFormatting sqref="AA33">
    <cfRule type="cellIs" dxfId="0" priority="178" operator="equal">
      <formula>0</formula>
    </cfRule>
  </conditionalFormatting>
  <conditionalFormatting sqref="AB33">
    <cfRule type="cellIs" dxfId="0" priority="108" operator="equal">
      <formula>0</formula>
    </cfRule>
  </conditionalFormatting>
  <conditionalFormatting sqref="AA34">
    <cfRule type="cellIs" dxfId="0" priority="63" operator="equal">
      <formula>0</formula>
    </cfRule>
  </conditionalFormatting>
  <conditionalFormatting sqref="AB34">
    <cfRule type="cellIs" dxfId="0" priority="62" operator="equal">
      <formula>0</formula>
    </cfRule>
  </conditionalFormatting>
  <conditionalFormatting sqref="AD34">
    <cfRule type="cellIs" dxfId="0" priority="61" operator="equal">
      <formula>0</formula>
    </cfRule>
  </conditionalFormatting>
  <conditionalFormatting sqref="AA35">
    <cfRule type="cellIs" dxfId="0" priority="68" operator="equal">
      <formula>0</formula>
    </cfRule>
  </conditionalFormatting>
  <conditionalFormatting sqref="AB35">
    <cfRule type="cellIs" dxfId="0" priority="67" operator="equal">
      <formula>0</formula>
    </cfRule>
  </conditionalFormatting>
  <conditionalFormatting sqref="AD35">
    <cfRule type="cellIs" dxfId="0" priority="66" operator="equal">
      <formula>0</formula>
    </cfRule>
  </conditionalFormatting>
  <conditionalFormatting sqref="V36">
    <cfRule type="cellIs" dxfId="0" priority="148" operator="equal">
      <formula>0</formula>
    </cfRule>
  </conditionalFormatting>
  <conditionalFormatting sqref="AA36">
    <cfRule type="cellIs" dxfId="0" priority="144" operator="equal">
      <formula>0</formula>
    </cfRule>
  </conditionalFormatting>
  <conditionalFormatting sqref="AB36">
    <cfRule type="cellIs" dxfId="0" priority="99" operator="equal">
      <formula>0</formula>
    </cfRule>
  </conditionalFormatting>
  <conditionalFormatting sqref="V37">
    <cfRule type="cellIs" dxfId="0" priority="92" operator="equal">
      <formula>0</formula>
    </cfRule>
  </conditionalFormatting>
  <conditionalFormatting sqref="AA37">
    <cfRule type="cellIs" dxfId="0" priority="89" operator="equal">
      <formula>0</formula>
    </cfRule>
  </conditionalFormatting>
  <conditionalFormatting sqref="AB37">
    <cfRule type="cellIs" dxfId="0" priority="88" operator="equal">
      <formula>0</formula>
    </cfRule>
  </conditionalFormatting>
  <conditionalFormatting sqref="AD37">
    <cfRule type="cellIs" dxfId="0" priority="87" operator="equal">
      <formula>0</formula>
    </cfRule>
  </conditionalFormatting>
  <conditionalFormatting sqref="AR5:AR38 AS10:AT38 AU1:XFD38 AT9 AR1:AT4 AR39:XFD1048576">
    <cfRule type="cellIs" dxfId="0" priority="249" operator="equal">
      <formula>0</formula>
    </cfRule>
  </conditionalFormatting>
  <conditionalFormatting sqref="R2:R3 AN2:AQ2 AE7:AE10 AN6:AN7 X14:Z14 R8 W2:Z3 W8:Z8 R17 R11 AN3 AE2:AE3 R14 AN9:AN11 W12:W14 W11:Z11 X18 W17:Z17 R23 W23:Z23">
    <cfRule type="cellIs" dxfId="0" priority="248" operator="equal">
      <formula>0</formula>
    </cfRule>
  </conditionalFormatting>
  <conditionalFormatting sqref="S7:U8 S2:V3 V6:V8 AC7:AC8 AC2:AC3 S14:U14 S17:V17 S11:V11 AC14 AC11 AC17 S23:V25 AC23:AC25 V27">
    <cfRule type="cellIs" dxfId="0" priority="240" operator="equal">
      <formula>0</formula>
    </cfRule>
  </conditionalFormatting>
  <conditionalFormatting sqref="AA2:AA3 AA8 AA11 AA14 AA17 AA23">
    <cfRule type="cellIs" dxfId="0" priority="187" operator="equal">
      <formula>0</formula>
    </cfRule>
  </conditionalFormatting>
  <conditionalFormatting sqref="AB2:AB3 AB8 AB14 AB17 AB11 AB23">
    <cfRule type="cellIs" dxfId="0" priority="116" operator="equal">
      <formula>0</formula>
    </cfRule>
  </conditionalFormatting>
  <conditionalFormatting sqref="AD2:AD9 AD11:AD18 AD32:AD33 AD20 AD22:AD25 AD27:AD29 AD36">
    <cfRule type="cellIs" dxfId="0" priority="93" operator="equal">
      <formula>0</formula>
    </cfRule>
  </conditionalFormatting>
  <conditionalFormatting sqref="AH2:AH3 AH7 AH9">
    <cfRule type="cellIs" dxfId="0" priority="219" operator="equal">
      <formula>0</formula>
    </cfRule>
  </conditionalFormatting>
  <conditionalFormatting sqref="AI2 AK2 AM2">
    <cfRule type="cellIs" dxfId="0" priority="238" operator="equal">
      <formula>0</formula>
    </cfRule>
  </conditionalFormatting>
  <conditionalFormatting sqref="AE4 AI3:AK3 AM3 AF3:AG3 AN4">
    <cfRule type="cellIs" dxfId="0" priority="247" operator="equal">
      <formula>0</formula>
    </cfRule>
  </conditionalFormatting>
  <conditionalFormatting sqref="AO3:AQ5 AO9:AQ12 AO7:AQ7">
    <cfRule type="cellIs" dxfId="0" priority="243" operator="equal">
      <formula>0</formula>
    </cfRule>
  </conditionalFormatting>
  <conditionalFormatting sqref="S4:U4 AC4">
    <cfRule type="cellIs" dxfId="0" priority="194" operator="equal">
      <formula>0</formula>
    </cfRule>
  </conditionalFormatting>
  <conditionalFormatting sqref="AI4:AK4 AM4 AF4:AG4">
    <cfRule type="cellIs" dxfId="0" priority="124" operator="equal">
      <formula>0</formula>
    </cfRule>
  </conditionalFormatting>
  <conditionalFormatting sqref="R7 W7:Z7 AI7:AK7 AN5 AE5">
    <cfRule type="cellIs" dxfId="0" priority="246" operator="equal">
      <formula>0</formula>
    </cfRule>
  </conditionalFormatting>
  <conditionalFormatting sqref="S5:V5 AC5">
    <cfRule type="cellIs" dxfId="0" priority="207" operator="equal">
      <formula>0</formula>
    </cfRule>
  </conditionalFormatting>
  <conditionalFormatting sqref="S6:U6 AC6">
    <cfRule type="cellIs" dxfId="0" priority="234" operator="equal">
      <formula>0</formula>
    </cfRule>
  </conditionalFormatting>
  <conditionalFormatting sqref="R9 W9:Z9">
    <cfRule type="cellIs" dxfId="0" priority="212" operator="equal">
      <formula>0</formula>
    </cfRule>
  </conditionalFormatting>
  <conditionalFormatting sqref="S9:V9 AC9">
    <cfRule type="cellIs" dxfId="0" priority="211" operator="equal">
      <formula>0</formula>
    </cfRule>
  </conditionalFormatting>
  <conditionalFormatting sqref="R10 W10:Z10">
    <cfRule type="cellIs" dxfId="0" priority="46" operator="equal">
      <formula>0</formula>
    </cfRule>
  </conditionalFormatting>
  <conditionalFormatting sqref="S10:U10 V10 AC10">
    <cfRule type="cellIs" dxfId="0" priority="45" operator="equal">
      <formula>0</formula>
    </cfRule>
  </conditionalFormatting>
  <conditionalFormatting sqref="AF11:AG11 AM11 AI11:AK11">
    <cfRule type="cellIs" dxfId="0" priority="205" operator="equal">
      <formula>0</formula>
    </cfRule>
  </conditionalFormatting>
  <conditionalFormatting sqref="Y12:Z12 R12">
    <cfRule type="cellIs" dxfId="0" priority="143" operator="equal">
      <formula>0</formula>
    </cfRule>
  </conditionalFormatting>
  <conditionalFormatting sqref="AC12 S12:V12">
    <cfRule type="cellIs" dxfId="0" priority="142" operator="equal">
      <formula>0</formula>
    </cfRule>
  </conditionalFormatting>
  <conditionalFormatting sqref="X13:Z13 R13">
    <cfRule type="cellIs" dxfId="0" priority="217" operator="equal">
      <formula>0</formula>
    </cfRule>
  </conditionalFormatting>
  <conditionalFormatting sqref="AE13 AN14 W24:Z24 R24">
    <cfRule type="cellIs" dxfId="0" priority="244" operator="equal">
      <formula>0</formula>
    </cfRule>
  </conditionalFormatting>
  <conditionalFormatting sqref="AC13 S13:V13">
    <cfRule type="cellIs" dxfId="0" priority="216" operator="equal">
      <formula>0</formula>
    </cfRule>
  </conditionalFormatting>
  <conditionalFormatting sqref="AO13:AQ17">
    <cfRule type="cellIs" dxfId="0" priority="241" operator="equal">
      <formula>0</formula>
    </cfRule>
  </conditionalFormatting>
  <conditionalFormatting sqref="AE14 AN15 W25:Z25 R25">
    <cfRule type="cellIs" dxfId="0" priority="245" operator="equal">
      <formula>0</formula>
    </cfRule>
  </conditionalFormatting>
  <conditionalFormatting sqref="W15:Z15 R15">
    <cfRule type="cellIs" dxfId="0" priority="200" operator="equal">
      <formula>0</formula>
    </cfRule>
  </conditionalFormatting>
  <conditionalFormatting sqref="AC15 S15:V15">
    <cfRule type="cellIs" dxfId="0" priority="199" operator="equal">
      <formula>0</formula>
    </cfRule>
  </conditionalFormatting>
  <conditionalFormatting sqref="AM15 AI15:AK15 AF15:AG15">
    <cfRule type="cellIs" dxfId="0" priority="37" operator="equal">
      <formula>0</formula>
    </cfRule>
  </conditionalFormatting>
  <conditionalFormatting sqref="Z16 W16:X16 R16">
    <cfRule type="cellIs" dxfId="0" priority="139" operator="equal">
      <formula>0</formula>
    </cfRule>
  </conditionalFormatting>
  <conditionalFormatting sqref="AC16 S16:V16">
    <cfRule type="cellIs" dxfId="0" priority="138" operator="equal">
      <formula>0</formula>
    </cfRule>
  </conditionalFormatting>
  <conditionalFormatting sqref="AM16 AI16:AJ16 AG16">
    <cfRule type="cellIs" dxfId="0" priority="15" operator="equal">
      <formula>0</formula>
    </cfRule>
  </conditionalFormatting>
  <conditionalFormatting sqref="AM17 AI17:AJ17 AG17">
    <cfRule type="cellIs" dxfId="0" priority="14" operator="equal">
      <formula>0</formula>
    </cfRule>
  </conditionalFormatting>
  <conditionalFormatting sqref="Y18:Z18 W18 R18">
    <cfRule type="cellIs" dxfId="0" priority="167" operator="equal">
      <formula>0</formula>
    </cfRule>
  </conditionalFormatting>
  <conditionalFormatting sqref="AC18 S18:V18">
    <cfRule type="cellIs" dxfId="0" priority="166" operator="equal">
      <formula>0</formula>
    </cfRule>
  </conditionalFormatting>
  <conditionalFormatting sqref="Y19:Z19 W19 R19">
    <cfRule type="cellIs" dxfId="0" priority="5" operator="equal">
      <formula>0</formula>
    </cfRule>
  </conditionalFormatting>
  <conditionalFormatting sqref="AC19 S19:V19">
    <cfRule type="cellIs" dxfId="0" priority="4" operator="equal">
      <formula>0</formula>
    </cfRule>
  </conditionalFormatting>
  <conditionalFormatting sqref="R20 W20">
    <cfRule type="cellIs" dxfId="0" priority="202" operator="equal">
      <formula>0</formula>
    </cfRule>
  </conditionalFormatting>
  <conditionalFormatting sqref="S20:V20 AC20">
    <cfRule type="cellIs" dxfId="0" priority="201" operator="equal">
      <formula>0</formula>
    </cfRule>
  </conditionalFormatting>
  <conditionalFormatting sqref="R21 W21">
    <cfRule type="cellIs" dxfId="0" priority="86" operator="equal">
      <formula>0</formula>
    </cfRule>
  </conditionalFormatting>
  <conditionalFormatting sqref="S21:V21 AC21">
    <cfRule type="cellIs" dxfId="0" priority="85" operator="equal">
      <formula>0</formula>
    </cfRule>
  </conditionalFormatting>
  <conditionalFormatting sqref="R22 W22">
    <cfRule type="cellIs" dxfId="0" priority="135" operator="equal">
      <formula>0</formula>
    </cfRule>
  </conditionalFormatting>
  <conditionalFormatting sqref="S22:V22 AC22">
    <cfRule type="cellIs" dxfId="0" priority="134" operator="equal">
      <formula>0</formula>
    </cfRule>
  </conditionalFormatting>
  <conditionalFormatting sqref="R26 W26:Z26">
    <cfRule type="cellIs" dxfId="0" priority="75" operator="equal">
      <formula>0</formula>
    </cfRule>
  </conditionalFormatting>
  <conditionalFormatting sqref="S26:V26 AC26">
    <cfRule type="cellIs" dxfId="0" priority="74" operator="equal">
      <formula>0</formula>
    </cfRule>
  </conditionalFormatting>
  <conditionalFormatting sqref="R27 W27:Y27">
    <cfRule type="cellIs" dxfId="0" priority="221" operator="equal">
      <formula>0</formula>
    </cfRule>
  </conditionalFormatting>
  <conditionalFormatting sqref="S27:U27 AC27">
    <cfRule type="cellIs" dxfId="0" priority="220" operator="equal">
      <formula>0</formula>
    </cfRule>
  </conditionalFormatting>
  <conditionalFormatting sqref="R28 W28:Y28">
    <cfRule type="cellIs" dxfId="0" priority="119" operator="equal">
      <formula>0</formula>
    </cfRule>
  </conditionalFormatting>
  <conditionalFormatting sqref="S28:U28 AC28">
    <cfRule type="cellIs" dxfId="0" priority="118" operator="equal">
      <formula>0</formula>
    </cfRule>
  </conditionalFormatting>
  <conditionalFormatting sqref="R29 W29:Y29">
    <cfRule type="cellIs" dxfId="0" priority="190" operator="equal">
      <formula>0</formula>
    </cfRule>
  </conditionalFormatting>
  <conditionalFormatting sqref="S29:U29 AC29">
    <cfRule type="cellIs" dxfId="0" priority="189" operator="equal">
      <formula>0</formula>
    </cfRule>
  </conditionalFormatting>
  <conditionalFormatting sqref="W30 Y30 R30">
    <cfRule type="cellIs" dxfId="0" priority="26" operator="equal">
      <formula>0</formula>
    </cfRule>
  </conditionalFormatting>
  <conditionalFormatting sqref="AC30 S30:U30">
    <cfRule type="cellIs" dxfId="0" priority="25" operator="equal">
      <formula>0</formula>
    </cfRule>
  </conditionalFormatting>
  <conditionalFormatting sqref="W31:Z31 R31">
    <cfRule type="cellIs" dxfId="0" priority="20" operator="equal">
      <formula>0</formula>
    </cfRule>
  </conditionalFormatting>
  <conditionalFormatting sqref="AC31 S31:V31">
    <cfRule type="cellIs" dxfId="0" priority="19" operator="equal">
      <formula>0</formula>
    </cfRule>
  </conditionalFormatting>
  <conditionalFormatting sqref="R33 W33:Z33">
    <cfRule type="cellIs" dxfId="0" priority="215" operator="equal">
      <formula>0</formula>
    </cfRule>
  </conditionalFormatting>
  <conditionalFormatting sqref="S33:V33 AC33">
    <cfRule type="cellIs" dxfId="0" priority="214" operator="equal">
      <formula>0</formula>
    </cfRule>
  </conditionalFormatting>
  <conditionalFormatting sqref="R34 W34:Z34">
    <cfRule type="cellIs" dxfId="0" priority="65" operator="equal">
      <formula>0</formula>
    </cfRule>
  </conditionalFormatting>
  <conditionalFormatting sqref="S34:V34 AC34">
    <cfRule type="cellIs" dxfId="0" priority="64" operator="equal">
      <formula>0</formula>
    </cfRule>
  </conditionalFormatting>
  <conditionalFormatting sqref="R35 W35:Z35">
    <cfRule type="cellIs" dxfId="0" priority="70" operator="equal">
      <formula>0</formula>
    </cfRule>
  </conditionalFormatting>
  <conditionalFormatting sqref="S35:V35 AC35">
    <cfRule type="cellIs" dxfId="0" priority="69" operator="equal">
      <formula>0</formula>
    </cfRule>
  </conditionalFormatting>
  <conditionalFormatting sqref="R36 W36:Y36">
    <cfRule type="cellIs" dxfId="0" priority="147" operator="equal">
      <formula>0</formula>
    </cfRule>
  </conditionalFormatting>
  <conditionalFormatting sqref="S36:U36 AC36">
    <cfRule type="cellIs" dxfId="0" priority="146" operator="equal">
      <formula>0</formula>
    </cfRule>
  </conditionalFormatting>
  <conditionalFormatting sqref="R37 W37:Y37">
    <cfRule type="cellIs" dxfId="0" priority="91" operator="equal">
      <formula>0</formula>
    </cfRule>
  </conditionalFormatting>
  <conditionalFormatting sqref="S37:U37 AC37">
    <cfRule type="cellIs" dxfId="0" priority="90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K23"/>
  <sheetViews>
    <sheetView tabSelected="1" zoomScale="55" zoomScaleNormal="55" workbookViewId="0">
      <selection activeCell="H13" sqref="H13"/>
    </sheetView>
  </sheetViews>
  <sheetFormatPr defaultColWidth="13.7777777777778" defaultRowHeight="44" customHeight="1"/>
  <cols>
    <col min="1" max="160" width="13.7777777777778" style="1" customWidth="1"/>
    <col min="161" max="16384" width="13.7777777777778" style="1"/>
  </cols>
  <sheetData>
    <row r="2" customHeight="1" spans="3:141"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60"/>
      <c r="DT2" s="47"/>
      <c r="DU2" s="40"/>
      <c r="DV2" s="40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</row>
    <row r="3" customHeight="1" spans="1:141">
      <c r="A3" s="1" t="s">
        <v>0</v>
      </c>
      <c r="B3" s="1" t="s">
        <v>1</v>
      </c>
      <c r="C3" s="41" t="s">
        <v>10</v>
      </c>
      <c r="D3" s="1" t="s">
        <v>284</v>
      </c>
      <c r="E3" s="41" t="s">
        <v>11</v>
      </c>
      <c r="F3" s="41" t="s">
        <v>12</v>
      </c>
      <c r="G3" s="41" t="s">
        <v>285</v>
      </c>
      <c r="H3" s="41" t="s">
        <v>286</v>
      </c>
      <c r="I3" s="41" t="s">
        <v>287</v>
      </c>
      <c r="J3" s="41" t="s">
        <v>48</v>
      </c>
      <c r="K3" s="41" t="s">
        <v>49</v>
      </c>
      <c r="L3" s="41" t="s">
        <v>50</v>
      </c>
      <c r="M3" s="41" t="s">
        <v>288</v>
      </c>
      <c r="N3" s="41" t="s">
        <v>289</v>
      </c>
      <c r="O3" s="41" t="s">
        <v>290</v>
      </c>
      <c r="P3" s="41" t="s">
        <v>291</v>
      </c>
      <c r="Q3" s="41" t="s">
        <v>292</v>
      </c>
      <c r="R3" s="41" t="s">
        <v>293</v>
      </c>
      <c r="S3" s="51" t="s">
        <v>294</v>
      </c>
      <c r="T3" s="51" t="s">
        <v>295</v>
      </c>
      <c r="U3" s="51" t="s">
        <v>296</v>
      </c>
      <c r="V3" s="51" t="s">
        <v>297</v>
      </c>
      <c r="W3" s="51" t="s">
        <v>298</v>
      </c>
      <c r="X3" s="51" t="s">
        <v>299</v>
      </c>
      <c r="Y3" s="51" t="s">
        <v>300</v>
      </c>
      <c r="Z3" s="51" t="s">
        <v>301</v>
      </c>
      <c r="AA3" s="51" t="s">
        <v>302</v>
      </c>
      <c r="AB3" s="51" t="s">
        <v>303</v>
      </c>
      <c r="AC3" s="51" t="s">
        <v>304</v>
      </c>
      <c r="AD3" s="51" t="s">
        <v>139</v>
      </c>
      <c r="AE3" s="41" t="s">
        <v>305</v>
      </c>
      <c r="AF3" s="41" t="s">
        <v>306</v>
      </c>
      <c r="AG3" s="41" t="s">
        <v>307</v>
      </c>
      <c r="AH3" s="41" t="s">
        <v>308</v>
      </c>
      <c r="AI3" s="41" t="s">
        <v>309</v>
      </c>
      <c r="AJ3" s="41" t="s">
        <v>62</v>
      </c>
      <c r="AK3" s="41" t="s">
        <v>96</v>
      </c>
      <c r="AL3" s="41" t="s">
        <v>310</v>
      </c>
      <c r="AM3" s="41" t="s">
        <v>191</v>
      </c>
      <c r="AN3" s="41" t="s">
        <v>311</v>
      </c>
      <c r="AO3" s="41" t="s">
        <v>312</v>
      </c>
      <c r="AP3" s="41" t="s">
        <v>313</v>
      </c>
      <c r="AQ3" s="41" t="s">
        <v>192</v>
      </c>
      <c r="AR3" s="41" t="s">
        <v>22</v>
      </c>
      <c r="AS3" s="41" t="s">
        <v>314</v>
      </c>
      <c r="AT3" s="41" t="s">
        <v>315</v>
      </c>
      <c r="AU3" s="41" t="s">
        <v>16</v>
      </c>
      <c r="AV3" s="1" t="s">
        <v>316</v>
      </c>
      <c r="AW3" s="1" t="s">
        <v>317</v>
      </c>
      <c r="AX3" s="1" t="s">
        <v>318</v>
      </c>
      <c r="AY3" s="4" t="s">
        <v>170</v>
      </c>
      <c r="AZ3" s="4" t="s">
        <v>319</v>
      </c>
      <c r="BA3" s="1" t="s">
        <v>320</v>
      </c>
      <c r="BB3" s="1" t="s">
        <v>136</v>
      </c>
      <c r="BC3" s="1" t="s">
        <v>321</v>
      </c>
      <c r="BD3" s="1" t="s">
        <v>322</v>
      </c>
      <c r="BE3" s="1" t="s">
        <v>137</v>
      </c>
      <c r="BF3" s="1" t="s">
        <v>323</v>
      </c>
      <c r="BG3" s="1" t="s">
        <v>324</v>
      </c>
      <c r="BH3" s="1" t="s">
        <v>62</v>
      </c>
      <c r="BI3" s="1" t="s">
        <v>185</v>
      </c>
      <c r="BJ3" s="1" t="s">
        <v>72</v>
      </c>
      <c r="BK3" s="1" t="s">
        <v>61</v>
      </c>
      <c r="BL3" s="1" t="s">
        <v>311</v>
      </c>
      <c r="BM3" s="1" t="s">
        <v>325</v>
      </c>
      <c r="BN3" s="41" t="s">
        <v>17</v>
      </c>
      <c r="BO3" s="1" t="s">
        <v>316</v>
      </c>
      <c r="BP3" s="1" t="s">
        <v>317</v>
      </c>
      <c r="BQ3" s="1" t="s">
        <v>318</v>
      </c>
      <c r="BR3" s="4" t="s">
        <v>170</v>
      </c>
      <c r="BS3" s="4" t="s">
        <v>319</v>
      </c>
      <c r="BT3" s="1" t="s">
        <v>320</v>
      </c>
      <c r="BU3" s="1" t="s">
        <v>136</v>
      </c>
      <c r="BV3" s="1" t="s">
        <v>321</v>
      </c>
      <c r="BW3" s="1" t="s">
        <v>322</v>
      </c>
      <c r="BX3" s="1" t="s">
        <v>137</v>
      </c>
      <c r="BY3" s="1" t="s">
        <v>323</v>
      </c>
      <c r="BZ3" s="1" t="s">
        <v>324</v>
      </c>
      <c r="CA3" s="1" t="s">
        <v>62</v>
      </c>
      <c r="CB3" s="1" t="s">
        <v>185</v>
      </c>
      <c r="CC3" s="1" t="s">
        <v>72</v>
      </c>
      <c r="CD3" s="1" t="s">
        <v>61</v>
      </c>
      <c r="CE3" s="1" t="s">
        <v>311</v>
      </c>
      <c r="CF3" s="1" t="s">
        <v>325</v>
      </c>
      <c r="CG3" s="41" t="s">
        <v>18</v>
      </c>
      <c r="CH3" s="1" t="s">
        <v>316</v>
      </c>
      <c r="CI3" s="1" t="s">
        <v>317</v>
      </c>
      <c r="CJ3" s="1" t="s">
        <v>318</v>
      </c>
      <c r="CK3" s="4" t="s">
        <v>170</v>
      </c>
      <c r="CL3" s="4" t="s">
        <v>319</v>
      </c>
      <c r="CM3" s="1" t="s">
        <v>320</v>
      </c>
      <c r="CN3" s="1" t="s">
        <v>136</v>
      </c>
      <c r="CO3" s="1" t="s">
        <v>321</v>
      </c>
      <c r="CP3" s="1" t="s">
        <v>322</v>
      </c>
      <c r="CQ3" s="1" t="s">
        <v>137</v>
      </c>
      <c r="CR3" s="1" t="s">
        <v>323</v>
      </c>
      <c r="CS3" s="1" t="s">
        <v>324</v>
      </c>
      <c r="CT3" s="1" t="s">
        <v>62</v>
      </c>
      <c r="CU3" s="1" t="s">
        <v>185</v>
      </c>
      <c r="CV3" s="1" t="s">
        <v>72</v>
      </c>
      <c r="CW3" s="1" t="s">
        <v>61</v>
      </c>
      <c r="CX3" s="1" t="s">
        <v>311</v>
      </c>
      <c r="CY3" s="1" t="s">
        <v>325</v>
      </c>
      <c r="CZ3" s="41" t="s">
        <v>19</v>
      </c>
      <c r="DA3" s="1" t="s">
        <v>316</v>
      </c>
      <c r="DB3" s="1" t="s">
        <v>317</v>
      </c>
      <c r="DC3" s="1" t="s">
        <v>318</v>
      </c>
      <c r="DD3" s="4" t="s">
        <v>170</v>
      </c>
      <c r="DE3" s="4" t="s">
        <v>319</v>
      </c>
      <c r="DF3" s="1" t="s">
        <v>320</v>
      </c>
      <c r="DG3" s="1" t="s">
        <v>136</v>
      </c>
      <c r="DH3" s="1" t="s">
        <v>321</v>
      </c>
      <c r="DI3" s="1" t="s">
        <v>322</v>
      </c>
      <c r="DJ3" s="1" t="s">
        <v>137</v>
      </c>
      <c r="DK3" s="1" t="s">
        <v>323</v>
      </c>
      <c r="DL3" s="1" t="s">
        <v>324</v>
      </c>
      <c r="DM3" s="1" t="s">
        <v>62</v>
      </c>
      <c r="DN3" s="1" t="s">
        <v>185</v>
      </c>
      <c r="DO3" s="1" t="s">
        <v>72</v>
      </c>
      <c r="DP3" s="1" t="s">
        <v>61</v>
      </c>
      <c r="DQ3" s="1" t="s">
        <v>311</v>
      </c>
      <c r="DR3" s="1" t="s">
        <v>325</v>
      </c>
      <c r="DS3" s="41" t="s">
        <v>20</v>
      </c>
      <c r="DT3" s="1" t="s">
        <v>316</v>
      </c>
      <c r="DU3" s="1" t="s">
        <v>317</v>
      </c>
      <c r="DV3" s="1" t="s">
        <v>318</v>
      </c>
      <c r="DW3" s="4" t="s">
        <v>170</v>
      </c>
      <c r="DX3" s="4" t="s">
        <v>319</v>
      </c>
      <c r="DY3" s="1" t="s">
        <v>320</v>
      </c>
      <c r="DZ3" s="1" t="s">
        <v>136</v>
      </c>
      <c r="EA3" s="1" t="s">
        <v>321</v>
      </c>
      <c r="EB3" s="1" t="s">
        <v>322</v>
      </c>
      <c r="EC3" s="1" t="s">
        <v>137</v>
      </c>
      <c r="ED3" s="1" t="s">
        <v>323</v>
      </c>
      <c r="EE3" s="1" t="s">
        <v>324</v>
      </c>
      <c r="EF3" s="1" t="s">
        <v>62</v>
      </c>
      <c r="EG3" s="1" t="s">
        <v>185</v>
      </c>
      <c r="EH3" s="1" t="s">
        <v>72</v>
      </c>
      <c r="EI3" s="1" t="s">
        <v>61</v>
      </c>
      <c r="EJ3" s="1" t="s">
        <v>311</v>
      </c>
      <c r="EK3" s="1" t="s">
        <v>325</v>
      </c>
    </row>
    <row r="4" customHeight="1" spans="1:141">
      <c r="A4" s="1">
        <f>云配队!B3</f>
        <v>60</v>
      </c>
      <c r="B4" s="1">
        <f>云配队!C3</f>
        <v>70</v>
      </c>
      <c r="C4" s="42" t="str">
        <f>云配队!E5</f>
        <v>朱鸢</v>
      </c>
      <c r="D4" s="1">
        <f>MATCH(C4,角色!$F$3:$F$31,0)</f>
        <v>1</v>
      </c>
      <c r="E4" s="43" t="str">
        <f>INDEX(角色!$A$3:$CZ$31,$D4,角色!H$1)</f>
        <v>以太</v>
      </c>
      <c r="F4" s="43" t="str">
        <f>INDEX(角色!$A$3:$CZ$31,$D4,角色!I$1)</f>
        <v>治安局</v>
      </c>
      <c r="G4" s="43" t="str">
        <f>VLOOKUP($C4,配装!$A$2:$R$25,配装!$C$1,FALSE)</f>
        <v>防爆者VI型</v>
      </c>
      <c r="H4" s="43" t="str">
        <f>VLOOKUP($C4,配装!$A$2:$R$25,配装!F$1,FALSE)</f>
        <v>混沌重金属</v>
      </c>
      <c r="I4" s="43" t="str">
        <f>VLOOKUP($C4,配装!$A$2:$R$25,配装!I$1,FALSE)</f>
        <v>啄木鸟电音</v>
      </c>
      <c r="J4" s="43" t="str">
        <f>VLOOKUP($C4,配装!$A$2:$R$25,配装!J$1,FALSE)</f>
        <v>暴伤</v>
      </c>
      <c r="K4" s="43" t="str">
        <f>VLOOKUP($C4,配装!$A$2:$R$25,配装!K$1,FALSE)</f>
        <v>攻击</v>
      </c>
      <c r="L4" s="43" t="str">
        <f>VLOOKUP($C4,配装!$A$2:$R$25,配装!L$1,FALSE)</f>
        <v>攻击</v>
      </c>
      <c r="M4" s="43">
        <f>VLOOKUP($C4,配装!$A$2:$R$25,配装!$G$1,FALSE)</f>
        <v>0.6</v>
      </c>
      <c r="N4" s="43">
        <f>MATCH(G4,音擎!$A$3:$A$37,0)</f>
        <v>9</v>
      </c>
      <c r="O4" s="43">
        <f>VLOOKUP($C4,配装!$A$2:$M$25,配装!$D$1,FALSE)</f>
        <v>1</v>
      </c>
      <c r="P4" s="43">
        <f>INDEX(音擎!$A$3:$AH$42,N4,音擎!$C$1)</f>
        <v>714</v>
      </c>
      <c r="Q4" s="43">
        <f>MATCH(H4,驱动盘!$A$3:$A$17,0)</f>
        <v>5</v>
      </c>
      <c r="R4" s="43">
        <f>MATCH(I4,驱动盘!$A$3:$A$17,0)</f>
        <v>1</v>
      </c>
      <c r="S4" s="43">
        <f>INDEX(音擎!$A$3:$AG$37,$N4,音擎!D$1)+INDEX(驱动盘!$A$3:$X$17,$Q4,驱动盘!C$1)+INDEX(驱动盘!$A$3:$X$17,$R4,驱动盘!C$1)+IF($J4="攻击",30%,0%)+IF($K4="攻击",30%,0%)+IF($L4="攻击",30%,0%)+VLOOKUP($C4,配装!$A$2:$R$25,配装!O$1,FALSE)*3%</f>
        <v>0.84</v>
      </c>
      <c r="T4" s="43">
        <f>VLOOKUP($C4,配装!$A$2:$R$25,配装!P$1,FALSE)*22</f>
        <v>0</v>
      </c>
      <c r="U4" s="43">
        <f>INDEX(音擎!$A$3:$AG$37,$N4,音擎!E$1)+INDEX(音擎!$A$3:$AG$37,$N4,音擎!M$1)*$O4+INDEX(驱动盘!$A$3:$X$17,$Q4,驱动盘!D$1)+INDEX(驱动盘!$A$3:$X$17,$R4,驱动盘!D$1)+INDEX(驱动盘!$A$3:$X$17,$Q4,驱动盘!L$1)*$M4+IF($J4="暴击",24%,0%)+VLOOKUP($C4,配装!$A$2:$R$25,配装!M$1,FALSE)*2.4%</f>
        <v>0.47</v>
      </c>
      <c r="V4" s="43">
        <f>INDEX(音擎!$A$3:$AG$37,$N4,音擎!F$1)+INDEX(音擎!$A$3:$AG$37,$N4,音擎!N$1)*$O4+INDEX(驱动盘!$A$3:$X$17,$Q4,驱动盘!E$1)+INDEX(驱动盘!$A$3:$X$17,$R4,驱动盘!E$1)+INDEX(驱动盘!$A$3:$X$17,$Q4,驱动盘!M$1)*$M4+IF($J4="暴伤",48%,0%)+VLOOKUP($C4,配装!$A$2:$R$25,配装!N$1,FALSE)*4.8%</f>
        <v>1.758</v>
      </c>
      <c r="W4" s="43">
        <f>INDEX(音擎!$A$3:$AG$37,$N4,音擎!G$1)+INDEX(音擎!$A$3:$AG$37,$N4,音擎!O$1)*$O4+INDEX(驱动盘!$A$3:$X$17,$Q4,驱动盘!F$1)+INDEX(驱动盘!$A$3:$X$17,$R4,驱动盘!F$1)+IF($K4="穿透",24%,0%)</f>
        <v>0</v>
      </c>
      <c r="X4" s="43">
        <f>VLOOKUP($C4,配装!$A$2:$R$25,配装!R$1,FALSE)*9</f>
        <v>0</v>
      </c>
      <c r="Y4" s="43">
        <f>INDEX(音擎!$A$3:$AG$37,$N4,音擎!H$1)+INDEX(音擎!$A$3:$AG$37,$N4,音擎!P$1)*$O4+INDEX(驱动盘!$A$3:$X$17,$Q4,驱动盘!G$1)+INDEX(驱动盘!$A$3:$X$17,$R4,驱动盘!G$1)+IF($J4="精通",92%,0%)+VLOOKUP($C4,配装!$A$2:$R$25,配装!Q$1,FALSE)*9%</f>
        <v>0</v>
      </c>
      <c r="Z4" s="43">
        <f>INDEX(音擎!$A$3:$AG$37,$N4,音擎!T$1)*$O4</f>
        <v>0</v>
      </c>
      <c r="AA4" s="43">
        <f>1.2+INDEX(角色!$A$3:$CZ$31,$D4,角色!$W$1)+INDEX(音擎!$A$3:$AG$37,$N4,音擎!J$1)+INDEX(驱动盘!$A$3:$X$17,$Q4,驱动盘!I$1)+INDEX(驱动盘!$A$3:$X$17,$R4,驱动盘!I$1)+IF($L4="回能",50%,0%)</f>
        <v>1.2</v>
      </c>
      <c r="AB4" s="43">
        <f>INDEX(音擎!$A$3:$AG$37,$N4,音擎!R$1)</f>
        <v>0</v>
      </c>
      <c r="AC4" s="43">
        <f>INDEX(角色!$A$3:$CZ$31,$D4,角色!$X$1)+INDEX(音擎!$A$3:$AG$37,$N4,音擎!S$1)*$O4</f>
        <v>0</v>
      </c>
      <c r="AD4" s="43">
        <f>INDEX(角色!$A$3:$CZ$30,$D4,角色!$U$1)+IF($L4="掌控",30%,0%)</f>
        <v>-0.07</v>
      </c>
      <c r="AE4" s="43">
        <f>INDEX(角色!$A$3:$CZ$31,$D4,角色!$N$1)*(1+INDEX(角色!$A$3:$CZ$31,$D4,角色!$O$1)+INDEX(音擎!$A$3:$AG$37,$N4,音擎!I$1)+INDEX(驱动盘!$A$3:$X$17,$Q4,驱动盘!H$1)+INDEX(驱动盘!$A$3:$X$17,$R4,驱动盘!H$1)+IF($L4="冲击",18%,0%))</f>
        <v>90</v>
      </c>
      <c r="AF4" s="43" cm="1">
        <f t="array" ref="AF4">INDEX(角色!$A$3:$CZ$31,$D4,角色!$R$1)+$U4</f>
        <v>0.82</v>
      </c>
      <c r="AG4" s="43" cm="1">
        <f t="array" ref="AG4">INDEX(角色!$A$3:$CZ$31,$D4,角色!$S$1)+$V4</f>
        <v>2.546</v>
      </c>
      <c r="AH4" s="43">
        <f>(INDEX(角色!$A$3:$CZ$31,$D4,角色!$J$1)+$P4)*(1+INDEX(角色!$A$3:$CZ$31,$D4,角色!$K$1)+S4)+316+$T4</f>
        <v>3693.92</v>
      </c>
      <c r="AI4" s="43">
        <f>INDEX(角色!$A$3:$CZ$31,$D4,角色!$M$1)+INDEX(音擎!$A$3:$AG$37,$N4,音擎!L$1)*$O4*$AH4+INDEX(角色!$A$3:$CZ$31,$D4,角色!$L$1)*$AH4+INDEX(驱动盘!$A$3:$X$17,$Q4,驱动盘!K$1)*$M4*$AH4</f>
        <v>0</v>
      </c>
      <c r="AJ4" s="43">
        <f>AH4*(1+$AJ$13)+$AI$13+AI4</f>
        <v>3693.92</v>
      </c>
      <c r="AK4" s="52">
        <f>INDEX(角色!$A$3:$CZ$31,$D4,角色!$Q$1)+$Y4+$AK$13</f>
        <v>0.02</v>
      </c>
      <c r="AL4" s="43">
        <f>INDEX(角色!$A$3:$CZ$31,$D4,数值!$H$16)+INDEX(音擎!$A$3:$AG$37,$N4,音擎!$AD$1)*$O4+$AL$13</f>
        <v>0.4</v>
      </c>
      <c r="AM4" s="43">
        <f>VLOOKUP(E4,数值!$AO$2:$AQ$7,2,FALSE)</f>
        <v>0.725</v>
      </c>
      <c r="AN4" s="43">
        <f>1/(MAX($B$8*MAX(1-INDEX(角色!$A$3:$CZ$31,$D4,角色!$T$1)-$W4-$AM$13,0)*MAX(1-$AN$13,0)-$X4,0)/$A$8+1)</f>
        <v>0.5</v>
      </c>
      <c r="AO4" s="43">
        <f>AJ4*(1+AK4)*(1+AL4)*AN4*(58/59+$A$4/59)*(1+$AH$13)</f>
        <v>5274.91776</v>
      </c>
      <c r="AP4" s="43">
        <f>AM4*AO4</f>
        <v>3824.315376</v>
      </c>
      <c r="AQ4" s="43">
        <f>450%+云配队!$P5*VLOOKUP(E4,数值!$AO$2:$AQ$7,3,FALSE)</f>
        <v>4.5</v>
      </c>
      <c r="AR4" s="43">
        <f>AO4*AQ4</f>
        <v>23737.12992</v>
      </c>
      <c r="AS4" s="43">
        <f>AW4+BP4+CI4+DB4+DU4</f>
        <v>0</v>
      </c>
      <c r="AT4" s="43">
        <f>(AX4+BQ4+CJ4+DC4+DV4+AA4*$DS$15)*(1+$AC4)</f>
        <v>0</v>
      </c>
      <c r="AU4" s="42">
        <f>云配队!K5</f>
        <v>0</v>
      </c>
      <c r="AV4" s="1">
        <f>IFERROR(VLOOKUP(AU4,数值!$F$3:$H$15,2,FALSE),1)</f>
        <v>1</v>
      </c>
      <c r="AW4" s="1">
        <f>IFERROR(INDEX(角色!$A$3:$CZ$30,$D4,AV4+4)+VLOOKUP(AU4,数值!$F$2:$O$16,10,FALSE),0)</f>
        <v>0</v>
      </c>
      <c r="AX4" s="1">
        <f>AW4*IFERROR(VLOOKUP(AU4,数值!$F$3:$N$15,9,FALSE),$AB4*BM$8)+IFERROR(VLOOKUP($C4&amp;AU4,数值!$AS$1:$AT$11,2,FALSE),0)</f>
        <v>0</v>
      </c>
      <c r="AY4" s="1">
        <f>IFERROR(INDEX(角色!$A$3:$CZ$31,$D4,VLOOKUP(AU4,数值!$F$3:$H$15,3,FALSE)),0)</f>
        <v>0</v>
      </c>
      <c r="AZ4" s="1">
        <f>IFERROR(INDEX(音擎!$A$3:$AG$37,$N4,VLOOKUP(AU4,数值!$F$3:$L$15,4,FALSE))*$O4+INDEX(驱动盘!$A$3:$X$17,$Q4,VLOOKUP(AU4,数值!$F$3:$L$15,5,FALSE))*$M4+INDEX(驱动盘!$A$3:$X$17,$Q4,驱动盘!$B$1)+IF($K4="属伤",30%,0%),0)</f>
        <v>0</v>
      </c>
      <c r="BA4" s="1">
        <f>IFERROR(INDEX(角色!$A$3:$CZ$31,$D4,VLOOKUP(AU4,数值!$F$3:$L$15,6,FALSE))+INDEX(音擎!$A$3:$AG$37,$N4,VLOOKUP(AU4,数值!$F$3:$L$15,7,FALSE))+INDEX(驱动盘!$A$3:$Y$17,$Q4,VLOOKUP(AU4,数值!$F$3:$M$15,8,FALSE))+BL$13,0)</f>
        <v>0</v>
      </c>
      <c r="BB4" s="1">
        <f>INDEX(角色!$A$3:$CZ$30,$D4,AV4)*1.909</f>
        <v>0</v>
      </c>
      <c r="BC4" s="1">
        <f>INDEX(角色!$A$3:$CZ$30,$D4,AV4+3)</f>
        <v>0</v>
      </c>
      <c r="BD4" s="1">
        <f>BC4*(1+$AD4)*(1+$Z4+INDEX(角色!$A$3:$CZ$30,$D4,角色!$V$1)+BC$13)*(1+BB13)</f>
        <v>0</v>
      </c>
      <c r="BE4" s="1">
        <f>INDEX(角色!$A$3:$CZ$30,$D4,AV4+1)*1.4556</f>
        <v>0</v>
      </c>
      <c r="BF4" s="1">
        <f>INDEX(角色!$A$3:$CZ$30,$D4,AV4+2)</f>
        <v>0</v>
      </c>
      <c r="BG4" s="1">
        <f>$AE4*(1+INDEX(音擎!$A$3:$AG$37,$N4,音擎!$Q$1+INDEX(角色!$A$3:$CZ$31,$D4,角色!$P$1))*$O4+BK$13)*(1+BA4)*BE4%</f>
        <v>0</v>
      </c>
      <c r="BH4" s="1">
        <f>$AH4*(1+BE$13)+BD$13+$AI4</f>
        <v>3693.92</v>
      </c>
      <c r="BI4" s="1">
        <f>AY4+AZ4+BF$13</f>
        <v>0</v>
      </c>
      <c r="BJ4" s="1">
        <f>MIN($AF4+BG$13,1)</f>
        <v>0.82</v>
      </c>
      <c r="BK4" s="4">
        <f>$AG4+BH$13</f>
        <v>2.546</v>
      </c>
      <c r="BL4" s="1">
        <f>1/(MAX($B$8*MAX(1-INDEX(角色!$A$3:$CZ$31,$D4,角色!$T$1)-$W4-BI$13,0)*MAX(1-BJ$13,0)-$X4,0)/$A$8+1)</f>
        <v>0.5</v>
      </c>
      <c r="BM4" s="1">
        <f>BH4*BB4%*(1+BI4)*(1+BJ4*BK4)*BL4*(1+AZ$13)*(1+BA$13)*IF(AU4="协同",BM$8,1)</f>
        <v>0</v>
      </c>
      <c r="BN4" s="42">
        <f>云配队!L5</f>
        <v>0</v>
      </c>
      <c r="BO4" s="1">
        <f>IFERROR(VLOOKUP(BN4,数值!$F$3:$H$15,2,FALSE),1)</f>
        <v>1</v>
      </c>
      <c r="BP4" s="1">
        <f>IFERROR(INDEX(角色!$A$3:$CZ$30,$D4,BO4+4)+VLOOKUP(BN4,数值!$F$2:$O$16,10,FALSE),0)</f>
        <v>0</v>
      </c>
      <c r="BQ4" s="1">
        <f>BP4*IFERROR(VLOOKUP(BN4,数值!$F$3:$N$15,9,FALSE),$AB4*CF$8)+IFERROR(VLOOKUP($C4&amp;BN4,数值!$AS$1:$AT$11,2,FALSE),0)</f>
        <v>0</v>
      </c>
      <c r="BR4" s="1">
        <f>IFERROR(INDEX(角色!$A$3:$CZ$31,$D4,VLOOKUP(BN4,数值!$F$3:$H$15,3,FALSE)),0)</f>
        <v>0</v>
      </c>
      <c r="BS4" s="1">
        <f>IFERROR(INDEX(音擎!$A$3:$AG$37,$N4,VLOOKUP(BN4,数值!$F$3:$L$15,4,FALSE))*$O4+INDEX(驱动盘!$A$3:$X$17,$Q4,VLOOKUP(BN4,数值!$F$3:$L$15,5,FALSE))*$M4+INDEX(驱动盘!$A$3:$X$17,$Q4,驱动盘!$B$1)+IF($K4="属伤",30%,0%),0)</f>
        <v>0</v>
      </c>
      <c r="BT4" s="1">
        <f>IFERROR(INDEX(角色!$A$3:$CZ$31,$D4,VLOOKUP(BN4,数值!$F$3:$L$15,6,FALSE))+INDEX(音擎!$A$3:$AG$37,$N4,VLOOKUP(BN4,数值!$F$3:$L$15,7,FALSE))+INDEX(驱动盘!$A$3:$Y$17,$Q4,VLOOKUP(BN4,数值!$F$3:$M$15,8,FALSE))+CE$13,0)</f>
        <v>0</v>
      </c>
      <c r="BU4" s="1">
        <f>INDEX(角色!$A$3:$CZ$30,$D4,BO4)*1.909</f>
        <v>0</v>
      </c>
      <c r="BV4" s="1">
        <f>INDEX(角色!$A$3:$CZ$30,$D4,BO4+3)</f>
        <v>0</v>
      </c>
      <c r="BW4" s="1">
        <f>BV4*(1+$AD4)*(1+$Z4+INDEX(角色!$A$3:$CZ$30,$D4,角色!$V$1)+BV$13)*(1+BU13)</f>
        <v>0</v>
      </c>
      <c r="BX4" s="1">
        <f>INDEX(角色!$A$3:$CZ$30,$D4,BO4+1)*1.4556</f>
        <v>0</v>
      </c>
      <c r="BY4" s="1">
        <f>INDEX(角色!$A$3:$CZ$30,$D4,BO4+2)</f>
        <v>0</v>
      </c>
      <c r="BZ4" s="1">
        <f>$AE4*(1+INDEX(音擎!$A$3:$AG$37,$N4,音擎!$Q$1+INDEX(角色!$A$3:$CZ$31,$D4,角色!$P$1))*$O4+CD$13)*(1+BT4)*BX4%</f>
        <v>0</v>
      </c>
      <c r="CA4" s="1">
        <f t="shared" ref="CA4:CA6" si="0">$AH4*(1+BX$13)+BW$13+$AI4</f>
        <v>3693.92</v>
      </c>
      <c r="CB4" s="1">
        <f t="shared" ref="CB4:CB6" si="1">BR4+BS4+BY$13</f>
        <v>0</v>
      </c>
      <c r="CC4" s="1">
        <f t="shared" ref="CC4:CC6" si="2">MIN($AF4+BZ$13,1)</f>
        <v>0.82</v>
      </c>
      <c r="CD4" s="4">
        <f t="shared" ref="CD4:CD6" si="3">$AG4+CA$13</f>
        <v>2.546</v>
      </c>
      <c r="CE4" s="1">
        <f>1/(MAX($B$8*MAX(1-INDEX(角色!$A$3:$CZ$31,$D4,角色!$T$1)-$W4-CB$13,0)*MAX(1-CC$13,0)-$X4,0)/$A$8+1)</f>
        <v>0.5</v>
      </c>
      <c r="CF4" s="1">
        <f t="shared" ref="CF4:CF6" si="4">CA4*BU4%*(1+CB4)*(1+CC4*CD4)*CE4*(1+BS$13)*(1+BT$13)*IF(BN4="协同",CF$8,1)</f>
        <v>0</v>
      </c>
      <c r="CG4" s="42">
        <f>云配队!M5</f>
        <v>0</v>
      </c>
      <c r="CH4" s="1">
        <f>IFERROR(VLOOKUP(CG4,数值!$F$3:$H$15,2,FALSE),1)</f>
        <v>1</v>
      </c>
      <c r="CI4" s="1">
        <f>IFERROR(INDEX(角色!$A$3:$CZ$30,$D4,CH4+4)+VLOOKUP(CG4,数值!$F$2:$O$16,10,FALSE),0)</f>
        <v>0</v>
      </c>
      <c r="CJ4" s="1">
        <f>CI4*IFERROR(VLOOKUP(CG4,数值!$F$3:$N$15,9,FALSE),$AB4*CY$8)+IFERROR(VLOOKUP($C4&amp;CG4,数值!$AS$1:$AT$11,2,FALSE),0)</f>
        <v>0</v>
      </c>
      <c r="CK4" s="1">
        <f>IFERROR(INDEX(角色!$A$3:$CZ$31,$D4,VLOOKUP(CG4,数值!$F$3:$H$15,3,FALSE)),0)</f>
        <v>0</v>
      </c>
      <c r="CL4" s="1">
        <f>IFERROR(INDEX(音擎!$A$3:$AG$37,$N4,VLOOKUP(CG4,数值!$F$3:$L$15,4,FALSE))*$O4+INDEX(驱动盘!$A$3:$X$17,$Q4,VLOOKUP(CG4,数值!$F$3:$L$15,5,FALSE))*$M4+INDEX(驱动盘!$A$3:$X$17,$Q4,驱动盘!$B$1)+IF($K4="属伤",30%,0%),0)</f>
        <v>0</v>
      </c>
      <c r="CM4" s="1">
        <f>IFERROR(INDEX(角色!$A$3:$CZ$31,$D4,VLOOKUP(CG4,数值!$F$3:$L$15,6,FALSE))+INDEX(音擎!$A$3:$AG$37,$N4,VLOOKUP(CG4,数值!$F$3:$L$15,7,FALSE))+INDEX(驱动盘!$A$3:$Y$17,$Q4,VLOOKUP(CG4,数值!$F$3:$M$15,8,FALSE))+CX$13,0)</f>
        <v>0</v>
      </c>
      <c r="CN4" s="1">
        <f>INDEX(角色!$A$3:$CZ$30,$D4,CH4)*1.909</f>
        <v>0</v>
      </c>
      <c r="CO4" s="1">
        <f>INDEX(角色!$A$3:$CZ$30,$D4,CH4+3)</f>
        <v>0</v>
      </c>
      <c r="CP4" s="1">
        <f>CO4*(1+$AD4)*(1+$Z4+INDEX(角色!$A$3:$CZ$30,$D4,角色!$V$1)+CO$13)*(1+CN13)</f>
        <v>0</v>
      </c>
      <c r="CQ4" s="1">
        <f>INDEX(角色!$A$3:$CZ$30,$D4,CH4+1)*1.4556</f>
        <v>0</v>
      </c>
      <c r="CR4" s="1">
        <f>INDEX(角色!$A$3:$CZ$30,$D4,CH4+2)</f>
        <v>0</v>
      </c>
      <c r="CS4" s="1">
        <f>$AE4*(1+INDEX(音擎!$A$3:$AG$37,$N4,音擎!$Q$1+INDEX(角色!$A$3:$CZ$31,$D4,角色!$P$1))*$O4+CW$13)*(1+CM4)*CQ4%</f>
        <v>0</v>
      </c>
      <c r="CT4" s="1">
        <f t="shared" ref="CT4:CT6" si="5">$AH4*(1+CQ$13)+CP$13+$AI4</f>
        <v>3693.92</v>
      </c>
      <c r="CU4" s="1">
        <f t="shared" ref="CU4:CU6" si="6">CK4+CL4+CR$13</f>
        <v>0</v>
      </c>
      <c r="CV4" s="1">
        <f t="shared" ref="CV4:CV6" si="7">MIN($AF4+CS$13,1)</f>
        <v>0.82</v>
      </c>
      <c r="CW4" s="4">
        <f t="shared" ref="CW4:CW6" si="8">$AG4+CT$13</f>
        <v>2.546</v>
      </c>
      <c r="CX4" s="1">
        <f>1/(MAX($B$8*MAX(1-INDEX(角色!$A$3:$CZ$31,$D4,角色!$T$1)-$W4-CU$13,0)*MAX(1-CV$13,0)-$X4,0)/$A$8+1)</f>
        <v>0.5</v>
      </c>
      <c r="CY4" s="1">
        <f t="shared" ref="CY4:CY6" si="9">CT4*CN4%*(1+CU4)*(1+CV4*CW4)*CX4*(1+CL$13)*(1+CM$13)*IF(CG4="协同",CY$8,1)</f>
        <v>0</v>
      </c>
      <c r="CZ4" s="42">
        <f>云配队!N5</f>
        <v>0</v>
      </c>
      <c r="DA4" s="1">
        <f>IFERROR(VLOOKUP(CZ4,数值!$F$3:$H$15,2,FALSE),1)</f>
        <v>1</v>
      </c>
      <c r="DB4" s="1">
        <f>IFERROR(INDEX(角色!$A$3:$CZ$30,$D4,DA4+4)+VLOOKUP(CZ4,数值!$F$2:$O$16,10,FALSE),0)</f>
        <v>0</v>
      </c>
      <c r="DC4" s="1">
        <f>DB4*IFERROR(VLOOKUP(CZ4,数值!$F$3:$N$15,9,FALSE),$AB4*DR$8)+IFERROR(VLOOKUP($C4&amp;CZ4,数值!$AS$1:$AT$11,2,FALSE),0)</f>
        <v>0</v>
      </c>
      <c r="DD4" s="1">
        <f>IFERROR(INDEX(角色!$A$3:$CZ$31,$D4,VLOOKUP(CZ4,数值!$F$3:$H$15,3,FALSE)),0)</f>
        <v>0</v>
      </c>
      <c r="DE4" s="1">
        <f>IFERROR(INDEX(音擎!$A$3:$AG$37,$N4,VLOOKUP(CZ4,数值!$F$3:$L$15,4,FALSE))*$O4+INDEX(驱动盘!$A$3:$X$17,$Q4,VLOOKUP(CZ4,数值!$F$3:$L$15,5,FALSE))*$M4+INDEX(驱动盘!$A$3:$X$17,$Q4,驱动盘!$B$1)+IF($K4="属伤",30%,0%),0)</f>
        <v>0</v>
      </c>
      <c r="DF4" s="1">
        <f>IFERROR(INDEX(角色!$A$3:$CZ$31,$D4,VLOOKUP(CZ4,数值!$F$3:$L$15,6,FALSE))+INDEX(音擎!$A$3:$AG$37,$N4,VLOOKUP(CZ4,数值!$F$3:$L$15,7,FALSE))+INDEX(驱动盘!$A$3:$Y$17,$Q4,VLOOKUP(CZ4,数值!$F$3:$M$15,8,FALSE))+DQ$13,0)</f>
        <v>0</v>
      </c>
      <c r="DG4" s="1">
        <f>INDEX(角色!$A$3:$CZ$30,$D4,DA4)*1.909</f>
        <v>0</v>
      </c>
      <c r="DH4" s="1">
        <f>INDEX(角色!$A$3:$CZ$30,$D4,DA4+3)</f>
        <v>0</v>
      </c>
      <c r="DI4" s="1">
        <f>DH4*(1+$AD4)*(1+$Z4+INDEX(角色!$A$3:$CZ$30,$D4,角色!$V$1)+DH$13)*(1+DG13)</f>
        <v>0</v>
      </c>
      <c r="DJ4" s="1">
        <f>INDEX(角色!$A$3:$CZ$30,$D4,DA4+1)*1.4556</f>
        <v>0</v>
      </c>
      <c r="DK4" s="1">
        <f>INDEX(角色!$A$3:$CZ$30,$D4,DA4+2)</f>
        <v>0</v>
      </c>
      <c r="DL4" s="1">
        <f>$AE4*(1+INDEX(音擎!$A$3:$AG$37,$N4,音擎!$Q$1+INDEX(角色!$A$3:$CZ$31,$D4,角色!$P$1))*$O4+DP$13)*(1+DF4)*DJ4%</f>
        <v>0</v>
      </c>
      <c r="DM4" s="1">
        <f t="shared" ref="DM4:DM6" si="10">$AH4*(1+DJ$13)+DI$13+$AI4</f>
        <v>3693.92</v>
      </c>
      <c r="DN4" s="1">
        <f t="shared" ref="DN4:DN6" si="11">DD4+DE4+DK$13</f>
        <v>0</v>
      </c>
      <c r="DO4" s="1">
        <f t="shared" ref="DO4:DO6" si="12">MIN($AF4+DL$13,1)</f>
        <v>0.82</v>
      </c>
      <c r="DP4" s="4">
        <f t="shared" ref="DP4:DP6" si="13">$AG4+DM$13</f>
        <v>2.546</v>
      </c>
      <c r="DQ4" s="1">
        <f>1/(MAX($B$8*MAX(1-INDEX(角色!$A$3:$CZ$31,$D4,角色!$T$1)-$W4-DN$13,0)*MAX(1-DO$13,0)-$X4,0)/$A$8+1)</f>
        <v>0.5</v>
      </c>
      <c r="DR4" s="1">
        <f t="shared" ref="DR4:DR6" si="14">DM4*DG4%*(1+DN4)*(1+DO4*DP4)*DQ4*(1+DE$13)*(1+DF$13)*IF(CZ4="协同",DR$8,1)</f>
        <v>0</v>
      </c>
      <c r="DS4" s="42">
        <f>云配队!O5</f>
        <v>0</v>
      </c>
      <c r="DT4" s="1">
        <f>IFERROR(VLOOKUP(DS4,数值!$F$3:$H$15,2,FALSE),1)</f>
        <v>1</v>
      </c>
      <c r="DU4" s="1">
        <f>IFERROR(INDEX(角色!$A$3:$CZ$30,$D4,DT4+4)+VLOOKUP(DS4,数值!$F$2:$O$16,10,FALSE),0)</f>
        <v>0</v>
      </c>
      <c r="DV4" s="1">
        <f>DU4*IFERROR(VLOOKUP(DS4,数值!$F$3:$N$15,9,FALSE),$AB4*EK$8)+IFERROR(VLOOKUP($C4&amp;DS4,数值!$AS$1:$AT$11,2,FALSE),0)</f>
        <v>0</v>
      </c>
      <c r="DW4" s="1">
        <f>IFERROR(INDEX(角色!$A$3:$CZ$31,$D4,VLOOKUP(DS4,数值!$F$3:$H$15,3,FALSE)),0)</f>
        <v>0</v>
      </c>
      <c r="DX4" s="1">
        <f>IFERROR(INDEX(音擎!$A$3:$AG$37,$N4,VLOOKUP(DS4,数值!$F$3:$L$15,4,FALSE))*$O4+INDEX(驱动盘!$A$3:$X$17,$Q4,VLOOKUP(DS4,数值!$F$3:$L$15,5,FALSE))*$M4+INDEX(驱动盘!$A$3:$X$17,$Q4,驱动盘!$B$1)+IF($K4="属伤",30%,0%),0)</f>
        <v>0</v>
      </c>
      <c r="DY4" s="1">
        <f>IFERROR(INDEX(角色!$A$3:$CZ$31,$D4,VLOOKUP(DS4,数值!$F$3:$L$15,6,FALSE))+INDEX(音擎!$A$3:$AG$37,$N4,VLOOKUP(DS4,数值!$F$3:$L$15,7,FALSE))+INDEX(驱动盘!$A$3:$Y$17,$Q4,VLOOKUP(DS4,数值!$F$3:$M$15,8,FALSE))+EJ$13,0)</f>
        <v>0</v>
      </c>
      <c r="DZ4" s="1">
        <f>INDEX(角色!$A$3:$CZ$30,$D4,DT4)*1.909</f>
        <v>0</v>
      </c>
      <c r="EA4" s="1">
        <f>INDEX(角色!$A$3:$CZ$30,$D4,DT4+3)</f>
        <v>0</v>
      </c>
      <c r="EB4" s="1">
        <f>EA4*(1+$AD4)*(1+$Z4+INDEX(角色!$A$3:$CZ$30,$D4,角色!$V$1)+EA$13)*(1+DZ13)</f>
        <v>0</v>
      </c>
      <c r="EC4" s="1">
        <f>INDEX(角色!$A$3:$CZ$30,$D4,DT4+1)*1.4556</f>
        <v>0</v>
      </c>
      <c r="ED4" s="1">
        <f>INDEX(角色!$A$3:$CZ$30,$D4,DT4+2)</f>
        <v>0</v>
      </c>
      <c r="EE4" s="1">
        <f>$AE4*(1+INDEX(音擎!$A$3:$AG$37,$N4,音擎!$Q$1+INDEX(角色!$A$3:$CZ$31,$D4,角色!$P$1))*$O4+EI$13)*(1+DY4)*EC4%</f>
        <v>0</v>
      </c>
      <c r="EF4" s="1">
        <f t="shared" ref="EF4:EF6" si="15">$AH4*(1+EC$13)+EB$13+$AI4</f>
        <v>3693.92</v>
      </c>
      <c r="EG4" s="1">
        <f t="shared" ref="EG4:EG6" si="16">DW4+DX4+ED$13</f>
        <v>0</v>
      </c>
      <c r="EH4" s="1">
        <f t="shared" ref="EH4:EH6" si="17">MIN($AF4+EE$13,1)</f>
        <v>0.82</v>
      </c>
      <c r="EI4" s="4">
        <f t="shared" ref="EI4:EI6" si="18">$AG4+EF$13</f>
        <v>2.546</v>
      </c>
      <c r="EJ4" s="1">
        <f>1/(MAX($B$8*MAX(1-INDEX(角色!$A$3:$CZ$31,$D4,角色!$T$1)-$W4-EG$13,0)*MAX(1-EH$13,0)-$X4,0)/$A$8+1)</f>
        <v>0.5</v>
      </c>
      <c r="EK4" s="1">
        <f t="shared" ref="EK4:EK6" si="19">EF4*DZ4%*(1+EG4)*(1+EH4*EI4)*EJ4*(1+DX$13)*(1+DY$13)*IF(DS4="协同",EK$8,1)</f>
        <v>0</v>
      </c>
    </row>
    <row r="5" customHeight="1" spans="2:141">
      <c r="B5" s="1" t="s">
        <v>2</v>
      </c>
      <c r="C5" s="42" t="str">
        <f>云配队!E6</f>
        <v>青衣</v>
      </c>
      <c r="D5" s="1">
        <f>MATCH(C5,角色!$F$3:$F$31,0)</f>
        <v>7</v>
      </c>
      <c r="E5" s="43" t="str">
        <f>INDEX(角色!$A$3:$CZ$31,$D5,角色!H$1)</f>
        <v>电</v>
      </c>
      <c r="F5" s="43" t="str">
        <f>INDEX(角色!$A$3:$CZ$31,$D5,角色!I$1)</f>
        <v>治安局</v>
      </c>
      <c r="G5" s="43" t="str">
        <f>VLOOKUP($C5,配装!$A$2:$R$25,配装!$C$1,FALSE)</f>
        <v>玉壶青冰</v>
      </c>
      <c r="H5" s="43" t="str">
        <f>VLOOKUP($C5,配装!$A$2:$R$25,配装!F$1,FALSE)</f>
        <v>震星迪斯科</v>
      </c>
      <c r="I5" s="43" t="str">
        <f>VLOOKUP($C5,配装!$A$2:$R$25,配装!I$1,FALSE)</f>
        <v>摇摆爵士</v>
      </c>
      <c r="J5" s="43" t="str">
        <f>VLOOKUP($C5,配装!$A$2:$R$25,配装!J$1,FALSE)</f>
        <v>暴击</v>
      </c>
      <c r="K5" s="43" t="str">
        <f>VLOOKUP($C5,配装!$A$2:$R$25,配装!K$1,FALSE)</f>
        <v>属伤</v>
      </c>
      <c r="L5" s="43" t="str">
        <f>VLOOKUP($C5,配装!$A$2:$R$25,配装!L$1,FALSE)</f>
        <v>冲击</v>
      </c>
      <c r="M5" s="43">
        <f>VLOOKUP($C5,配装!$A$2:$R$25,配装!$G$1,FALSE)</f>
        <v>1</v>
      </c>
      <c r="N5" s="43">
        <f>MATCH(G5,音擎!$A$3:$A$37,0)</f>
        <v>1</v>
      </c>
      <c r="O5" s="43">
        <f>VLOOKUP($C5,配装!$A$2:$M$25,配装!$D$1,FALSE)</f>
        <v>1</v>
      </c>
      <c r="P5" s="43">
        <f>INDEX(音擎!$A$3:$AH$42,N5,音擎!$C$1)</f>
        <v>714</v>
      </c>
      <c r="Q5" s="43">
        <f>MATCH(H5,驱动盘!$A$3:$A$17,0)</f>
        <v>9</v>
      </c>
      <c r="R5" s="43">
        <f>MATCH(I5,驱动盘!$A$3:$A$17,0)</f>
        <v>10</v>
      </c>
      <c r="S5" s="43">
        <f>INDEX(音擎!$A$3:$AG$37,$N5,音擎!D$1)+INDEX(驱动盘!$A$3:$X$17,$Q5,驱动盘!C$1)+INDEX(驱动盘!$A$3:$X$17,$R5,驱动盘!C$1)+IF($J5="攻击",30%,0%)+IF($K5="攻击",30%,0%)+IF($L5="攻击",30%,0%)+VLOOKUP($C5,配装!$A$2:$R$25,配装!O$1,FALSE)*3%</f>
        <v>0.24</v>
      </c>
      <c r="T5" s="43">
        <f>VLOOKUP($C5,配装!$A$2:$R$25,配装!P$1,FALSE)*22</f>
        <v>0</v>
      </c>
      <c r="U5" s="43">
        <f>INDEX(音擎!$A$3:$AG$37,$N5,音擎!E$1)+INDEX(音擎!$A$3:$AG$37,$N5,音擎!M$1)*$O5+INDEX(驱动盘!$A$3:$X$17,$Q5,驱动盘!D$1)+INDEX(驱动盘!$A$3:$X$17,$R5,驱动盘!D$1)+INDEX(驱动盘!$A$3:$X$17,$Q5,驱动盘!L$1)*$M5+IF($J5="暴击",24%,0%)+VLOOKUP($C5,配装!$A$2:$R$25,配装!M$1,FALSE)*2.4%</f>
        <v>0.48</v>
      </c>
      <c r="V5" s="43">
        <f>INDEX(音擎!$A$3:$AG$37,$N5,音擎!F$1)+INDEX(音擎!$A$3:$AG$37,$N5,音擎!N$1)*$O5+INDEX(驱动盘!$A$3:$X$17,$Q5,驱动盘!E$1)+INDEX(驱动盘!$A$3:$X$17,$R5,驱动盘!E$1)+INDEX(驱动盘!$A$3:$X$17,$Q5,驱动盘!M$1)*$M5+IF($J5="暴伤",48%,0%)+VLOOKUP($C5,配装!$A$2:$R$25,配装!N$1,FALSE)*4.8%</f>
        <v>0.48</v>
      </c>
      <c r="W5" s="43">
        <f>INDEX(音擎!$A$3:$AG$37,$N5,音擎!G$1)+INDEX(音擎!$A$3:$AG$37,$N5,音擎!O$1)*$O5+INDEX(驱动盘!$A$3:$X$17,$Q5,驱动盘!F$1)+INDEX(驱动盘!$A$3:$X$17,$R5,驱动盘!F$1)+IF($K5="穿透",24%,0%)</f>
        <v>0</v>
      </c>
      <c r="X5" s="43">
        <f>VLOOKUP($C5,配装!$A$2:$R$25,配装!R$1,FALSE)*9</f>
        <v>0</v>
      </c>
      <c r="Y5" s="43">
        <f>INDEX(音擎!$A$3:$AG$37,$N5,音擎!H$1)+INDEX(音擎!$A$3:$AG$37,$N5,音擎!P$1)*$O5+INDEX(驱动盘!$A$3:$X$17,$Q5,驱动盘!G$1)+INDEX(驱动盘!$A$3:$X$17,$R5,驱动盘!G$1)+IF($J5="精通",92%,0%)+VLOOKUP($C5,配装!$A$2:$R$25,配装!Q$1,FALSE)*9%</f>
        <v>0</v>
      </c>
      <c r="Z5" s="43">
        <f>INDEX(音擎!$A$3:$AG$37,$N5,音擎!T$1)*$O5</f>
        <v>0</v>
      </c>
      <c r="AA5" s="43">
        <f>1.2+INDEX(角色!$A$3:$CZ$31,$D5,角色!$W$1)+INDEX(音擎!$A$3:$AG$37,$N5,音擎!J$1)+INDEX(驱动盘!$A$3:$X$17,$Q5,驱动盘!I$1)+INDEX(驱动盘!$A$3:$X$17,$R5,驱动盘!I$1)+IF($L5="回能",50%,0%)</f>
        <v>1.4</v>
      </c>
      <c r="AB5" s="43">
        <f>INDEX(音擎!$A$3:$AG$37,$N5,音擎!R$1)</f>
        <v>0</v>
      </c>
      <c r="AC5" s="43">
        <f>INDEX(角色!$A$3:$CZ$31,$D5,角色!$X$1)+INDEX(音擎!$A$3:$AG$37,$N5,音擎!S$1)*$O5</f>
        <v>0</v>
      </c>
      <c r="AD5" s="43">
        <f>INDEX(角色!$A$3:$CZ$30,$D5,角色!$U$1)+IF($L5="掌控",30%,0%)</f>
        <v>-0.07</v>
      </c>
      <c r="AE5" s="43">
        <f>INDEX(角色!$A$3:$CZ$31,$D5,角色!$N$1)*(1+INDEX(角色!$A$3:$CZ$31,$D5,角色!$O$1)+INDEX(音擎!$A$3:$AG$37,$N5,音擎!I$1)+INDEX(驱动盘!$A$3:$X$17,$Q5,驱动盘!H$1)+INDEX(驱动盘!$A$3:$X$17,$R5,驱动盘!H$1)+IF($L5="冲击",18%,0%))</f>
        <v>195.96</v>
      </c>
      <c r="AF5" s="43" cm="1">
        <f t="array" ref="AF5">INDEX(角色!$A$3:$CZ$31,$D5,角色!$R$1)+$U5</f>
        <v>0.53</v>
      </c>
      <c r="AG5" s="43" cm="1">
        <f t="array" ref="AG5">INDEX(角色!$A$3:$CZ$31,$D5,角色!$S$1)+$V5</f>
        <v>0.98</v>
      </c>
      <c r="AH5" s="43">
        <f>(INDEX(角色!$A$3:$CZ$31,$D5,角色!$J$1)+$P5)*(1+INDEX(角色!$A$3:$CZ$31,$D5,角色!$K$1)+S5)+316+$T5</f>
        <v>2494.56</v>
      </c>
      <c r="AI5" s="43">
        <f>INDEX(角色!$A$3:$CZ$31,$D5,角色!$M$1)+INDEX(音擎!$A$3:$AG$37,$N5,音擎!L$1)*$O5*$AH5+INDEX(角色!$A$3:$CZ$31,$D5,角色!$L$1)*$AH5+INDEX(驱动盘!$A$3:$X$17,$Q5,驱动盘!K$1)*$M5*$AH5</f>
        <v>600</v>
      </c>
      <c r="AJ5" s="43">
        <f>AH5*(1+$AJ$13)+$AI$13+AI5</f>
        <v>3094.56</v>
      </c>
      <c r="AK5" s="52">
        <f>INDEX(角色!$A$3:$CZ$31,$D5,角色!$Q$1)+$Y5+$AK$13</f>
        <v>-0.1</v>
      </c>
      <c r="AL5" s="43">
        <f>INDEX(角色!$A$3:$CZ$31,$D5,数值!$H$16)+INDEX(音擎!$A$3:$AG$37,$N5,音擎!$AD$1)*$O5+$AL$13</f>
        <v>0</v>
      </c>
      <c r="AM5" s="43">
        <f>VLOOKUP(E5,数值!$AO$2:$AQ$7,2,FALSE)</f>
        <v>1.25</v>
      </c>
      <c r="AN5" s="43">
        <f>1/(MAX($B$8*MAX(1-INDEX(角色!$A$3:$CZ$31,$D5,角色!$T$1)-$W5-$AM$13,0)*MAX(1-$AN$13,0)-$X5,0)/$A$8+1)</f>
        <v>0.5</v>
      </c>
      <c r="AO5" s="43">
        <f>AJ5*(1+AK5)*(1+AL5)*AN5*(58/59+$A$4/59)*(1+$AH$13)</f>
        <v>2785.104</v>
      </c>
      <c r="AP5" s="43">
        <f>AM5*AO5</f>
        <v>3481.38</v>
      </c>
      <c r="AQ5" s="43">
        <f>450%+云配队!$P6*VLOOKUP(E5,数值!$AO$2:$AQ$7,3,FALSE)</f>
        <v>4.5</v>
      </c>
      <c r="AR5" s="43">
        <f>AO5*AQ5</f>
        <v>12532.968</v>
      </c>
      <c r="AS5" s="43">
        <f>AW5+BP5+CI5+DB5+DU5</f>
        <v>0</v>
      </c>
      <c r="AT5" s="43">
        <f>(AX5+BQ5+CJ5+DC5+DV5+AA5*$DS$15)*(1+$AC5)</f>
        <v>0</v>
      </c>
      <c r="AU5" s="42">
        <f>云配队!K6</f>
        <v>0</v>
      </c>
      <c r="AV5" s="1">
        <f>IFERROR(VLOOKUP(AU5,数值!$F$3:$H$15,2,FALSE),1)</f>
        <v>1</v>
      </c>
      <c r="AW5" s="1">
        <f>IFERROR(INDEX(角色!$A$3:$CZ$30,$D5,AV5+4)+VLOOKUP(AU5,数值!$F$2:$O$16,10,FALSE),0)</f>
        <v>0</v>
      </c>
      <c r="AX5" s="1">
        <f>AW5*IFERROR(VLOOKUP(AU5,数值!$F$3:$N$15,9,FALSE),$AB5*BM$8)+IFERROR(VLOOKUP($C5&amp;AU5,数值!$AS$1:$AT$11,2,FALSE),0)</f>
        <v>0</v>
      </c>
      <c r="AY5" s="1">
        <f>IFERROR(INDEX(角色!$A$3:$CZ$31,$D5,VLOOKUP(AU5,数值!$F$3:$H$15,3,FALSE)),0)</f>
        <v>0</v>
      </c>
      <c r="AZ5" s="1">
        <f>IFERROR(INDEX(音擎!$A$3:$AG$37,$N5,VLOOKUP(AU5,数值!$F$3:$L$15,4,FALSE))*$O5+INDEX(驱动盘!$A$3:$X$17,$Q5,VLOOKUP(AU5,数值!$F$3:$L$15,5,FALSE))*$M5+INDEX(驱动盘!$A$3:$X$17,$Q5,驱动盘!$B$1)+IF($K5="属伤",30%,0%),0)</f>
        <v>0</v>
      </c>
      <c r="BA5" s="1">
        <f>IFERROR(INDEX(角色!$A$3:$CZ$31,$D5,VLOOKUP(AU5,数值!$F$3:$L$15,6,FALSE))+INDEX(音擎!$A$3:$AG$37,$N5,VLOOKUP(AU5,数值!$F$3:$L$15,7,FALSE))+INDEX(驱动盘!$A$3:$Y$17,$Q5,VLOOKUP(AU5,数值!$F$3:$M$15,8,FALSE))+BL$13,0)</f>
        <v>0</v>
      </c>
      <c r="BB5" s="1">
        <f>INDEX(角色!$A$3:$CZ$30,$D5,AV5)*1.909</f>
        <v>0</v>
      </c>
      <c r="BC5" s="1">
        <f>INDEX(角色!$A$3:$CZ$30,$D5,AV5+3)</f>
        <v>0</v>
      </c>
      <c r="BD5" s="1">
        <f>BC5*(1+$AD5)*(1+$Z5+INDEX(角色!$A$3:$CZ$30,$D5,角色!$V$1)+BC$13)*(1+BB14)</f>
        <v>0</v>
      </c>
      <c r="BE5" s="1">
        <f>INDEX(角色!$A$3:$CZ$30,$D5,AV5+1)*1.4556</f>
        <v>0</v>
      </c>
      <c r="BF5" s="1">
        <f>INDEX(角色!$A$3:$CZ$30,$D5,AV5+2)</f>
        <v>0</v>
      </c>
      <c r="BG5" s="1">
        <f>$AE5*(1+INDEX(音擎!$A$3:$AG$37,$N5,音擎!$Q$1+INDEX(角色!$A$3:$CZ$31,$D5,角色!$P$1))*$O5+BK$13)*(1+BA5)*BE5%</f>
        <v>0</v>
      </c>
      <c r="BH5" s="1">
        <f>$AH5*(1+BE$13)+BD$13+$AI5</f>
        <v>3094.56</v>
      </c>
      <c r="BI5" s="1">
        <f t="shared" ref="BI4:BI6" si="20">AY5+AZ5+BF$13</f>
        <v>0</v>
      </c>
      <c r="BJ5" s="1">
        <f>MIN($AF5+BG$13,1)</f>
        <v>0.53</v>
      </c>
      <c r="BK5" s="4">
        <f>$AG5+BH$13</f>
        <v>0.98</v>
      </c>
      <c r="BL5" s="1">
        <f>1/(MAX($B$8*MAX(1-INDEX(角色!$A$3:$CZ$31,$D5,角色!$T$1)-$W5-BI$13,0)*MAX(1-BJ$13,0)-$X5,0)/$A$8+1)</f>
        <v>0.5</v>
      </c>
      <c r="BM5" s="1">
        <f>BH5*BB5%*(1+BI5)*(1+BJ5*BK5)*BL5*(1+AZ$13)*(1+BA$13)*IF(AU5="协同",BM$8,1)</f>
        <v>0</v>
      </c>
      <c r="BN5" s="42">
        <f>云配队!L6</f>
        <v>0</v>
      </c>
      <c r="BO5" s="1">
        <f>IFERROR(VLOOKUP(BN5,数值!$F$3:$H$15,2,FALSE),1)</f>
        <v>1</v>
      </c>
      <c r="BP5" s="1">
        <f>IFERROR(INDEX(角色!$A$3:$CZ$30,$D5,BO5+4)+VLOOKUP(BN5,数值!$F$2:$O$16,10,FALSE),0)</f>
        <v>0</v>
      </c>
      <c r="BQ5" s="1">
        <f>BP5*IFERROR(VLOOKUP(BN5,数值!$F$3:$N$15,9,FALSE),$AB5*CF$8)+IFERROR(VLOOKUP($C5&amp;BN5,数值!$AS$1:$AT$11,2,FALSE),0)</f>
        <v>0</v>
      </c>
      <c r="BR5" s="1">
        <f>IFERROR(INDEX(角色!$A$3:$CZ$31,$D5,VLOOKUP(BN5,数值!$F$3:$H$15,3,FALSE)),0)</f>
        <v>0</v>
      </c>
      <c r="BS5" s="1">
        <f>IFERROR(INDEX(音擎!$A$3:$AG$37,$N5,VLOOKUP(BN5,数值!$F$3:$L$15,4,FALSE))*$O5+INDEX(驱动盘!$A$3:$X$17,$Q5,VLOOKUP(BN5,数值!$F$3:$L$15,5,FALSE))*$M5+INDEX(驱动盘!$A$3:$X$17,$Q5,驱动盘!$B$1)+IF($K5="属伤",30%,0%),0)</f>
        <v>0</v>
      </c>
      <c r="BT5" s="1">
        <f>IFERROR(INDEX(角色!$A$3:$CZ$31,$D5,VLOOKUP(BN5,数值!$F$3:$L$15,6,FALSE))+INDEX(音擎!$A$3:$AG$37,$N5,VLOOKUP(BN5,数值!$F$3:$L$15,7,FALSE))+INDEX(驱动盘!$A$3:$Y$17,$Q5,VLOOKUP(BN5,数值!$F$3:$M$15,8,FALSE))+CE$13,0)</f>
        <v>0</v>
      </c>
      <c r="BU5" s="1">
        <f>INDEX(角色!$A$3:$CZ$30,$D5,BO5)*1.909</f>
        <v>0</v>
      </c>
      <c r="BV5" s="1">
        <f>INDEX(角色!$A$3:$CZ$30,$D5,BO5+3)</f>
        <v>0</v>
      </c>
      <c r="BW5" s="1">
        <f>BV5*(1+$AD5)*(1+$Z5+INDEX(角色!$A$3:$CZ$30,$D5,角色!$V$1)+BV$13)*(1+BU14)</f>
        <v>0</v>
      </c>
      <c r="BX5" s="1">
        <f>INDEX(角色!$A$3:$CZ$30,$D5,BO5+1)*1.4556</f>
        <v>0</v>
      </c>
      <c r="BY5" s="1">
        <f>INDEX(角色!$A$3:$CZ$30,$D5,BO5+2)</f>
        <v>0</v>
      </c>
      <c r="BZ5" s="1">
        <f>$AE5*(1+INDEX(音擎!$A$3:$AG$37,$N5,音擎!$Q$1+INDEX(角色!$A$3:$CZ$31,$D5,角色!$P$1))*$O5+CD$13)*(1+BT5)*BX5%</f>
        <v>0</v>
      </c>
      <c r="CA5" s="1">
        <f t="shared" si="0"/>
        <v>3094.56</v>
      </c>
      <c r="CB5" s="1">
        <f t="shared" si="1"/>
        <v>0</v>
      </c>
      <c r="CC5" s="1">
        <f t="shared" si="2"/>
        <v>0.53</v>
      </c>
      <c r="CD5" s="4">
        <f t="shared" si="3"/>
        <v>0.98</v>
      </c>
      <c r="CE5" s="1">
        <f>1/(MAX($B$8*MAX(1-INDEX(角色!$A$3:$CZ$31,$D5,角色!$T$1)-$W5-CB$13,0)*MAX(1-CC$13,0)-$X5,0)/$A$8+1)</f>
        <v>0.5</v>
      </c>
      <c r="CF5" s="1">
        <f t="shared" si="4"/>
        <v>0</v>
      </c>
      <c r="CG5" s="42">
        <f>云配队!M6</f>
        <v>0</v>
      </c>
      <c r="CH5" s="1">
        <f>IFERROR(VLOOKUP(CG5,数值!$F$3:$H$15,2,FALSE),1)</f>
        <v>1</v>
      </c>
      <c r="CI5" s="1">
        <f>IFERROR(INDEX(角色!$A$3:$CZ$30,$D5,CH5+4)+VLOOKUP(CG5,数值!$F$2:$O$16,10,FALSE),0)</f>
        <v>0</v>
      </c>
      <c r="CJ5" s="1">
        <f>CI5*IFERROR(VLOOKUP(CG5,数值!$F$3:$N$15,9,FALSE),$AB5*CY$8)+IFERROR(VLOOKUP($C5&amp;CG5,数值!$AS$1:$AT$11,2,FALSE),0)</f>
        <v>0</v>
      </c>
      <c r="CK5" s="1">
        <f>IFERROR(INDEX(角色!$A$3:$CZ$31,$D5,VLOOKUP(CG5,数值!$F$3:$H$15,3,FALSE)),0)</f>
        <v>0</v>
      </c>
      <c r="CL5" s="1">
        <f>IFERROR(INDEX(音擎!$A$3:$AG$37,$N5,VLOOKUP(CG5,数值!$F$3:$L$15,4,FALSE))*$O5+INDEX(驱动盘!$A$3:$X$17,$Q5,VLOOKUP(CG5,数值!$F$3:$L$15,5,FALSE))*$M5+INDEX(驱动盘!$A$3:$X$17,$Q5,驱动盘!$B$1)+IF($K5="属伤",30%,0%),0)</f>
        <v>0</v>
      </c>
      <c r="CM5" s="1">
        <f>IFERROR(INDEX(角色!$A$3:$CZ$31,$D5,VLOOKUP(CG5,数值!$F$3:$L$15,6,FALSE))+INDEX(音擎!$A$3:$AG$37,$N5,VLOOKUP(CG5,数值!$F$3:$L$15,7,FALSE))+INDEX(驱动盘!$A$3:$Y$17,$Q5,VLOOKUP(CG5,数值!$F$3:$M$15,8,FALSE))+CX$13,0)</f>
        <v>0</v>
      </c>
      <c r="CN5" s="1">
        <f>INDEX(角色!$A$3:$CZ$30,$D5,CH5)*1.909</f>
        <v>0</v>
      </c>
      <c r="CO5" s="1">
        <f>INDEX(角色!$A$3:$CZ$30,$D5,CH5+3)</f>
        <v>0</v>
      </c>
      <c r="CP5" s="1">
        <f>CO5*(1+$AD5)*(1+$Z5+INDEX(角色!$A$3:$CZ$30,$D5,角色!$V$1)+CO$13)*(1+CN14)</f>
        <v>0</v>
      </c>
      <c r="CQ5" s="1">
        <f>INDEX(角色!$A$3:$CZ$30,$D5,CH5+1)*1.4556</f>
        <v>0</v>
      </c>
      <c r="CR5" s="1">
        <f>INDEX(角色!$A$3:$CZ$30,$D5,CH5+2)</f>
        <v>0</v>
      </c>
      <c r="CS5" s="1">
        <f>$AE5*(1+INDEX(音擎!$A$3:$AG$37,$N5,音擎!$Q$1+INDEX(角色!$A$3:$CZ$31,$D5,角色!$P$1))*$O5+CW$13)*(1+CM5)*CQ5%</f>
        <v>0</v>
      </c>
      <c r="CT5" s="1">
        <f t="shared" si="5"/>
        <v>3094.56</v>
      </c>
      <c r="CU5" s="1">
        <f t="shared" si="6"/>
        <v>0</v>
      </c>
      <c r="CV5" s="1">
        <f t="shared" si="7"/>
        <v>0.53</v>
      </c>
      <c r="CW5" s="4">
        <f t="shared" si="8"/>
        <v>0.98</v>
      </c>
      <c r="CX5" s="1">
        <f>1/(MAX($B$8*MAX(1-INDEX(角色!$A$3:$CZ$31,$D5,角色!$T$1)-$W5-CU$13,0)*MAX(1-CV$13,0)-$X5,0)/$A$8+1)</f>
        <v>0.5</v>
      </c>
      <c r="CY5" s="1">
        <f t="shared" si="9"/>
        <v>0</v>
      </c>
      <c r="CZ5" s="42">
        <f>云配队!N6</f>
        <v>0</v>
      </c>
      <c r="DA5" s="1">
        <f>IFERROR(VLOOKUP(CZ5,数值!$F$3:$H$15,2,FALSE),1)</f>
        <v>1</v>
      </c>
      <c r="DB5" s="1">
        <f>IFERROR(INDEX(角色!$A$3:$CZ$30,$D5,DA5+4)+VLOOKUP(CZ5,数值!$F$2:$O$16,10,FALSE),0)</f>
        <v>0</v>
      </c>
      <c r="DC5" s="1">
        <f>DB5*IFERROR(VLOOKUP(CZ5,数值!$F$3:$N$15,9,FALSE),$AB5*DR$8)+IFERROR(VLOOKUP($C5&amp;CZ5,数值!$AS$1:$AT$11,2,FALSE),0)</f>
        <v>0</v>
      </c>
      <c r="DD5" s="1">
        <f>IFERROR(INDEX(角色!$A$3:$CZ$31,$D5,VLOOKUP(CZ5,数值!$F$3:$H$15,3,FALSE)),0)</f>
        <v>0</v>
      </c>
      <c r="DE5" s="1">
        <f>IFERROR(INDEX(音擎!$A$3:$AG$37,$N5,VLOOKUP(CZ5,数值!$F$3:$L$15,4,FALSE))*$O5+INDEX(驱动盘!$A$3:$X$17,$Q5,VLOOKUP(CZ5,数值!$F$3:$L$15,5,FALSE))*$M5+INDEX(驱动盘!$A$3:$X$17,$Q5,驱动盘!$B$1)+IF($K5="属伤",30%,0%),0)</f>
        <v>0</v>
      </c>
      <c r="DF5" s="1">
        <f>IFERROR(INDEX(角色!$A$3:$CZ$31,$D5,VLOOKUP(CZ5,数值!$F$3:$L$15,6,FALSE))+INDEX(音擎!$A$3:$AG$37,$N5,VLOOKUP(CZ5,数值!$F$3:$L$15,7,FALSE))+INDEX(驱动盘!$A$3:$Y$17,$Q5,VLOOKUP(CZ5,数值!$F$3:$M$15,8,FALSE))+DQ$13,0)</f>
        <v>0</v>
      </c>
      <c r="DG5" s="1">
        <f>INDEX(角色!$A$3:$CZ$30,$D5,DA5)*1.909</f>
        <v>0</v>
      </c>
      <c r="DH5" s="1">
        <f>INDEX(角色!$A$3:$CZ$30,$D5,DA5+3)</f>
        <v>0</v>
      </c>
      <c r="DI5" s="1">
        <f>DH5*(1+$AD5)*(1+$Z5+INDEX(角色!$A$3:$CZ$30,$D5,角色!$V$1)+DH$13)*(1+DG14)</f>
        <v>0</v>
      </c>
      <c r="DJ5" s="1">
        <f>INDEX(角色!$A$3:$CZ$30,$D5,DA5+1)*1.4556</f>
        <v>0</v>
      </c>
      <c r="DK5" s="1">
        <f>INDEX(角色!$A$3:$CZ$30,$D5,DA5+2)</f>
        <v>0</v>
      </c>
      <c r="DL5" s="1">
        <f>$AE5*(1+INDEX(音擎!$A$3:$AG$37,$N5,音擎!$Q$1+INDEX(角色!$A$3:$CZ$31,$D5,角色!$P$1))*$O5+DP$13)*(1+DF5)*DJ5%</f>
        <v>0</v>
      </c>
      <c r="DM5" s="1">
        <f t="shared" si="10"/>
        <v>3094.56</v>
      </c>
      <c r="DN5" s="1">
        <f t="shared" si="11"/>
        <v>0</v>
      </c>
      <c r="DO5" s="1">
        <f t="shared" si="12"/>
        <v>0.53</v>
      </c>
      <c r="DP5" s="4">
        <f t="shared" si="13"/>
        <v>0.98</v>
      </c>
      <c r="DQ5" s="1">
        <f>1/(MAX($B$8*MAX(1-INDEX(角色!$A$3:$CZ$31,$D5,角色!$T$1)-$W5-DN$13,0)*MAX(1-DO$13,0)-$X5,0)/$A$8+1)</f>
        <v>0.5</v>
      </c>
      <c r="DR5" s="1">
        <f t="shared" si="14"/>
        <v>0</v>
      </c>
      <c r="DS5" s="42">
        <f>云配队!O6</f>
        <v>0</v>
      </c>
      <c r="DT5" s="1">
        <f>IFERROR(VLOOKUP(DS5,数值!$F$3:$H$15,2,FALSE),1)</f>
        <v>1</v>
      </c>
      <c r="DU5" s="1">
        <f>IFERROR(INDEX(角色!$A$3:$CZ$30,$D5,DT5+4)+VLOOKUP(DS5,数值!$F$2:$O$16,10,FALSE),0)</f>
        <v>0</v>
      </c>
      <c r="DV5" s="1">
        <f>DU5*IFERROR(VLOOKUP(DS5,数值!$F$3:$N$15,9,FALSE),$AB5*EK$8)+IFERROR(VLOOKUP($C5&amp;DS5,数值!$AS$1:$AT$11,2,FALSE),0)</f>
        <v>0</v>
      </c>
      <c r="DW5" s="1">
        <f>IFERROR(INDEX(角色!$A$3:$CZ$31,$D5,VLOOKUP(DS5,数值!$F$3:$H$15,3,FALSE)),0)</f>
        <v>0</v>
      </c>
      <c r="DX5" s="1">
        <f>IFERROR(INDEX(音擎!$A$3:$AG$37,$N5,VLOOKUP(DS5,数值!$F$3:$L$15,4,FALSE))*$O5+INDEX(驱动盘!$A$3:$X$17,$Q5,VLOOKUP(DS5,数值!$F$3:$L$15,5,FALSE))*$M5+INDEX(驱动盘!$A$3:$X$17,$Q5,驱动盘!$B$1)+IF($K5="属伤",30%,0%),0)</f>
        <v>0</v>
      </c>
      <c r="DY5" s="1">
        <f>IFERROR(INDEX(角色!$A$3:$CZ$31,$D5,VLOOKUP(DS5,数值!$F$3:$L$15,6,FALSE))+INDEX(音擎!$A$3:$AG$37,$N5,VLOOKUP(DS5,数值!$F$3:$L$15,7,FALSE))+INDEX(驱动盘!$A$3:$Y$17,$Q5,VLOOKUP(DS5,数值!$F$3:$M$15,8,FALSE))+EJ$13,0)</f>
        <v>0</v>
      </c>
      <c r="DZ5" s="1">
        <f>INDEX(角色!$A$3:$CZ$30,$D5,DT5)*1.909</f>
        <v>0</v>
      </c>
      <c r="EA5" s="1">
        <f>INDEX(角色!$A$3:$CZ$30,$D5,DT5+3)</f>
        <v>0</v>
      </c>
      <c r="EB5" s="1">
        <f>EA5*(1+$AD5)*(1+$Z5+INDEX(角色!$A$3:$CZ$30,$D5,角色!$V$1)+EA$13)*(1+DZ14)</f>
        <v>0</v>
      </c>
      <c r="EC5" s="1">
        <f>INDEX(角色!$A$3:$CZ$30,$D5,DT5+1)*1.4556</f>
        <v>0</v>
      </c>
      <c r="ED5" s="1">
        <f>INDEX(角色!$A$3:$CZ$30,$D5,DT5+2)</f>
        <v>0</v>
      </c>
      <c r="EE5" s="1">
        <f>$AE5*(1+INDEX(音擎!$A$3:$AG$37,$N5,音擎!$Q$1+INDEX(角色!$A$3:$CZ$31,$D5,角色!$P$1))*$O5+EI$13)*(1+DY5)*EC5%</f>
        <v>0</v>
      </c>
      <c r="EF5" s="1">
        <f t="shared" si="15"/>
        <v>3094.56</v>
      </c>
      <c r="EG5" s="1">
        <f t="shared" si="16"/>
        <v>0</v>
      </c>
      <c r="EH5" s="1">
        <f t="shared" si="17"/>
        <v>0.53</v>
      </c>
      <c r="EI5" s="4">
        <f t="shared" si="18"/>
        <v>0.98</v>
      </c>
      <c r="EJ5" s="1">
        <f>1/(MAX($B$8*MAX(1-INDEX(角色!$A$3:$CZ$31,$D5,角色!$T$1)-$W5-EG$13,0)*MAX(1-EH$13,0)-$X5,0)/$A$8+1)</f>
        <v>0.5</v>
      </c>
      <c r="EK5" s="1">
        <f t="shared" si="19"/>
        <v>0</v>
      </c>
    </row>
    <row r="6" customHeight="1" spans="2:141">
      <c r="B6" s="44" t="str">
        <f>云配队!D3</f>
        <v>精英</v>
      </c>
      <c r="C6" s="45" t="str">
        <f>云配队!E7</f>
        <v>妮可</v>
      </c>
      <c r="D6" s="1">
        <f>MATCH(C6,角色!$F$3:$F$31,0)</f>
        <v>19</v>
      </c>
      <c r="E6" s="43" t="str">
        <f>INDEX(角色!$A$3:$CZ$31,$D6,角色!H$1)</f>
        <v>以太</v>
      </c>
      <c r="F6" s="43" t="str">
        <f>INDEX(角色!$A$3:$CZ$31,$D6,角色!I$1)</f>
        <v>狡兔屋</v>
      </c>
      <c r="G6" s="43" t="str">
        <f>VLOOKUP($C6,配装!$A$2:$R$25,配装!$C$1,FALSE)</f>
        <v>聚宝箱</v>
      </c>
      <c r="H6" s="43" t="str">
        <f>VLOOKUP($C6,配装!$A$2:$R$25,配装!F$1,FALSE)</f>
        <v>摇摆爵士</v>
      </c>
      <c r="I6" s="43" t="str">
        <f>VLOOKUP($C6,配装!$A$2:$R$25,配装!I$1,FALSE)</f>
        <v>自由蓝调</v>
      </c>
      <c r="J6" s="43" t="str">
        <f>VLOOKUP($C6,配装!$A$2:$R$25,配装!J$1,FALSE)</f>
        <v>暴击</v>
      </c>
      <c r="K6" s="43" t="str">
        <f>VLOOKUP($C6,配装!$A$2:$R$25,配装!K$1,FALSE)</f>
        <v>攻击</v>
      </c>
      <c r="L6" s="43" t="str">
        <f>VLOOKUP($C6,配装!$A$2:$R$25,配装!L$1,FALSE)</f>
        <v>回能</v>
      </c>
      <c r="M6" s="43">
        <f>VLOOKUP($C6,配装!$A$2:$R$25,配装!$G$1,FALSE)</f>
        <v>1</v>
      </c>
      <c r="N6" s="43">
        <f>MATCH(G6,音擎!$A$3:$A$37,0)</f>
        <v>27</v>
      </c>
      <c r="O6" s="43">
        <f>VLOOKUP($C6,配装!$A$2:$M$25,配装!$D$1,FALSE)</f>
        <v>1</v>
      </c>
      <c r="P6" s="43">
        <f>INDEX(音擎!$A$3:$AH$42,N6,音擎!$C$1)</f>
        <v>625</v>
      </c>
      <c r="Q6" s="43">
        <f>MATCH(H6,驱动盘!$A$3:$A$17,0)</f>
        <v>10</v>
      </c>
      <c r="R6" s="43">
        <f>MATCH(I6,驱动盘!$A$3:$A$17,0)</f>
        <v>11</v>
      </c>
      <c r="S6" s="43">
        <f>INDEX(音擎!$A$3:$AG$37,$N6,音擎!D$1)+INDEX(驱动盘!$A$3:$X$17,$Q6,驱动盘!C$1)+INDEX(驱动盘!$A$3:$X$17,$R6,驱动盘!C$1)+IF($J6="攻击",30%,0%)+IF($K6="攻击",30%,0%)+IF($L6="攻击",30%,0%)+VLOOKUP($C6,配装!$A$2:$R$25,配装!O$1,FALSE)*3%</f>
        <v>0.54</v>
      </c>
      <c r="T6" s="43">
        <f>VLOOKUP($C6,配装!$A$2:$R$25,配装!P$1,FALSE)*22</f>
        <v>0</v>
      </c>
      <c r="U6" s="43">
        <f>INDEX(音擎!$A$3:$AG$37,$N6,音擎!E$1)+INDEX(音擎!$A$3:$AG$37,$N6,音擎!M$1)*$O6+INDEX(驱动盘!$A$3:$X$17,$Q6,驱动盘!D$1)+INDEX(驱动盘!$A$3:$X$17,$R6,驱动盘!D$1)+INDEX(驱动盘!$A$3:$X$17,$Q6,驱动盘!L$1)*$M6+IF($J6="暴击",24%,0%)+VLOOKUP($C6,配装!$A$2:$R$25,配装!M$1,FALSE)*2.4%</f>
        <v>0.48</v>
      </c>
      <c r="V6" s="43">
        <f>INDEX(音擎!$A$3:$AG$37,$N6,音擎!F$1)+INDEX(音擎!$A$3:$AG$37,$N6,音擎!N$1)*$O6+INDEX(驱动盘!$A$3:$X$17,$Q6,驱动盘!E$1)+INDEX(驱动盘!$A$3:$X$17,$R6,驱动盘!E$1)+INDEX(驱动盘!$A$3:$X$17,$Q6,驱动盘!M$1)*$M6+IF($J6="暴伤",48%,0%)+VLOOKUP($C6,配装!$A$2:$R$25,配装!N$1,FALSE)*4.8%</f>
        <v>0.48</v>
      </c>
      <c r="W6" s="43">
        <f>INDEX(音擎!$A$3:$AG$37,$N6,音擎!G$1)+INDEX(音擎!$A$3:$AG$37,$N6,音擎!O$1)*$O6+INDEX(驱动盘!$A$3:$X$17,$Q6,驱动盘!F$1)+INDEX(驱动盘!$A$3:$X$17,$R6,驱动盘!F$1)+IF($K6="穿透",24%,0%)</f>
        <v>0</v>
      </c>
      <c r="X6" s="43">
        <f>VLOOKUP($C6,配装!$A$2:$R$25,配装!R$1,FALSE)*9</f>
        <v>0</v>
      </c>
      <c r="Y6" s="43">
        <f>INDEX(音擎!$A$3:$AG$37,$N6,音擎!H$1)+INDEX(音擎!$A$3:$AG$37,$N6,音擎!P$1)*$O6+INDEX(驱动盘!$A$3:$X$17,$Q6,驱动盘!G$1)+INDEX(驱动盘!$A$3:$X$17,$R6,驱动盘!G$1)+IF($J6="精通",92%,0%)+VLOOKUP($C6,配装!$A$2:$R$25,配装!Q$1,FALSE)*9%</f>
        <v>0.3</v>
      </c>
      <c r="Z6" s="43">
        <f>INDEX(音擎!$A$3:$AG$37,$N6,音擎!T$1)*$O6</f>
        <v>0</v>
      </c>
      <c r="AA6" s="43">
        <f>1.2+INDEX(角色!$A$3:$CZ$31,$D6,角色!$W$1)+INDEX(音擎!$A$3:$AG$37,$N6,音擎!J$1)+INDEX(驱动盘!$A$3:$X$17,$Q6,驱动盘!I$1)+INDEX(驱动盘!$A$3:$X$17,$R6,驱动盘!I$1)+IF($L6="回能",50%,0%)</f>
        <v>2.76</v>
      </c>
      <c r="AB6" s="43">
        <f>INDEX(音擎!$A$3:$AG$37,$N6,音擎!R$1)</f>
        <v>0</v>
      </c>
      <c r="AC6" s="43">
        <f>INDEX(角色!$A$3:$CZ$31,$D6,角色!$X$1)+INDEX(音擎!$A$3:$AG$37,$N6,音擎!S$1)*$O6</f>
        <v>0</v>
      </c>
      <c r="AD6" s="43">
        <f>INDEX(角色!$A$3:$CZ$30,$D6,角色!$U$1)+IF($L6="掌控",30%,0%)</f>
        <v>-0.1</v>
      </c>
      <c r="AE6" s="43">
        <f>INDEX(角色!$A$3:$CZ$31,$D6,角色!$N$1)*(1+INDEX(角色!$A$3:$CZ$31,$D6,角色!$O$1)+INDEX(音擎!$A$3:$AG$37,$N6,音擎!I$1)+INDEX(驱动盘!$A$3:$X$17,$Q6,驱动盘!H$1)+INDEX(驱动盘!$A$3:$X$17,$R6,驱动盘!H$1)+IF($L6="冲击",18%,0%))</f>
        <v>88</v>
      </c>
      <c r="AF6" s="43" cm="1">
        <f t="array" ref="AF6">INDEX(角色!$A$3:$CZ$31,$D6,角色!$R$1)+$U6</f>
        <v>0.53</v>
      </c>
      <c r="AG6" s="43" cm="1">
        <f t="array" ref="AG6">INDEX(角色!$A$3:$CZ$31,$D6,角色!$S$1)+$V6</f>
        <v>0.98</v>
      </c>
      <c r="AH6" s="43">
        <f>(INDEX(角色!$A$3:$CZ$31,$D6,角色!$J$1)+$P6)*(1+INDEX(角色!$A$3:$CZ$31,$D6,角色!$K$1)+S6)+316+$T6</f>
        <v>2583.72</v>
      </c>
      <c r="AI6" s="43">
        <f>INDEX(角色!$A$3:$CZ$31,$D6,角色!$M$1)+INDEX(音擎!$A$3:$AG$37,$N6,音擎!L$1)*$O6*$AH6+INDEX(角色!$A$3:$CZ$31,$D6,角色!$L$1)*$AH6+INDEX(驱动盘!$A$3:$X$17,$Q6,驱动盘!K$1)*$M6*$AH6</f>
        <v>0</v>
      </c>
      <c r="AJ6" s="43">
        <f>AH6*(1+$AJ$13)+$AI$13+AI6</f>
        <v>2583.72</v>
      </c>
      <c r="AK6" s="52">
        <f>INDEX(角色!$A$3:$CZ$31,$D6,角色!$Q$1)+$Y6+$AK$13</f>
        <v>0.23</v>
      </c>
      <c r="AL6" s="43">
        <f>INDEX(角色!$A$3:$CZ$31,$D6,数值!$H$16)+INDEX(音擎!$A$3:$AG$37,$N6,音擎!$AD$1)*$O6+$AL$13</f>
        <v>0.16</v>
      </c>
      <c r="AM6" s="43">
        <f>VLOOKUP(E6,数值!$AO$2:$AQ$7,2,FALSE)</f>
        <v>0.725</v>
      </c>
      <c r="AN6" s="43">
        <f>1/(MAX($B$8*MAX(1-INDEX(角色!$A$3:$CZ$31,$D6,角色!$T$1)-$W6-$AM$13,0)*MAX(1-$AN$13,0)-$X6,0)/$A$8+1)</f>
        <v>0.5</v>
      </c>
      <c r="AO6" s="43">
        <f>AJ6*(1+AK6)*(1+AL6)*AN6*(58/59+$A$4/59)*(1+$AH$13)</f>
        <v>3686.451696</v>
      </c>
      <c r="AP6" s="43">
        <f>AM6*AO6</f>
        <v>2672.6774796</v>
      </c>
      <c r="AQ6" s="43">
        <f>450%+云配队!$P7*VLOOKUP(E6,数值!$AO$2:$AQ$7,3,FALSE)</f>
        <v>4.5</v>
      </c>
      <c r="AR6" s="43">
        <f>AO6*AQ6</f>
        <v>16589.032632</v>
      </c>
      <c r="AS6" s="43">
        <f>AW6+BP6+CI6+DB6+DU6</f>
        <v>0</v>
      </c>
      <c r="AT6" s="43">
        <f>(AX6+BQ6+CJ6+DC6+DV6+AA6*$DS$15)*(1+$AC6)</f>
        <v>0</v>
      </c>
      <c r="AU6" s="42">
        <f>云配队!K7</f>
        <v>0</v>
      </c>
      <c r="AV6" s="1">
        <f>IFERROR(VLOOKUP(AU6,数值!$F$3:$H$15,2,FALSE),1)</f>
        <v>1</v>
      </c>
      <c r="AW6" s="1">
        <f>IFERROR(INDEX(角色!$A$3:$CZ$30,$D6,AV6+4)+VLOOKUP(AU6,数值!$F$2:$O$16,10,FALSE),0)</f>
        <v>0</v>
      </c>
      <c r="AX6" s="1">
        <f>AW6*IFERROR(VLOOKUP(AU6,数值!$F$3:$N$15,9,FALSE),$AB6*BM$8)+IFERROR(VLOOKUP($C6&amp;AU6,数值!$AS$1:$AT$11,2,FALSE),0)</f>
        <v>0</v>
      </c>
      <c r="AY6" s="1">
        <f>IFERROR(INDEX(角色!$A$3:$CZ$31,$D6,VLOOKUP(AU6,数值!$F$3:$H$15,3,FALSE)),0)</f>
        <v>0</v>
      </c>
      <c r="AZ6" s="1">
        <f>IFERROR(INDEX(音擎!$A$3:$AG$37,$N6,VLOOKUP(AU6,数值!$F$3:$L$15,4,FALSE))*$O6+INDEX(驱动盘!$A$3:$X$17,$Q6,VLOOKUP(AU6,数值!$F$3:$L$15,5,FALSE))*$M6+INDEX(驱动盘!$A$3:$X$17,$Q6,驱动盘!$B$1)+IF($K6="属伤",30%,0%),0)</f>
        <v>0</v>
      </c>
      <c r="BA6" s="1">
        <f>IFERROR(INDEX(角色!$A$3:$CZ$31,$D6,VLOOKUP(AU6,数值!$F$3:$L$15,6,FALSE))+INDEX(音擎!$A$3:$AG$37,$N6,VLOOKUP(AU6,数值!$F$3:$L$15,7,FALSE))+INDEX(驱动盘!$A$3:$Y$17,$Q6,VLOOKUP(AU6,数值!$F$3:$M$15,8,FALSE))+BL$13,0)</f>
        <v>0</v>
      </c>
      <c r="BB6" s="1">
        <f>INDEX(角色!$A$3:$CZ$30,$D6,AV6)*1.909</f>
        <v>0</v>
      </c>
      <c r="BC6" s="1">
        <f>INDEX(角色!$A$3:$CZ$30,$D6,AV6+3)</f>
        <v>0</v>
      </c>
      <c r="BD6" s="1">
        <f>BC6*(1+$AD6)*(1+$Z6+INDEX(角色!$A$3:$CZ$30,$D6,角色!$V$1)+BC$13)*(1+BB15)</f>
        <v>0</v>
      </c>
      <c r="BE6" s="1">
        <f>INDEX(角色!$A$3:$CZ$30,$D6,AV6+1)*1.4556</f>
        <v>0</v>
      </c>
      <c r="BF6" s="1">
        <f>INDEX(角色!$A$3:$CZ$30,$D6,AV6+2)</f>
        <v>0</v>
      </c>
      <c r="BG6" s="1">
        <f>$AE6*(1+INDEX(音擎!$A$3:$AG$37,$N6,音擎!$Q$1+INDEX(角色!$A$3:$CZ$31,$D6,角色!$P$1))*$O6+BK$13)*(1+BA6)*BE6%</f>
        <v>0</v>
      </c>
      <c r="BH6" s="1">
        <f>$AH6*(1+BE$13)+BD$13+$AI6</f>
        <v>2583.72</v>
      </c>
      <c r="BI6" s="1">
        <f t="shared" si="20"/>
        <v>0</v>
      </c>
      <c r="BJ6" s="1">
        <f>MIN($AF6+BG$13,1)</f>
        <v>0.53</v>
      </c>
      <c r="BK6" s="4">
        <f>$AG6+BH$13</f>
        <v>0.98</v>
      </c>
      <c r="BL6" s="1">
        <f>1/(MAX($B$8*MAX(1-INDEX(角色!$A$3:$CZ$31,$D6,角色!$T$1)-$W6-BI$13,0)*MAX(1-BJ$13,0)-$X6,0)/$A$8+1)</f>
        <v>0.5</v>
      </c>
      <c r="BM6" s="1">
        <f>BH6*BB6%*(1+BI6)*(1+BJ6*BK6)*BL6*(1+AZ$13)*(1+BA$13)*IF(AU6="协同",BM$8,1)</f>
        <v>0</v>
      </c>
      <c r="BN6" s="42">
        <f>云配队!L7</f>
        <v>0</v>
      </c>
      <c r="BO6" s="1">
        <f>IFERROR(VLOOKUP(BN6,数值!$F$3:$H$15,2,FALSE),1)</f>
        <v>1</v>
      </c>
      <c r="BP6" s="1">
        <f>IFERROR(INDEX(角色!$A$3:$CZ$30,$D6,BO6+4)+VLOOKUP(BN6,数值!$F$2:$O$16,10,FALSE),0)</f>
        <v>0</v>
      </c>
      <c r="BQ6" s="1">
        <f>BP6*IFERROR(VLOOKUP(BN6,数值!$F$3:$N$15,9,FALSE),$AB6*CF$8)+IFERROR(VLOOKUP($C6&amp;BN6,数值!$AS$1:$AT$11,2,FALSE),0)</f>
        <v>0</v>
      </c>
      <c r="BR6" s="1">
        <f>IFERROR(INDEX(角色!$A$3:$CZ$31,$D6,VLOOKUP(BN6,数值!$F$3:$H$15,3,FALSE)),0)</f>
        <v>0</v>
      </c>
      <c r="BS6" s="1">
        <f>IFERROR(INDEX(音擎!$A$3:$AG$37,$N6,VLOOKUP(BN6,数值!$F$3:$L$15,4,FALSE))*$O6+INDEX(驱动盘!$A$3:$X$17,$Q6,VLOOKUP(BN6,数值!$F$3:$L$15,5,FALSE))*$M6+INDEX(驱动盘!$A$3:$X$17,$Q6,驱动盘!$B$1)+IF($K6="属伤",30%,0%),0)</f>
        <v>0</v>
      </c>
      <c r="BT6" s="1">
        <f>IFERROR(INDEX(角色!$A$3:$CZ$31,$D6,VLOOKUP(BN6,数值!$F$3:$L$15,6,FALSE))+INDEX(音擎!$A$3:$AG$37,$N6,VLOOKUP(BN6,数值!$F$3:$L$15,7,FALSE))+INDEX(驱动盘!$A$3:$Y$17,$Q6,VLOOKUP(BN6,数值!$F$3:$M$15,8,FALSE))+CE$13,0)</f>
        <v>0</v>
      </c>
      <c r="BU6" s="1">
        <f>INDEX(角色!$A$3:$CZ$30,$D6,BO6)*1.909</f>
        <v>0</v>
      </c>
      <c r="BV6" s="1">
        <f>INDEX(角色!$A$3:$CZ$30,$D6,BO6+3)</f>
        <v>0</v>
      </c>
      <c r="BW6" s="1">
        <f>BV6*(1+$AD6)*(1+$Z6+INDEX(角色!$A$3:$CZ$30,$D6,角色!$V$1)+BV$13)*(1+BU15)</f>
        <v>0</v>
      </c>
      <c r="BX6" s="1">
        <f>INDEX(角色!$A$3:$CZ$30,$D6,BO6+1)*1.4556</f>
        <v>0</v>
      </c>
      <c r="BY6" s="1">
        <f>INDEX(角色!$A$3:$CZ$30,$D6,BO6+2)</f>
        <v>0</v>
      </c>
      <c r="BZ6" s="1">
        <f>$AE6*(1+INDEX(音擎!$A$3:$AG$37,$N6,音擎!$Q$1+INDEX(角色!$A$3:$CZ$31,$D6,角色!$P$1))*$O6+CD$13)*(1+BT6)*BX6%</f>
        <v>0</v>
      </c>
      <c r="CA6" s="1">
        <f t="shared" si="0"/>
        <v>2583.72</v>
      </c>
      <c r="CB6" s="1">
        <f t="shared" si="1"/>
        <v>0</v>
      </c>
      <c r="CC6" s="1">
        <f t="shared" si="2"/>
        <v>0.53</v>
      </c>
      <c r="CD6" s="4">
        <f t="shared" si="3"/>
        <v>0.98</v>
      </c>
      <c r="CE6" s="1">
        <f>1/(MAX($B$8*MAX(1-INDEX(角色!$A$3:$CZ$31,$D6,角色!$T$1)-$W6-CB$13,0)*MAX(1-CC$13,0)-$X6,0)/$A$8+1)</f>
        <v>0.5</v>
      </c>
      <c r="CF6" s="1">
        <f t="shared" si="4"/>
        <v>0</v>
      </c>
      <c r="CG6" s="42">
        <f>云配队!M7</f>
        <v>0</v>
      </c>
      <c r="CH6" s="1">
        <f>IFERROR(VLOOKUP(CG6,数值!$F$3:$H$15,2,FALSE),1)</f>
        <v>1</v>
      </c>
      <c r="CI6" s="1">
        <f>IFERROR(INDEX(角色!$A$3:$CZ$30,$D6,CH6+4)+VLOOKUP(CG6,数值!$F$2:$O$16,10,FALSE),0)</f>
        <v>0</v>
      </c>
      <c r="CJ6" s="1">
        <f>CI6*IFERROR(VLOOKUP(CG6,数值!$F$3:$N$15,9,FALSE),$AB6*CY$8)+IFERROR(VLOOKUP($C6&amp;CG6,数值!$AS$1:$AT$11,2,FALSE),0)</f>
        <v>0</v>
      </c>
      <c r="CK6" s="1">
        <f>IFERROR(INDEX(角色!$A$3:$CZ$31,$D6,VLOOKUP(CG6,数值!$F$3:$H$15,3,FALSE)),0)</f>
        <v>0</v>
      </c>
      <c r="CL6" s="1">
        <f>IFERROR(INDEX(音擎!$A$3:$AG$37,$N6,VLOOKUP(CG6,数值!$F$3:$L$15,4,FALSE))*$O6+INDEX(驱动盘!$A$3:$X$17,$Q6,VLOOKUP(CG6,数值!$F$3:$L$15,5,FALSE))*$M6+INDEX(驱动盘!$A$3:$X$17,$Q6,驱动盘!$B$1)+IF($K6="属伤",30%,0%),0)</f>
        <v>0</v>
      </c>
      <c r="CM6" s="1">
        <f>IFERROR(INDEX(角色!$A$3:$CZ$31,$D6,VLOOKUP(CG6,数值!$F$3:$L$15,6,FALSE))+INDEX(音擎!$A$3:$AG$37,$N6,VLOOKUP(CG6,数值!$F$3:$L$15,7,FALSE))+INDEX(驱动盘!$A$3:$Y$17,$Q6,VLOOKUP(CG6,数值!$F$3:$M$15,8,FALSE))+CX$13,0)</f>
        <v>0</v>
      </c>
      <c r="CN6" s="1">
        <f>INDEX(角色!$A$3:$CZ$30,$D6,CH6)*1.909</f>
        <v>0</v>
      </c>
      <c r="CO6" s="1">
        <f>INDEX(角色!$A$3:$CZ$30,$D6,CH6+3)</f>
        <v>0</v>
      </c>
      <c r="CP6" s="1">
        <f>CO6*(1+$AD6)*(1+$Z6+INDEX(角色!$A$3:$CZ$30,$D6,角色!$V$1)+CO$13)*(1+CN15)</f>
        <v>0</v>
      </c>
      <c r="CQ6" s="1">
        <f>INDEX(角色!$A$3:$CZ$30,$D6,CH6+1)*1.4556</f>
        <v>0</v>
      </c>
      <c r="CR6" s="1">
        <f>INDEX(角色!$A$3:$CZ$30,$D6,CH6+2)</f>
        <v>0</v>
      </c>
      <c r="CS6" s="1">
        <f>$AE6*(1+INDEX(音擎!$A$3:$AG$37,$N6,音擎!$Q$1+INDEX(角色!$A$3:$CZ$31,$D6,角色!$P$1))*$O6+CW$13)*(1+CM6)*CQ6%</f>
        <v>0</v>
      </c>
      <c r="CT6" s="1">
        <f t="shared" si="5"/>
        <v>2583.72</v>
      </c>
      <c r="CU6" s="1">
        <f t="shared" si="6"/>
        <v>0</v>
      </c>
      <c r="CV6" s="1">
        <f t="shared" si="7"/>
        <v>0.53</v>
      </c>
      <c r="CW6" s="4">
        <f t="shared" si="8"/>
        <v>0.98</v>
      </c>
      <c r="CX6" s="1">
        <f>1/(MAX($B$8*MAX(1-INDEX(角色!$A$3:$CZ$31,$D6,角色!$T$1)-$W6-CU$13,0)*MAX(1-CV$13,0)-$X6,0)/$A$8+1)</f>
        <v>0.5</v>
      </c>
      <c r="CY6" s="1">
        <f t="shared" si="9"/>
        <v>0</v>
      </c>
      <c r="CZ6" s="42">
        <f>云配队!N7</f>
        <v>0</v>
      </c>
      <c r="DA6" s="1">
        <f>IFERROR(VLOOKUP(CZ6,数值!$F$3:$H$15,2,FALSE),1)</f>
        <v>1</v>
      </c>
      <c r="DB6" s="1">
        <f>IFERROR(INDEX(角色!$A$3:$CZ$30,$D6,DA6+4)+VLOOKUP(CZ6,数值!$F$2:$O$16,10,FALSE),0)</f>
        <v>0</v>
      </c>
      <c r="DC6" s="1">
        <f>DB6*IFERROR(VLOOKUP(CZ6,数值!$F$3:$N$15,9,FALSE),$AB6*DR$8)+IFERROR(VLOOKUP($C6&amp;CZ6,数值!$AS$1:$AT$11,2,FALSE),0)</f>
        <v>0</v>
      </c>
      <c r="DD6" s="1">
        <f>IFERROR(INDEX(角色!$A$3:$CZ$31,$D6,VLOOKUP(CZ6,数值!$F$3:$H$15,3,FALSE)),0)</f>
        <v>0</v>
      </c>
      <c r="DE6" s="1">
        <f>IFERROR(INDEX(音擎!$A$3:$AG$37,$N6,VLOOKUP(CZ6,数值!$F$3:$L$15,4,FALSE))*$O6+INDEX(驱动盘!$A$3:$X$17,$Q6,VLOOKUP(CZ6,数值!$F$3:$L$15,5,FALSE))*$M6+INDEX(驱动盘!$A$3:$X$17,$Q6,驱动盘!$B$1)+IF($K6="属伤",30%,0%),0)</f>
        <v>0</v>
      </c>
      <c r="DF6" s="1">
        <f>IFERROR(INDEX(角色!$A$3:$CZ$31,$D6,VLOOKUP(CZ6,数值!$F$3:$L$15,6,FALSE))+INDEX(音擎!$A$3:$AG$37,$N6,VLOOKUP(CZ6,数值!$F$3:$L$15,7,FALSE))+INDEX(驱动盘!$A$3:$Y$17,$Q6,VLOOKUP(CZ6,数值!$F$3:$M$15,8,FALSE))+DQ$13,0)</f>
        <v>0</v>
      </c>
      <c r="DG6" s="1">
        <f>INDEX(角色!$A$3:$CZ$30,$D6,DA6)*1.909</f>
        <v>0</v>
      </c>
      <c r="DH6" s="1">
        <f>INDEX(角色!$A$3:$CZ$30,$D6,DA6+3)</f>
        <v>0</v>
      </c>
      <c r="DI6" s="1">
        <f>DH6*(1+$AD6)*(1+$Z6+INDEX(角色!$A$3:$CZ$30,$D6,角色!$V$1)+DH$13)*(1+DG15)</f>
        <v>0</v>
      </c>
      <c r="DJ6" s="1">
        <f>INDEX(角色!$A$3:$CZ$30,$D6,DA6+1)*1.4556</f>
        <v>0</v>
      </c>
      <c r="DK6" s="1">
        <f>INDEX(角色!$A$3:$CZ$30,$D6,DA6+2)</f>
        <v>0</v>
      </c>
      <c r="DL6" s="1">
        <f>$AE6*(1+INDEX(音擎!$A$3:$AG$37,$N6,音擎!$Q$1+INDEX(角色!$A$3:$CZ$31,$D6,角色!$P$1))*$O6+DP$13)*(1+DF6)*DJ6%</f>
        <v>0</v>
      </c>
      <c r="DM6" s="1">
        <f t="shared" si="10"/>
        <v>2583.72</v>
      </c>
      <c r="DN6" s="1">
        <f t="shared" si="11"/>
        <v>0</v>
      </c>
      <c r="DO6" s="1">
        <f t="shared" si="12"/>
        <v>0.53</v>
      </c>
      <c r="DP6" s="4">
        <f t="shared" si="13"/>
        <v>0.98</v>
      </c>
      <c r="DQ6" s="1">
        <f>1/(MAX($B$8*MAX(1-INDEX(角色!$A$3:$CZ$31,$D6,角色!$T$1)-$W6-DN$13,0)*MAX(1-DO$13,0)-$X6,0)/$A$8+1)</f>
        <v>0.5</v>
      </c>
      <c r="DR6" s="1">
        <f t="shared" si="14"/>
        <v>0</v>
      </c>
      <c r="DS6" s="42">
        <f>云配队!O7</f>
        <v>0</v>
      </c>
      <c r="DT6" s="1">
        <f>IFERROR(VLOOKUP(DS6,数值!$F$3:$H$15,2,FALSE),1)</f>
        <v>1</v>
      </c>
      <c r="DU6" s="1">
        <f>IFERROR(INDEX(角色!$A$3:$CZ$30,$D6,DT6+4)+VLOOKUP(DS6,数值!$F$2:$O$16,10,FALSE),0)</f>
        <v>0</v>
      </c>
      <c r="DV6" s="1">
        <f>DU6*IFERROR(VLOOKUP(DS6,数值!$F$3:$N$15,9,FALSE),$AB6*EK$8)+IFERROR(VLOOKUP($C6&amp;DS6,数值!$AS$1:$AT$11,2,FALSE),0)</f>
        <v>0</v>
      </c>
      <c r="DW6" s="1">
        <f>IFERROR(INDEX(角色!$A$3:$CZ$31,$D6,VLOOKUP(DS6,数值!$F$3:$H$15,3,FALSE)),0)</f>
        <v>0</v>
      </c>
      <c r="DX6" s="1">
        <f>IFERROR(INDEX(音擎!$A$3:$AG$37,$N6,VLOOKUP(DS6,数值!$F$3:$L$15,4,FALSE))*$O6+INDEX(驱动盘!$A$3:$X$17,$Q6,VLOOKUP(DS6,数值!$F$3:$L$15,5,FALSE))*$M6+INDEX(驱动盘!$A$3:$X$17,$Q6,驱动盘!$B$1)+IF($K6="属伤",30%,0%),0)</f>
        <v>0</v>
      </c>
      <c r="DY6" s="1">
        <f>IFERROR(INDEX(角色!$A$3:$CZ$31,$D6,VLOOKUP(DS6,数值!$F$3:$L$15,6,FALSE))+INDEX(音擎!$A$3:$AG$37,$N6,VLOOKUP(DS6,数值!$F$3:$L$15,7,FALSE))+INDEX(驱动盘!$A$3:$Y$17,$Q6,VLOOKUP(DS6,数值!$F$3:$M$15,8,FALSE))+EJ$13,0)</f>
        <v>0</v>
      </c>
      <c r="DZ6" s="1">
        <f>INDEX(角色!$A$3:$CZ$30,$D6,DT6)*1.909</f>
        <v>0</v>
      </c>
      <c r="EA6" s="1">
        <f>INDEX(角色!$A$3:$CZ$30,$D6,DT6+3)</f>
        <v>0</v>
      </c>
      <c r="EB6" s="1">
        <f>EA6*(1+$AD6)*(1+$Z6+INDEX(角色!$A$3:$CZ$30,$D6,角色!$V$1)+EA$13)*(1+DZ15)</f>
        <v>0</v>
      </c>
      <c r="EC6" s="1">
        <f>INDEX(角色!$A$3:$CZ$30,$D6,DT6+1)*1.4556</f>
        <v>0</v>
      </c>
      <c r="ED6" s="1">
        <f>INDEX(角色!$A$3:$CZ$30,$D6,DT6+2)</f>
        <v>0</v>
      </c>
      <c r="EE6" s="1">
        <f>$AE6*(1+INDEX(音擎!$A$3:$AG$37,$N6,音擎!$Q$1+INDEX(角色!$A$3:$CZ$31,$D6,角色!$P$1))*$O6+EI$13)*(1+DY6)*EC6%</f>
        <v>0</v>
      </c>
      <c r="EF6" s="1">
        <f t="shared" si="15"/>
        <v>2583.72</v>
      </c>
      <c r="EG6" s="1">
        <f t="shared" si="16"/>
        <v>0</v>
      </c>
      <c r="EH6" s="1">
        <f t="shared" si="17"/>
        <v>0.53</v>
      </c>
      <c r="EI6" s="4">
        <f t="shared" si="18"/>
        <v>0.98</v>
      </c>
      <c r="EJ6" s="1">
        <f>1/(MAX($B$8*MAX(1-INDEX(角色!$A$3:$CZ$31,$D6,角色!$T$1)-$W6-EG$13,0)*MAX(1-EH$13,0)-$X6,0)/$A$8+1)</f>
        <v>0.5</v>
      </c>
      <c r="EK6" s="1">
        <f t="shared" si="19"/>
        <v>0</v>
      </c>
    </row>
    <row r="7" customHeight="1" spans="1:141">
      <c r="A7" s="1" t="s">
        <v>326</v>
      </c>
      <c r="B7" s="1" t="s">
        <v>327</v>
      </c>
      <c r="C7" s="4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3">
        <v>2</v>
      </c>
      <c r="AI7" s="43">
        <v>3</v>
      </c>
      <c r="AJ7" s="43">
        <v>4</v>
      </c>
      <c r="AK7" s="43">
        <v>5</v>
      </c>
      <c r="AL7" s="43">
        <v>6</v>
      </c>
      <c r="AM7" s="43">
        <v>7</v>
      </c>
      <c r="AN7" s="43">
        <v>8</v>
      </c>
      <c r="AO7" s="47"/>
      <c r="AP7" s="47"/>
      <c r="AQ7" s="47"/>
      <c r="AR7" s="47"/>
      <c r="AS7" s="47"/>
      <c r="AT7" s="47"/>
      <c r="AU7" s="47"/>
      <c r="AY7" s="1" t="s">
        <v>328</v>
      </c>
      <c r="AZ7" s="1">
        <v>2</v>
      </c>
      <c r="BA7" s="1">
        <v>3</v>
      </c>
      <c r="BB7" s="1">
        <v>4</v>
      </c>
      <c r="BC7" s="1">
        <v>5</v>
      </c>
      <c r="BD7" s="1">
        <v>6</v>
      </c>
      <c r="BE7" s="1">
        <v>7</v>
      </c>
      <c r="BF7" s="1">
        <v>8</v>
      </c>
      <c r="BG7" s="1">
        <v>9</v>
      </c>
      <c r="BH7" s="1">
        <v>10</v>
      </c>
      <c r="BI7" s="1">
        <v>11</v>
      </c>
      <c r="BJ7" s="1">
        <v>12</v>
      </c>
      <c r="BK7" s="1">
        <v>13</v>
      </c>
      <c r="BL7" s="1">
        <v>14</v>
      </c>
      <c r="BM7" s="1" t="s">
        <v>329</v>
      </c>
      <c r="BN7" s="47"/>
      <c r="BR7" s="1" t="s">
        <v>328</v>
      </c>
      <c r="BS7" s="1">
        <v>2</v>
      </c>
      <c r="BT7" s="1">
        <v>3</v>
      </c>
      <c r="BU7" s="1">
        <v>4</v>
      </c>
      <c r="BV7" s="1">
        <v>5</v>
      </c>
      <c r="BW7" s="1">
        <v>6</v>
      </c>
      <c r="BX7" s="1">
        <v>7</v>
      </c>
      <c r="BY7" s="1">
        <v>8</v>
      </c>
      <c r="BZ7" s="1">
        <v>9</v>
      </c>
      <c r="CA7" s="1">
        <v>10</v>
      </c>
      <c r="CB7" s="1">
        <v>11</v>
      </c>
      <c r="CC7" s="1">
        <v>12</v>
      </c>
      <c r="CD7" s="1">
        <v>13</v>
      </c>
      <c r="CE7" s="1">
        <v>14</v>
      </c>
      <c r="CF7" s="1" t="s">
        <v>329</v>
      </c>
      <c r="CG7" s="47"/>
      <c r="CK7" s="1" t="s">
        <v>328</v>
      </c>
      <c r="CL7" s="1">
        <v>2</v>
      </c>
      <c r="CM7" s="1">
        <v>3</v>
      </c>
      <c r="CN7" s="1">
        <v>4</v>
      </c>
      <c r="CO7" s="1">
        <v>5</v>
      </c>
      <c r="CP7" s="1">
        <v>6</v>
      </c>
      <c r="CQ7" s="1">
        <v>7</v>
      </c>
      <c r="CR7" s="1">
        <v>8</v>
      </c>
      <c r="CS7" s="1">
        <v>9</v>
      </c>
      <c r="CT7" s="1">
        <v>10</v>
      </c>
      <c r="CU7" s="1">
        <v>11</v>
      </c>
      <c r="CV7" s="1">
        <v>12</v>
      </c>
      <c r="CW7" s="1">
        <v>13</v>
      </c>
      <c r="CX7" s="1">
        <v>14</v>
      </c>
      <c r="CY7" s="1" t="s">
        <v>329</v>
      </c>
      <c r="CZ7" s="42"/>
      <c r="DD7" s="1" t="s">
        <v>328</v>
      </c>
      <c r="DE7" s="1">
        <v>2</v>
      </c>
      <c r="DF7" s="1">
        <v>3</v>
      </c>
      <c r="DG7" s="1">
        <v>4</v>
      </c>
      <c r="DH7" s="1">
        <v>5</v>
      </c>
      <c r="DI7" s="1">
        <v>6</v>
      </c>
      <c r="DJ7" s="1">
        <v>7</v>
      </c>
      <c r="DK7" s="1">
        <v>8</v>
      </c>
      <c r="DL7" s="1">
        <v>9</v>
      </c>
      <c r="DM7" s="1">
        <v>10</v>
      </c>
      <c r="DN7" s="1">
        <v>11</v>
      </c>
      <c r="DO7" s="1">
        <v>12</v>
      </c>
      <c r="DP7" s="1">
        <v>13</v>
      </c>
      <c r="DQ7" s="1">
        <v>14</v>
      </c>
      <c r="DR7" s="1" t="s">
        <v>329</v>
      </c>
      <c r="DS7" s="42"/>
      <c r="DW7" s="1" t="s">
        <v>328</v>
      </c>
      <c r="DX7" s="1">
        <v>2</v>
      </c>
      <c r="DY7" s="1">
        <v>3</v>
      </c>
      <c r="DZ7" s="1">
        <v>4</v>
      </c>
      <c r="EA7" s="1">
        <v>5</v>
      </c>
      <c r="EB7" s="1">
        <v>6</v>
      </c>
      <c r="EC7" s="1">
        <v>7</v>
      </c>
      <c r="ED7" s="1">
        <v>8</v>
      </c>
      <c r="EE7" s="1">
        <v>9</v>
      </c>
      <c r="EF7" s="1">
        <v>10</v>
      </c>
      <c r="EG7" s="1">
        <v>11</v>
      </c>
      <c r="EH7" s="1">
        <v>12</v>
      </c>
      <c r="EI7" s="1">
        <v>13</v>
      </c>
      <c r="EJ7" s="1">
        <v>14</v>
      </c>
      <c r="EK7" s="1" t="s">
        <v>329</v>
      </c>
    </row>
    <row r="8" customHeight="1" spans="1:141">
      <c r="A8" s="1">
        <f>ROUND(0.1551*MIN(A4,60)^2+3.141*MIN(A4,60)+47.2039,0)</f>
        <v>794</v>
      </c>
      <c r="B8" s="1">
        <f>ROUND(0.1551*MIN(B4,60)^2+3.141*MIN(B4,60)+47.2039,0)/50*_xlfn.SWITCH(B6,"普通",40,"精英",50,"首领",60)</f>
        <v>794</v>
      </c>
      <c r="C8" s="48" t="s">
        <v>35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2" t="str">
        <f>云配队!I13</f>
        <v/>
      </c>
      <c r="AF8" s="42"/>
      <c r="AG8" s="42"/>
      <c r="AH8" s="43">
        <f>VLOOKUP($AE8,数值!$AF$2:$AM$17,AH$7,FALSE)</f>
        <v>0</v>
      </c>
      <c r="AI8" s="43">
        <f>VLOOKUP($AE8,数值!$AF$2:$AM$17,AI$7,FALSE)</f>
        <v>0</v>
      </c>
      <c r="AJ8" s="43">
        <f>VLOOKUP($AE8,数值!$AF$2:$AM$17,AJ$7,FALSE)</f>
        <v>0</v>
      </c>
      <c r="AK8" s="43">
        <f>VLOOKUP($AE8,数值!$AF$2:$AM$17,AK$7,FALSE)</f>
        <v>0</v>
      </c>
      <c r="AL8" s="43">
        <f>VLOOKUP($AE8,数值!$AF$2:$AM$17,AL$7,FALSE)</f>
        <v>0</v>
      </c>
      <c r="AM8" s="43">
        <f>VLOOKUP($AE8,数值!$AF$2:$AM$17,AM$7,FALSE)</f>
        <v>0</v>
      </c>
      <c r="AN8" s="43">
        <f>VLOOKUP($AE8,数值!$AF$2:$AM$17,AN$7,FALSE)</f>
        <v>0</v>
      </c>
      <c r="AO8" s="47"/>
      <c r="AP8" s="47"/>
      <c r="AQ8" s="47"/>
      <c r="AR8" s="47"/>
      <c r="AS8" s="47"/>
      <c r="AT8" s="47"/>
      <c r="AU8" s="53">
        <f>云配队!K13</f>
        <v>0</v>
      </c>
      <c r="AV8" s="4"/>
      <c r="AW8" s="4"/>
      <c r="AX8" s="4"/>
      <c r="AY8" s="4">
        <f>IFERROR(MATCH(AU8,数值!$Q$2:$Q$37,0),1)</f>
        <v>1</v>
      </c>
      <c r="AZ8" s="4" cm="1">
        <f t="array" ref="AZ8">INDEX(数值!$Q$2:$AD$37,AY8,AZ$7)</f>
        <v>0</v>
      </c>
      <c r="BA8" s="4" cm="1">
        <f t="array" ref="BA8">INDEX(数值!$Q$2:$AD$37,AY8,BA$7)</f>
        <v>0</v>
      </c>
      <c r="BB8" s="4" cm="1">
        <f t="array" ref="BB8">INDEX(数值!$Q$2:$AD$37,AY8,BB$7)</f>
        <v>0</v>
      </c>
      <c r="BC8" s="4" cm="1">
        <f t="array" ref="BC8">INDEX(数值!$Q$2:$AD$37,AY8,BC$7)</f>
        <v>0</v>
      </c>
      <c r="BD8" s="4" cm="1">
        <f t="array" ref="BD8">INDEX(数值!$Q$2:$AD$37,AY8,BD$7)</f>
        <v>0</v>
      </c>
      <c r="BE8" s="4" cm="1">
        <f t="array" ref="BE8">INDEX(数值!$Q$2:$AD$37,AY8,BE$7)</f>
        <v>0</v>
      </c>
      <c r="BF8" s="4" cm="1">
        <f t="array" ref="BF8">INDEX(数值!$Q$2:$AD$37,AY8,BF$7)</f>
        <v>0</v>
      </c>
      <c r="BG8" s="4" cm="1">
        <f t="array" ref="BG8">INDEX(数值!$Q$2:$AD$37,AY8,BG$7)</f>
        <v>0</v>
      </c>
      <c r="BH8" s="4" cm="1">
        <f t="array" ref="BH8">INDEX(数值!$Q$2:$AD$37,AY8,BH$7)</f>
        <v>0</v>
      </c>
      <c r="BI8" s="4" cm="1">
        <f t="array" ref="BI8">INDEX(数值!$Q$2:$AD$37,AY8,BI$7)</f>
        <v>0</v>
      </c>
      <c r="BJ8" s="4" cm="1">
        <f t="array" ref="BJ8">INDEX(数值!$Q$2:$AD$37,AY8,BJ$7)</f>
        <v>0</v>
      </c>
      <c r="BK8" s="4" cm="1">
        <f t="array" ref="BK8">INDEX(数值!$Q$2:$AD$37,AY8,BK$7)</f>
        <v>0</v>
      </c>
      <c r="BL8" s="4" cm="1">
        <f t="array" ref="BL8">INDEX(数值!$Q$2:$AD$37,AY8,BL$7)</f>
        <v>0</v>
      </c>
      <c r="BM8" s="4">
        <f>BF4+BF5+BF6</f>
        <v>0</v>
      </c>
      <c r="BN8" s="42">
        <f>云配队!L13</f>
        <v>0</v>
      </c>
      <c r="BO8" s="4"/>
      <c r="BP8" s="4"/>
      <c r="BQ8" s="4"/>
      <c r="BR8" s="4">
        <f>IFERROR(MATCH(BN8,数值!$Q$2:$Q$37,0),1)</f>
        <v>1</v>
      </c>
      <c r="BS8" s="4" cm="1">
        <f t="array" ref="BS8">INDEX(数值!$Q$2:$AD$37,BR8,BS$7)</f>
        <v>0</v>
      </c>
      <c r="BT8" s="4" cm="1">
        <f t="array" ref="BT8">INDEX(数值!$Q$2:$AD$37,BR8,BT$7)</f>
        <v>0</v>
      </c>
      <c r="BU8" s="4" cm="1">
        <f t="array" ref="BU8">INDEX(数值!$Q$2:$AD$37,BR8,BU$7)</f>
        <v>0</v>
      </c>
      <c r="BV8" s="4" cm="1">
        <f t="array" ref="BV8">INDEX(数值!$Q$2:$AD$37,BR8,BV$7)</f>
        <v>0</v>
      </c>
      <c r="BW8" s="4" cm="1">
        <f t="array" ref="BW8">INDEX(数值!$Q$2:$AD$37,BR8,BW$7)</f>
        <v>0</v>
      </c>
      <c r="BX8" s="4" cm="1">
        <f t="array" ref="BX8">INDEX(数值!$Q$2:$AD$37,BR8,BX$7)</f>
        <v>0</v>
      </c>
      <c r="BY8" s="4" cm="1">
        <f t="array" ref="BY8">INDEX(数值!$Q$2:$AD$37,BR8,BY$7)</f>
        <v>0</v>
      </c>
      <c r="BZ8" s="4" cm="1">
        <f t="array" ref="BZ8">INDEX(数值!$Q$2:$AD$37,BR8,BZ$7)</f>
        <v>0</v>
      </c>
      <c r="CA8" s="4" cm="1">
        <f t="array" ref="CA8">INDEX(数值!$Q$2:$AD$37,BR8,CA$7)</f>
        <v>0</v>
      </c>
      <c r="CB8" s="4" cm="1">
        <f t="array" ref="CB8">INDEX(数值!$Q$2:$AD$37,BR8,CB$7)</f>
        <v>0</v>
      </c>
      <c r="CC8" s="4" cm="1">
        <f t="array" ref="CC8">INDEX(数值!$Q$2:$AD$37,BR8,CC$7)</f>
        <v>0</v>
      </c>
      <c r="CD8" s="4" cm="1">
        <f t="array" ref="CD8">INDEX(数值!$Q$2:$AD$37,BR8,CD$7)</f>
        <v>0</v>
      </c>
      <c r="CE8" s="4" cm="1">
        <f t="array" ref="CE8">INDEX(数值!$Q$2:$AD$37,BR8,CE$7)</f>
        <v>0</v>
      </c>
      <c r="CF8" s="4">
        <f>BY4+BY5+BY6</f>
        <v>0</v>
      </c>
      <c r="CG8" s="42">
        <f>云配队!M13</f>
        <v>0</v>
      </c>
      <c r="CH8" s="4"/>
      <c r="CI8" s="4"/>
      <c r="CJ8" s="4"/>
      <c r="CK8" s="4">
        <f>IFERROR(MATCH(CG8,数值!$Q$2:$Q$37,0),1)</f>
        <v>1</v>
      </c>
      <c r="CL8" s="4" cm="1">
        <f t="array" ref="CL8">INDEX(数值!$Q$2:$AD$37,CK8,CL$7)</f>
        <v>0</v>
      </c>
      <c r="CM8" s="4" cm="1">
        <f t="array" ref="CM8">INDEX(数值!$Q$2:$AD$37,CK8,CM$7)</f>
        <v>0</v>
      </c>
      <c r="CN8" s="4" cm="1">
        <f t="array" ref="CN8">INDEX(数值!$Q$2:$AD$37,CK8,CN$7)</f>
        <v>0</v>
      </c>
      <c r="CO8" s="4" cm="1">
        <f t="array" ref="CO8">INDEX(数值!$Q$2:$AD$37,CK8,CO$7)</f>
        <v>0</v>
      </c>
      <c r="CP8" s="4" cm="1">
        <f t="array" ref="CP8">INDEX(数值!$Q$2:$AD$37,CK8,CP$7)</f>
        <v>0</v>
      </c>
      <c r="CQ8" s="4" cm="1">
        <f t="array" ref="CQ8">INDEX(数值!$Q$2:$AD$37,CK8,CQ$7)</f>
        <v>0</v>
      </c>
      <c r="CR8" s="4" cm="1">
        <f t="array" ref="CR8">INDEX(数值!$Q$2:$AD$37,CK8,CR$7)</f>
        <v>0</v>
      </c>
      <c r="CS8" s="4" cm="1">
        <f t="array" ref="CS8">INDEX(数值!$Q$2:$AD$37,CK8,CS$7)</f>
        <v>0</v>
      </c>
      <c r="CT8" s="4" cm="1">
        <f t="array" ref="CT8">INDEX(数值!$Q$2:$AD$37,CK8,CT$7)</f>
        <v>0</v>
      </c>
      <c r="CU8" s="4" cm="1">
        <f t="array" ref="CU8">INDEX(数值!$Q$2:$AD$37,CK8,CU$7)</f>
        <v>0</v>
      </c>
      <c r="CV8" s="4" cm="1">
        <f t="array" ref="CV8">INDEX(数值!$Q$2:$AD$37,CK8,CV$7)</f>
        <v>0</v>
      </c>
      <c r="CW8" s="4" cm="1">
        <f t="array" ref="CW8">INDEX(数值!$Q$2:$AD$37,CK8,CW$7)</f>
        <v>0</v>
      </c>
      <c r="CX8" s="4" cm="1">
        <f t="array" ref="CX8">INDEX(数值!$Q$2:$AD$37,CK8,CX$7)</f>
        <v>0</v>
      </c>
      <c r="CY8" s="4">
        <f>CR4+CR5+CR6</f>
        <v>0</v>
      </c>
      <c r="CZ8" s="42">
        <f>云配队!N13</f>
        <v>0</v>
      </c>
      <c r="DA8" s="4"/>
      <c r="DB8" s="4"/>
      <c r="DC8" s="4"/>
      <c r="DD8" s="4">
        <f>IFERROR(MATCH(CZ8,数值!$Q$2:$Q$37,0),1)</f>
        <v>1</v>
      </c>
      <c r="DE8" s="4" cm="1">
        <f t="array" ref="DE8">INDEX(数值!$Q$2:$AD$37,DD8,DE$7)</f>
        <v>0</v>
      </c>
      <c r="DF8" s="4" cm="1">
        <f t="array" ref="DF8">INDEX(数值!$Q$2:$AD$37,DD8,DF$7)</f>
        <v>0</v>
      </c>
      <c r="DG8" s="4" cm="1">
        <f t="array" ref="DG8">INDEX(数值!$Q$2:$AD$37,DD8,DG$7)</f>
        <v>0</v>
      </c>
      <c r="DH8" s="4" cm="1">
        <f t="array" ref="DH8">INDEX(数值!$Q$2:$AD$37,DD8,DH$7)</f>
        <v>0</v>
      </c>
      <c r="DI8" s="4" cm="1">
        <f t="array" ref="DI8">INDEX(数值!$Q$2:$AD$37,DD8,DI$7)</f>
        <v>0</v>
      </c>
      <c r="DJ8" s="4" cm="1">
        <f t="array" ref="DJ8">INDEX(数值!$Q$2:$AD$37,DD8,DJ$7)</f>
        <v>0</v>
      </c>
      <c r="DK8" s="4" cm="1">
        <f t="array" ref="DK8">INDEX(数值!$Q$2:$AD$37,DD8,DK$7)</f>
        <v>0</v>
      </c>
      <c r="DL8" s="4" cm="1">
        <f t="array" ref="DL8">INDEX(数值!$Q$2:$AD$37,DD8,DL$7)</f>
        <v>0</v>
      </c>
      <c r="DM8" s="4" cm="1">
        <f t="array" ref="DM8">INDEX(数值!$Q$2:$AD$37,DD8,DM$7)</f>
        <v>0</v>
      </c>
      <c r="DN8" s="4" cm="1">
        <f t="array" ref="DN8">INDEX(数值!$Q$2:$AD$37,DD8,DN$7)</f>
        <v>0</v>
      </c>
      <c r="DO8" s="4" cm="1">
        <f t="array" ref="DO8">INDEX(数值!$Q$2:$AD$37,DD8,DO$7)</f>
        <v>0</v>
      </c>
      <c r="DP8" s="4" cm="1">
        <f t="array" ref="DP8">INDEX(数值!$Q$2:$AD$37,DD8,DP$7)</f>
        <v>0</v>
      </c>
      <c r="DQ8" s="4" cm="1">
        <f t="array" ref="DQ8">INDEX(数值!$Q$2:$AD$37,DD8,DQ$7)</f>
        <v>0</v>
      </c>
      <c r="DR8" s="4">
        <f>DK4+DK5+DK6</f>
        <v>0</v>
      </c>
      <c r="DS8" s="42">
        <f>云配队!O13</f>
        <v>0</v>
      </c>
      <c r="DT8" s="4"/>
      <c r="DU8" s="4"/>
      <c r="DV8" s="4"/>
      <c r="DW8" s="4">
        <f>IFERROR(MATCH(DS8,数值!$Q$2:$Q$37,0),1)</f>
        <v>1</v>
      </c>
      <c r="DX8" s="4" cm="1">
        <f t="array" ref="DX8">INDEX(数值!$Q$2:$AD$37,DW8,DX$7)</f>
        <v>0</v>
      </c>
      <c r="DY8" s="4" cm="1">
        <f t="array" ref="DY8">INDEX(数值!$Q$2:$AD$37,DW8,DY$7)</f>
        <v>0</v>
      </c>
      <c r="DZ8" s="4" cm="1">
        <f t="array" ref="DZ8">INDEX(数值!$Q$2:$AD$37,DW8,DZ$7)</f>
        <v>0</v>
      </c>
      <c r="EA8" s="4" cm="1">
        <f t="array" ref="EA8">INDEX(数值!$Q$2:$AD$37,DW8,EA$7)</f>
        <v>0</v>
      </c>
      <c r="EB8" s="4" cm="1">
        <f t="array" ref="EB8">INDEX(数值!$Q$2:$AD$37,DW8,EB$7)</f>
        <v>0</v>
      </c>
      <c r="EC8" s="4" cm="1">
        <f t="array" ref="EC8">INDEX(数值!$Q$2:$AD$37,DW8,EC$7)</f>
        <v>0</v>
      </c>
      <c r="ED8" s="4" cm="1">
        <f t="array" ref="ED8">INDEX(数值!$Q$2:$AD$37,DW8,ED$7)</f>
        <v>0</v>
      </c>
      <c r="EE8" s="4" cm="1">
        <f t="array" ref="EE8">INDEX(数值!$Q$2:$AD$37,DW8,EE$7)</f>
        <v>0</v>
      </c>
      <c r="EF8" s="4" cm="1">
        <f t="array" ref="EF8">INDEX(数值!$Q$2:$AD$37,DW8,EF$7)</f>
        <v>0</v>
      </c>
      <c r="EG8" s="4" cm="1">
        <f t="array" ref="EG8">INDEX(数值!$Q$2:$AD$37,DW8,EG$7)</f>
        <v>0</v>
      </c>
      <c r="EH8" s="4" cm="1">
        <f t="array" ref="EH8">INDEX(数值!$Q$2:$AD$37,DW8,EH$7)</f>
        <v>0</v>
      </c>
      <c r="EI8" s="4" cm="1">
        <f t="array" ref="EI8">INDEX(数值!$Q$2:$AD$37,DW8,EI$7)</f>
        <v>0</v>
      </c>
      <c r="EJ8" s="4" cm="1">
        <f t="array" ref="EJ8">INDEX(数值!$Q$2:$AD$37,DW8,EJ$7)</f>
        <v>0</v>
      </c>
      <c r="EK8" s="4">
        <f>ED4+ED5+ED6</f>
        <v>0</v>
      </c>
    </row>
    <row r="9" customHeight="1" spans="3:140">
      <c r="C9" s="48" t="s">
        <v>37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2" t="str">
        <f>云配队!I14</f>
        <v/>
      </c>
      <c r="AF9" s="42"/>
      <c r="AG9" s="42"/>
      <c r="AH9" s="43">
        <f>VLOOKUP($AE9,数值!$AF$2:$AM$17,AH$7,FALSE)</f>
        <v>0</v>
      </c>
      <c r="AI9" s="43">
        <f>VLOOKUP($AE9,数值!$AF$2:$AM$17,AI$7,FALSE)</f>
        <v>0</v>
      </c>
      <c r="AJ9" s="43">
        <f>VLOOKUP($AE9,数值!$AF$2:$AM$17,AJ$7,FALSE)</f>
        <v>0</v>
      </c>
      <c r="AK9" s="43">
        <f>VLOOKUP($AE9,数值!$AF$2:$AM$17,AK$7,FALSE)</f>
        <v>0</v>
      </c>
      <c r="AL9" s="43">
        <f>VLOOKUP($AE9,数值!$AF$2:$AM$17,AL$7,FALSE)</f>
        <v>0</v>
      </c>
      <c r="AM9" s="43">
        <f>VLOOKUP($AE9,数值!$AF$2:$AM$17,AM$7,FALSE)</f>
        <v>0</v>
      </c>
      <c r="AN9" s="43">
        <f>VLOOKUP($AE9,数值!$AF$2:$AM$17,AN$7,FALSE)</f>
        <v>0</v>
      </c>
      <c r="AO9" s="47"/>
      <c r="AP9" s="47"/>
      <c r="AQ9" s="47"/>
      <c r="AR9" s="47"/>
      <c r="AS9" s="47"/>
      <c r="AT9" s="47"/>
      <c r="AU9" s="53">
        <f>云配队!K14</f>
        <v>0</v>
      </c>
      <c r="AY9" s="4">
        <f>IFERROR(MATCH(AU9,数值!$Q$2:$Q$37,0),1)</f>
        <v>1</v>
      </c>
      <c r="AZ9" s="4" cm="1">
        <f t="array" ref="AZ9">INDEX(数值!$Q$2:$AD$37,AY9,AZ$7)</f>
        <v>0</v>
      </c>
      <c r="BA9" s="4" cm="1">
        <f t="array" ref="BA9">INDEX(数值!$Q$2:$AD$37,AY9,BA$7)</f>
        <v>0</v>
      </c>
      <c r="BB9" s="4" cm="1">
        <f t="array" ref="BB9">INDEX(数值!$Q$2:$AD$37,AY9,BB$7)</f>
        <v>0</v>
      </c>
      <c r="BC9" s="4" cm="1">
        <f t="array" ref="BC9">INDEX(数值!$Q$2:$AD$37,AY9,BC$7)</f>
        <v>0</v>
      </c>
      <c r="BD9" s="4" cm="1">
        <f t="array" ref="BD9">INDEX(数值!$Q$2:$AD$37,AY9,BD$7)</f>
        <v>0</v>
      </c>
      <c r="BE9" s="4" cm="1">
        <f t="array" ref="BE9">INDEX(数值!$Q$2:$AD$37,AY9,BE$7)</f>
        <v>0</v>
      </c>
      <c r="BF9" s="4" cm="1">
        <f t="array" ref="BF9">INDEX(数值!$Q$2:$AD$37,AY9,BF$7)</f>
        <v>0</v>
      </c>
      <c r="BG9" s="4" cm="1">
        <f t="array" ref="BG9">INDEX(数值!$Q$2:$AD$37,AY9,BG$7)</f>
        <v>0</v>
      </c>
      <c r="BH9" s="4" cm="1">
        <f t="array" ref="BH9">INDEX(数值!$Q$2:$AD$37,AY9,BH$7)</f>
        <v>0</v>
      </c>
      <c r="BI9" s="4" cm="1">
        <f t="array" ref="BI9">INDEX(数值!$Q$2:$AD$37,AY9,BI$7)</f>
        <v>0</v>
      </c>
      <c r="BJ9" s="4" cm="1">
        <f t="array" ref="BJ9">INDEX(数值!$Q$2:$AD$37,AY9,BJ$7)</f>
        <v>0</v>
      </c>
      <c r="BK9" s="4" cm="1">
        <f t="array" ref="BK9">INDEX(数值!$Q$2:$AD$37,AY9,BK$7)</f>
        <v>0</v>
      </c>
      <c r="BL9" s="4" cm="1">
        <f t="array" ref="BL9">INDEX(数值!$Q$2:$AD$37,AY9,BL$7)</f>
        <v>0</v>
      </c>
      <c r="BN9" s="42">
        <f>云配队!L14</f>
        <v>0</v>
      </c>
      <c r="BR9" s="4">
        <f>IFERROR(MATCH(BN9,数值!$Q$2:$Q$37,0),1)</f>
        <v>1</v>
      </c>
      <c r="BS9" s="4" cm="1">
        <f t="array" ref="BS9">INDEX(数值!$Q$2:$AD$37,BR9,BS$7)</f>
        <v>0</v>
      </c>
      <c r="BT9" s="4" cm="1">
        <f t="array" ref="BT9">INDEX(数值!$Q$2:$AD$37,BR9,BT$7)</f>
        <v>0</v>
      </c>
      <c r="BU9" s="4" cm="1">
        <f t="array" ref="BU9">INDEX(数值!$Q$2:$AD$37,BR9,BU$7)</f>
        <v>0</v>
      </c>
      <c r="BV9" s="4" cm="1">
        <f t="array" ref="BV9">INDEX(数值!$Q$2:$AD$37,BR9,BV$7)</f>
        <v>0</v>
      </c>
      <c r="BW9" s="4" cm="1">
        <f t="array" ref="BW9">INDEX(数值!$Q$2:$AD$37,BR9,BW$7)</f>
        <v>0</v>
      </c>
      <c r="BX9" s="4" cm="1">
        <f t="array" ref="BX9">INDEX(数值!$Q$2:$AD$37,BR9,BX$7)</f>
        <v>0</v>
      </c>
      <c r="BY9" s="4" cm="1">
        <f t="array" ref="BY9">INDEX(数值!$Q$2:$AD$37,BR9,BY$7)</f>
        <v>0</v>
      </c>
      <c r="BZ9" s="4" cm="1">
        <f t="array" ref="BZ9">INDEX(数值!$Q$2:$AD$37,BR9,BZ$7)</f>
        <v>0</v>
      </c>
      <c r="CA9" s="4" cm="1">
        <f t="array" ref="CA9">INDEX(数值!$Q$2:$AD$37,BR9,CA$7)</f>
        <v>0</v>
      </c>
      <c r="CB9" s="4" cm="1">
        <f t="array" ref="CB9">INDEX(数值!$Q$2:$AD$37,BR9,CB$7)</f>
        <v>0</v>
      </c>
      <c r="CC9" s="4" cm="1">
        <f t="array" ref="CC9">INDEX(数值!$Q$2:$AD$37,BR9,CC$7)</f>
        <v>0</v>
      </c>
      <c r="CD9" s="4" cm="1">
        <f t="array" ref="CD9">INDEX(数值!$Q$2:$AD$37,BR9,CD$7)</f>
        <v>0</v>
      </c>
      <c r="CE9" s="4" cm="1">
        <f t="array" ref="CE9">INDEX(数值!$Q$2:$AD$37,BR9,CE$7)</f>
        <v>0</v>
      </c>
      <c r="CG9" s="42">
        <f>云配队!M14</f>
        <v>0</v>
      </c>
      <c r="CK9" s="4">
        <f>IFERROR(MATCH(CG9,数值!$Q$2:$Q$37,0),1)</f>
        <v>1</v>
      </c>
      <c r="CL9" s="4" cm="1">
        <f t="array" ref="CL9">INDEX(数值!$Q$2:$AD$37,CK9,CL$7)</f>
        <v>0</v>
      </c>
      <c r="CM9" s="4" cm="1">
        <f t="array" ref="CM9">INDEX(数值!$Q$2:$AD$37,CK9,CM$7)</f>
        <v>0</v>
      </c>
      <c r="CN9" s="4" cm="1">
        <f t="array" ref="CN9">INDEX(数值!$Q$2:$AD$37,CK9,CN$7)</f>
        <v>0</v>
      </c>
      <c r="CO9" s="4" cm="1">
        <f t="array" ref="CO9">INDEX(数值!$Q$2:$AD$37,CK9,CO$7)</f>
        <v>0</v>
      </c>
      <c r="CP9" s="4" cm="1">
        <f t="array" ref="CP9">INDEX(数值!$Q$2:$AD$37,CK9,CP$7)</f>
        <v>0</v>
      </c>
      <c r="CQ9" s="4" cm="1">
        <f t="array" ref="CQ9">INDEX(数值!$Q$2:$AD$37,CK9,CQ$7)</f>
        <v>0</v>
      </c>
      <c r="CR9" s="4" cm="1">
        <f t="array" ref="CR9">INDEX(数值!$Q$2:$AD$37,CK9,CR$7)</f>
        <v>0</v>
      </c>
      <c r="CS9" s="4" cm="1">
        <f t="array" ref="CS9">INDEX(数值!$Q$2:$AD$37,CK9,CS$7)</f>
        <v>0</v>
      </c>
      <c r="CT9" s="4" cm="1">
        <f t="array" ref="CT9">INDEX(数值!$Q$2:$AD$37,CK9,CT$7)</f>
        <v>0</v>
      </c>
      <c r="CU9" s="4" cm="1">
        <f t="array" ref="CU9">INDEX(数值!$Q$2:$AD$37,CK9,CU$7)</f>
        <v>0</v>
      </c>
      <c r="CV9" s="4" cm="1">
        <f t="array" ref="CV9">INDEX(数值!$Q$2:$AD$37,CK9,CV$7)</f>
        <v>0</v>
      </c>
      <c r="CW9" s="4" cm="1">
        <f t="array" ref="CW9">INDEX(数值!$Q$2:$AD$37,CK9,CW$7)</f>
        <v>0</v>
      </c>
      <c r="CX9" s="4" cm="1">
        <f t="array" ref="CX9">INDEX(数值!$Q$2:$AD$37,CK9,CX$7)</f>
        <v>0</v>
      </c>
      <c r="CZ9" s="42">
        <f>云配队!N14</f>
        <v>0</v>
      </c>
      <c r="DD9" s="4">
        <f>IFERROR(MATCH(CZ9,数值!$Q$2:$Q$37,0),1)</f>
        <v>1</v>
      </c>
      <c r="DE9" s="4" cm="1">
        <f t="array" ref="DE9">INDEX(数值!$Q$2:$AD$37,DD9,DE$7)</f>
        <v>0</v>
      </c>
      <c r="DF9" s="4" cm="1">
        <f t="array" ref="DF9">INDEX(数值!$Q$2:$AD$37,DD9,DF$7)</f>
        <v>0</v>
      </c>
      <c r="DG9" s="4" cm="1">
        <f t="array" ref="DG9">INDEX(数值!$Q$2:$AD$37,DD9,DG$7)</f>
        <v>0</v>
      </c>
      <c r="DH9" s="4" cm="1">
        <f t="array" ref="DH9">INDEX(数值!$Q$2:$AD$37,DD9,DH$7)</f>
        <v>0</v>
      </c>
      <c r="DI9" s="4" cm="1">
        <f t="array" ref="DI9">INDEX(数值!$Q$2:$AD$37,DD9,DI$7)</f>
        <v>0</v>
      </c>
      <c r="DJ9" s="4" cm="1">
        <f t="array" ref="DJ9">INDEX(数值!$Q$2:$AD$37,DD9,DJ$7)</f>
        <v>0</v>
      </c>
      <c r="DK9" s="4" cm="1">
        <f t="array" ref="DK9">INDEX(数值!$Q$2:$AD$37,DD9,DK$7)</f>
        <v>0</v>
      </c>
      <c r="DL9" s="4" cm="1">
        <f t="array" ref="DL9">INDEX(数值!$Q$2:$AD$37,DD9,DL$7)</f>
        <v>0</v>
      </c>
      <c r="DM9" s="4" cm="1">
        <f t="array" ref="DM9">INDEX(数值!$Q$2:$AD$37,DD9,DM$7)</f>
        <v>0</v>
      </c>
      <c r="DN9" s="4" cm="1">
        <f t="array" ref="DN9">INDEX(数值!$Q$2:$AD$37,DD9,DN$7)</f>
        <v>0</v>
      </c>
      <c r="DO9" s="4" cm="1">
        <f t="array" ref="DO9">INDEX(数值!$Q$2:$AD$37,DD9,DO$7)</f>
        <v>0</v>
      </c>
      <c r="DP9" s="4" cm="1">
        <f t="array" ref="DP9">INDEX(数值!$Q$2:$AD$37,DD9,DP$7)</f>
        <v>0</v>
      </c>
      <c r="DQ9" s="4" cm="1">
        <f t="array" ref="DQ9">INDEX(数值!$Q$2:$AD$37,DD9,DQ$7)</f>
        <v>0</v>
      </c>
      <c r="DS9" s="42">
        <f>云配队!O14</f>
        <v>0</v>
      </c>
      <c r="DW9" s="4">
        <f>IFERROR(MATCH(DS9,数值!$Q$2:$Q$37,0),1)</f>
        <v>1</v>
      </c>
      <c r="DX9" s="4" cm="1">
        <f t="array" ref="DX9">INDEX(数值!$Q$2:$AD$37,DW9,DX$7)</f>
        <v>0</v>
      </c>
      <c r="DY9" s="4" cm="1">
        <f t="array" ref="DY9">INDEX(数值!$Q$2:$AD$37,DW9,DY$7)</f>
        <v>0</v>
      </c>
      <c r="DZ9" s="4" cm="1">
        <f t="array" ref="DZ9">INDEX(数值!$Q$2:$AD$37,DW9,DZ$7)</f>
        <v>0</v>
      </c>
      <c r="EA9" s="4" cm="1">
        <f t="array" ref="EA9">INDEX(数值!$Q$2:$AD$37,DW9,EA$7)</f>
        <v>0</v>
      </c>
      <c r="EB9" s="4" cm="1">
        <f t="array" ref="EB9">INDEX(数值!$Q$2:$AD$37,DW9,EB$7)</f>
        <v>0</v>
      </c>
      <c r="EC9" s="4" cm="1">
        <f t="array" ref="EC9">INDEX(数值!$Q$2:$AD$37,DW9,EC$7)</f>
        <v>0</v>
      </c>
      <c r="ED9" s="4" cm="1">
        <f t="array" ref="ED9">INDEX(数值!$Q$2:$AD$37,DW9,ED$7)</f>
        <v>0</v>
      </c>
      <c r="EE9" s="4" cm="1">
        <f t="array" ref="EE9">INDEX(数值!$Q$2:$AD$37,DW9,EE$7)</f>
        <v>0</v>
      </c>
      <c r="EF9" s="4" cm="1">
        <f t="array" ref="EF9">INDEX(数值!$Q$2:$AD$37,DW9,EF$7)</f>
        <v>0</v>
      </c>
      <c r="EG9" s="4" cm="1">
        <f t="array" ref="EG9">INDEX(数值!$Q$2:$AD$37,DW9,EG$7)</f>
        <v>0</v>
      </c>
      <c r="EH9" s="4" cm="1">
        <f t="array" ref="EH9">INDEX(数值!$Q$2:$AD$37,DW9,EH$7)</f>
        <v>0</v>
      </c>
      <c r="EI9" s="4" cm="1">
        <f t="array" ref="EI9">INDEX(数值!$Q$2:$AD$37,DW9,EI$7)</f>
        <v>0</v>
      </c>
      <c r="EJ9" s="4" cm="1">
        <f t="array" ref="EJ9">INDEX(数值!$Q$2:$AD$37,DW9,EJ$7)</f>
        <v>0</v>
      </c>
    </row>
    <row r="10" customHeight="1" spans="3:140">
      <c r="C10" s="48" t="s">
        <v>38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2" t="str">
        <f>云配队!I15</f>
        <v/>
      </c>
      <c r="AF10" s="42"/>
      <c r="AG10" s="42"/>
      <c r="AH10" s="43">
        <f>VLOOKUP($AE10,数值!$AF$2:$AM$17,AH$7,FALSE)</f>
        <v>0</v>
      </c>
      <c r="AI10" s="43">
        <f>VLOOKUP($AE10,数值!$AF$2:$AM$17,AI$7,FALSE)</f>
        <v>0</v>
      </c>
      <c r="AJ10" s="43">
        <f>VLOOKUP($AE10,数值!$AF$2:$AM$17,AJ$7,FALSE)</f>
        <v>0</v>
      </c>
      <c r="AK10" s="43">
        <f>VLOOKUP($AE10,数值!$AF$2:$AM$17,AK$7,FALSE)</f>
        <v>0</v>
      </c>
      <c r="AL10" s="43">
        <f>VLOOKUP($AE10,数值!$AF$2:$AM$17,AL$7,FALSE)</f>
        <v>0</v>
      </c>
      <c r="AM10" s="43">
        <f>VLOOKUP($AE10,数值!$AF$2:$AM$17,AM$7,FALSE)</f>
        <v>0</v>
      </c>
      <c r="AN10" s="43">
        <f>VLOOKUP($AE10,数值!$AF$2:$AM$17,AN$7,FALSE)</f>
        <v>0</v>
      </c>
      <c r="AO10" s="47"/>
      <c r="AP10" s="47"/>
      <c r="AQ10" s="47"/>
      <c r="AR10" s="47"/>
      <c r="AS10" s="47"/>
      <c r="AT10" s="47"/>
      <c r="AU10" s="53">
        <f>云配队!K15</f>
        <v>0</v>
      </c>
      <c r="AY10" s="4">
        <f>IFERROR(MATCH(AU10,数值!$Q$2:$Q$37,0),1)</f>
        <v>1</v>
      </c>
      <c r="AZ10" s="4" cm="1">
        <f t="array" ref="AZ10">INDEX(数值!$Q$2:$AD$37,AY10,AZ$7)</f>
        <v>0</v>
      </c>
      <c r="BA10" s="4" cm="1">
        <f t="array" ref="BA10">INDEX(数值!$Q$2:$AD$37,AY10,BA$7)</f>
        <v>0</v>
      </c>
      <c r="BB10" s="4" cm="1">
        <f t="array" ref="BB10">INDEX(数值!$Q$2:$AD$37,AY10,BB$7)</f>
        <v>0</v>
      </c>
      <c r="BC10" s="4" cm="1">
        <f t="array" ref="BC10">INDEX(数值!$Q$2:$AD$37,AY10,BC$7)</f>
        <v>0</v>
      </c>
      <c r="BD10" s="4" cm="1">
        <f t="array" ref="BD10">INDEX(数值!$Q$2:$AD$37,AY10,BD$7)</f>
        <v>0</v>
      </c>
      <c r="BE10" s="4" cm="1">
        <f t="array" ref="BE10">INDEX(数值!$Q$2:$AD$37,AY10,BE$7)</f>
        <v>0</v>
      </c>
      <c r="BF10" s="4" cm="1">
        <f t="array" ref="BF10">INDEX(数值!$Q$2:$AD$37,AY10,BF$7)</f>
        <v>0</v>
      </c>
      <c r="BG10" s="4" cm="1">
        <f t="array" ref="BG10">INDEX(数值!$Q$2:$AD$37,AY10,BG$7)</f>
        <v>0</v>
      </c>
      <c r="BH10" s="4" cm="1">
        <f t="array" ref="BH10">INDEX(数值!$Q$2:$AD$37,AY10,BH$7)</f>
        <v>0</v>
      </c>
      <c r="BI10" s="4" cm="1">
        <f t="array" ref="BI10">INDEX(数值!$Q$2:$AD$37,AY10,BI$7)</f>
        <v>0</v>
      </c>
      <c r="BJ10" s="4" cm="1">
        <f t="array" ref="BJ10">INDEX(数值!$Q$2:$AD$37,AY10,BJ$7)</f>
        <v>0</v>
      </c>
      <c r="BK10" s="4" cm="1">
        <f t="array" ref="BK10">INDEX(数值!$Q$2:$AD$37,AY10,BK$7)</f>
        <v>0</v>
      </c>
      <c r="BL10" s="4" cm="1">
        <f t="array" ref="BL10">INDEX(数值!$Q$2:$AD$37,AY10,BL$7)</f>
        <v>0</v>
      </c>
      <c r="BN10" s="42">
        <f>云配队!L15</f>
        <v>0</v>
      </c>
      <c r="BR10" s="4">
        <f>IFERROR(MATCH(BN10,数值!$Q$2:$Q$37,0),1)</f>
        <v>1</v>
      </c>
      <c r="BS10" s="4" cm="1">
        <f t="array" ref="BS10">INDEX(数值!$Q$2:$AD$37,BR10,BS$7)</f>
        <v>0</v>
      </c>
      <c r="BT10" s="4" cm="1">
        <f t="array" ref="BT10">INDEX(数值!$Q$2:$AD$37,BR10,BT$7)</f>
        <v>0</v>
      </c>
      <c r="BU10" s="4" cm="1">
        <f t="array" ref="BU10">INDEX(数值!$Q$2:$AD$37,BR10,BU$7)</f>
        <v>0</v>
      </c>
      <c r="BV10" s="4" cm="1">
        <f t="array" ref="BV10">INDEX(数值!$Q$2:$AD$37,BR10,BV$7)</f>
        <v>0</v>
      </c>
      <c r="BW10" s="4" cm="1">
        <f t="array" ref="BW10">INDEX(数值!$Q$2:$AD$37,BR10,BW$7)</f>
        <v>0</v>
      </c>
      <c r="BX10" s="4" cm="1">
        <f t="array" ref="BX10">INDEX(数值!$Q$2:$AD$37,BR10,BX$7)</f>
        <v>0</v>
      </c>
      <c r="BY10" s="4" cm="1">
        <f t="array" ref="BY10">INDEX(数值!$Q$2:$AD$37,BR10,BY$7)</f>
        <v>0</v>
      </c>
      <c r="BZ10" s="4" cm="1">
        <f t="array" ref="BZ10">INDEX(数值!$Q$2:$AD$37,BR10,BZ$7)</f>
        <v>0</v>
      </c>
      <c r="CA10" s="4" cm="1">
        <f t="array" ref="CA10">INDEX(数值!$Q$2:$AD$37,BR10,CA$7)</f>
        <v>0</v>
      </c>
      <c r="CB10" s="4" cm="1">
        <f t="array" ref="CB10">INDEX(数值!$Q$2:$AD$37,BR10,CB$7)</f>
        <v>0</v>
      </c>
      <c r="CC10" s="4" cm="1">
        <f t="array" ref="CC10">INDEX(数值!$Q$2:$AD$37,BR10,CC$7)</f>
        <v>0</v>
      </c>
      <c r="CD10" s="4" cm="1">
        <f t="array" ref="CD10">INDEX(数值!$Q$2:$AD$37,BR10,CD$7)</f>
        <v>0</v>
      </c>
      <c r="CE10" s="4" cm="1">
        <f t="array" ref="CE10">INDEX(数值!$Q$2:$AD$37,BR10,CE$7)</f>
        <v>0</v>
      </c>
      <c r="CG10" s="42">
        <f>云配队!M15</f>
        <v>0</v>
      </c>
      <c r="CK10" s="4">
        <f>IFERROR(MATCH(CG10,数值!$Q$2:$Q$37,0),1)</f>
        <v>1</v>
      </c>
      <c r="CL10" s="4" cm="1">
        <f t="array" ref="CL10">INDEX(数值!$Q$2:$AD$37,CK10,CL$7)</f>
        <v>0</v>
      </c>
      <c r="CM10" s="4" cm="1">
        <f t="array" ref="CM10">INDEX(数值!$Q$2:$AD$37,CK10,CM$7)</f>
        <v>0</v>
      </c>
      <c r="CN10" s="4" cm="1">
        <f t="array" ref="CN10">INDEX(数值!$Q$2:$AD$37,CK10,CN$7)</f>
        <v>0</v>
      </c>
      <c r="CO10" s="4" cm="1">
        <f t="array" ref="CO10">INDEX(数值!$Q$2:$AD$37,CK10,CO$7)</f>
        <v>0</v>
      </c>
      <c r="CP10" s="4" cm="1">
        <f t="array" ref="CP10">INDEX(数值!$Q$2:$AD$37,CK10,CP$7)</f>
        <v>0</v>
      </c>
      <c r="CQ10" s="4" cm="1">
        <f t="array" ref="CQ10">INDEX(数值!$Q$2:$AD$37,CK10,CQ$7)</f>
        <v>0</v>
      </c>
      <c r="CR10" s="4" cm="1">
        <f t="array" ref="CR10">INDEX(数值!$Q$2:$AD$37,CK10,CR$7)</f>
        <v>0</v>
      </c>
      <c r="CS10" s="4" cm="1">
        <f t="array" ref="CS10">INDEX(数值!$Q$2:$AD$37,CK10,CS$7)</f>
        <v>0</v>
      </c>
      <c r="CT10" s="4" cm="1">
        <f t="array" ref="CT10">INDEX(数值!$Q$2:$AD$37,CK10,CT$7)</f>
        <v>0</v>
      </c>
      <c r="CU10" s="4" cm="1">
        <f t="array" ref="CU10">INDEX(数值!$Q$2:$AD$37,CK10,CU$7)</f>
        <v>0</v>
      </c>
      <c r="CV10" s="4" cm="1">
        <f t="array" ref="CV10">INDEX(数值!$Q$2:$AD$37,CK10,CV$7)</f>
        <v>0</v>
      </c>
      <c r="CW10" s="4" cm="1">
        <f t="array" ref="CW10">INDEX(数值!$Q$2:$AD$37,CK10,CW$7)</f>
        <v>0</v>
      </c>
      <c r="CX10" s="4" cm="1">
        <f t="array" ref="CX10">INDEX(数值!$Q$2:$AD$37,CK10,CX$7)</f>
        <v>0</v>
      </c>
      <c r="CZ10" s="42">
        <f>云配队!N15</f>
        <v>0</v>
      </c>
      <c r="DD10" s="4">
        <f>IFERROR(MATCH(CZ10,数值!$Q$2:$Q$37,0),1)</f>
        <v>1</v>
      </c>
      <c r="DE10" s="4" cm="1">
        <f t="array" ref="DE10">INDEX(数值!$Q$2:$AD$37,DD10,DE$7)</f>
        <v>0</v>
      </c>
      <c r="DF10" s="4" cm="1">
        <f t="array" ref="DF10">INDEX(数值!$Q$2:$AD$37,DD10,DF$7)</f>
        <v>0</v>
      </c>
      <c r="DG10" s="4" cm="1">
        <f t="array" ref="DG10">INDEX(数值!$Q$2:$AD$37,DD10,DG$7)</f>
        <v>0</v>
      </c>
      <c r="DH10" s="4" cm="1">
        <f t="array" ref="DH10">INDEX(数值!$Q$2:$AD$37,DD10,DH$7)</f>
        <v>0</v>
      </c>
      <c r="DI10" s="4" cm="1">
        <f t="array" ref="DI10">INDEX(数值!$Q$2:$AD$37,DD10,DI$7)</f>
        <v>0</v>
      </c>
      <c r="DJ10" s="4" cm="1">
        <f t="array" ref="DJ10">INDEX(数值!$Q$2:$AD$37,DD10,DJ$7)</f>
        <v>0</v>
      </c>
      <c r="DK10" s="4" cm="1">
        <f t="array" ref="DK10">INDEX(数值!$Q$2:$AD$37,DD10,DK$7)</f>
        <v>0</v>
      </c>
      <c r="DL10" s="4" cm="1">
        <f t="array" ref="DL10">INDEX(数值!$Q$2:$AD$37,DD10,DL$7)</f>
        <v>0</v>
      </c>
      <c r="DM10" s="4" cm="1">
        <f t="array" ref="DM10">INDEX(数值!$Q$2:$AD$37,DD10,DM$7)</f>
        <v>0</v>
      </c>
      <c r="DN10" s="4" cm="1">
        <f t="array" ref="DN10">INDEX(数值!$Q$2:$AD$37,DD10,DN$7)</f>
        <v>0</v>
      </c>
      <c r="DO10" s="4" cm="1">
        <f t="array" ref="DO10">INDEX(数值!$Q$2:$AD$37,DD10,DO$7)</f>
        <v>0</v>
      </c>
      <c r="DP10" s="4" cm="1">
        <f t="array" ref="DP10">INDEX(数值!$Q$2:$AD$37,DD10,DP$7)</f>
        <v>0</v>
      </c>
      <c r="DQ10" s="4" cm="1">
        <f t="array" ref="DQ10">INDEX(数值!$Q$2:$AD$37,DD10,DQ$7)</f>
        <v>0</v>
      </c>
      <c r="DS10" s="42">
        <f>云配队!O15</f>
        <v>0</v>
      </c>
      <c r="DW10" s="4">
        <f>IFERROR(MATCH(DS10,数值!$Q$2:$Q$37,0),1)</f>
        <v>1</v>
      </c>
      <c r="DX10" s="4" cm="1">
        <f t="array" ref="DX10">INDEX(数值!$Q$2:$AD$37,DW10,DX$7)</f>
        <v>0</v>
      </c>
      <c r="DY10" s="4" cm="1">
        <f t="array" ref="DY10">INDEX(数值!$Q$2:$AD$37,DW10,DY$7)</f>
        <v>0</v>
      </c>
      <c r="DZ10" s="4" cm="1">
        <f t="array" ref="DZ10">INDEX(数值!$Q$2:$AD$37,DW10,DZ$7)</f>
        <v>0</v>
      </c>
      <c r="EA10" s="4" cm="1">
        <f t="array" ref="EA10">INDEX(数值!$Q$2:$AD$37,DW10,EA$7)</f>
        <v>0</v>
      </c>
      <c r="EB10" s="4" cm="1">
        <f t="array" ref="EB10">INDEX(数值!$Q$2:$AD$37,DW10,EB$7)</f>
        <v>0</v>
      </c>
      <c r="EC10" s="4" cm="1">
        <f t="array" ref="EC10">INDEX(数值!$Q$2:$AD$37,DW10,EC$7)</f>
        <v>0</v>
      </c>
      <c r="ED10" s="4" cm="1">
        <f t="array" ref="ED10">INDEX(数值!$Q$2:$AD$37,DW10,ED$7)</f>
        <v>0</v>
      </c>
      <c r="EE10" s="4" cm="1">
        <f t="array" ref="EE10">INDEX(数值!$Q$2:$AD$37,DW10,EE$7)</f>
        <v>0</v>
      </c>
      <c r="EF10" s="4" cm="1">
        <f t="array" ref="EF10">INDEX(数值!$Q$2:$AD$37,DW10,EF$7)</f>
        <v>0</v>
      </c>
      <c r="EG10" s="4" cm="1">
        <f t="array" ref="EG10">INDEX(数值!$Q$2:$AD$37,DW10,EG$7)</f>
        <v>0</v>
      </c>
      <c r="EH10" s="4" cm="1">
        <f t="array" ref="EH10">INDEX(数值!$Q$2:$AD$37,DW10,EH$7)</f>
        <v>0</v>
      </c>
      <c r="EI10" s="4" cm="1">
        <f t="array" ref="EI10">INDEX(数值!$Q$2:$AD$37,DW10,EI$7)</f>
        <v>0</v>
      </c>
      <c r="EJ10" s="4" cm="1">
        <f t="array" ref="EJ10">INDEX(数值!$Q$2:$AD$37,DW10,EJ$7)</f>
        <v>0</v>
      </c>
    </row>
    <row r="11" customHeight="1" spans="3:140">
      <c r="C11" s="48" t="s">
        <v>39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2" t="str">
        <f>云配队!I16</f>
        <v/>
      </c>
      <c r="AF11" s="42"/>
      <c r="AG11" s="42"/>
      <c r="AH11" s="43">
        <f>VLOOKUP($AE11,数值!$AF$2:$AM$17,AH$7,FALSE)</f>
        <v>0</v>
      </c>
      <c r="AI11" s="43">
        <f>VLOOKUP($AE11,数值!$AF$2:$AM$17,AI$7,FALSE)</f>
        <v>0</v>
      </c>
      <c r="AJ11" s="43">
        <f>VLOOKUP($AE11,数值!$AF$2:$AM$17,AJ$7,FALSE)</f>
        <v>0</v>
      </c>
      <c r="AK11" s="43">
        <f>VLOOKUP($AE11,数值!$AF$2:$AM$17,AK$7,FALSE)</f>
        <v>0</v>
      </c>
      <c r="AL11" s="43">
        <f>VLOOKUP($AE11,数值!$AF$2:$AM$17,AL$7,FALSE)</f>
        <v>0</v>
      </c>
      <c r="AM11" s="43">
        <f>VLOOKUP($AE11,数值!$AF$2:$AM$17,AM$7,FALSE)</f>
        <v>0</v>
      </c>
      <c r="AN11" s="43">
        <f>VLOOKUP($AE11,数值!$AF$2:$AM$17,AN$7,FALSE)</f>
        <v>0</v>
      </c>
      <c r="AO11" s="47"/>
      <c r="AP11" s="47"/>
      <c r="AQ11" s="47"/>
      <c r="AR11" s="47"/>
      <c r="AS11" s="47"/>
      <c r="AT11" s="47"/>
      <c r="AU11" s="53">
        <f>云配队!K16</f>
        <v>0</v>
      </c>
      <c r="AY11" s="4">
        <f>IFERROR(MATCH(AU11,数值!$Q$2:$Q$37,0),1)</f>
        <v>1</v>
      </c>
      <c r="AZ11" s="4" cm="1">
        <f t="array" ref="AZ11">INDEX(数值!$Q$2:$AD$37,AY11,AZ$7)</f>
        <v>0</v>
      </c>
      <c r="BA11" s="4" cm="1">
        <f t="array" ref="BA11">INDEX(数值!$Q$2:$AD$37,AY11,BA$7)</f>
        <v>0</v>
      </c>
      <c r="BB11" s="4" cm="1">
        <f t="array" ref="BB11">INDEX(数值!$Q$2:$AD$37,AY11,BB$7)</f>
        <v>0</v>
      </c>
      <c r="BC11" s="4" cm="1">
        <f t="array" ref="BC11">INDEX(数值!$Q$2:$AD$37,AY11,BC$7)</f>
        <v>0</v>
      </c>
      <c r="BD11" s="4" cm="1">
        <f t="array" ref="BD11">INDEX(数值!$Q$2:$AD$37,AY11,BD$7)</f>
        <v>0</v>
      </c>
      <c r="BE11" s="4" cm="1">
        <f t="array" ref="BE11">INDEX(数值!$Q$2:$AD$37,AY11,BE$7)</f>
        <v>0</v>
      </c>
      <c r="BF11" s="4" cm="1">
        <f t="array" ref="BF11">INDEX(数值!$Q$2:$AD$37,AY11,BF$7)</f>
        <v>0</v>
      </c>
      <c r="BG11" s="4" cm="1">
        <f t="array" ref="BG11">INDEX(数值!$Q$2:$AD$37,AY11,BG$7)</f>
        <v>0</v>
      </c>
      <c r="BH11" s="4" cm="1">
        <f t="array" ref="BH11">INDEX(数值!$Q$2:$AD$37,AY11,BH$7)</f>
        <v>0</v>
      </c>
      <c r="BI11" s="4" cm="1">
        <f t="array" ref="BI11">INDEX(数值!$Q$2:$AD$37,AY11,BI$7)</f>
        <v>0</v>
      </c>
      <c r="BJ11" s="4" cm="1">
        <f t="array" ref="BJ11">INDEX(数值!$Q$2:$AD$37,AY11,BJ$7)</f>
        <v>0</v>
      </c>
      <c r="BK11" s="4" cm="1">
        <f t="array" ref="BK11">INDEX(数值!$Q$2:$AD$37,AY11,BK$7)</f>
        <v>0</v>
      </c>
      <c r="BL11" s="4" cm="1">
        <f t="array" ref="BL11">INDEX(数值!$Q$2:$AD$37,AY11,BL$7)</f>
        <v>0</v>
      </c>
      <c r="BN11" s="42">
        <f>云配队!L16</f>
        <v>0</v>
      </c>
      <c r="BR11" s="4">
        <f>IFERROR(MATCH(BN11,数值!$Q$2:$Q$37,0),1)</f>
        <v>1</v>
      </c>
      <c r="BS11" s="4" cm="1">
        <f t="array" ref="BS11">INDEX(数值!$Q$2:$AD$37,BR11,BS$7)</f>
        <v>0</v>
      </c>
      <c r="BT11" s="4" cm="1">
        <f t="array" ref="BT11">INDEX(数值!$Q$2:$AD$37,BR11,BT$7)</f>
        <v>0</v>
      </c>
      <c r="BU11" s="4" cm="1">
        <f t="array" ref="BU11">INDEX(数值!$Q$2:$AD$37,BR11,BU$7)</f>
        <v>0</v>
      </c>
      <c r="BV11" s="4" cm="1">
        <f t="array" ref="BV11">INDEX(数值!$Q$2:$AD$37,BR11,BV$7)</f>
        <v>0</v>
      </c>
      <c r="BW11" s="4" cm="1">
        <f t="array" ref="BW11">INDEX(数值!$Q$2:$AD$37,BR11,BW$7)</f>
        <v>0</v>
      </c>
      <c r="BX11" s="4" cm="1">
        <f t="array" ref="BX11">INDEX(数值!$Q$2:$AD$37,BR11,BX$7)</f>
        <v>0</v>
      </c>
      <c r="BY11" s="4" cm="1">
        <f t="array" ref="BY11">INDEX(数值!$Q$2:$AD$37,BR11,BY$7)</f>
        <v>0</v>
      </c>
      <c r="BZ11" s="4" cm="1">
        <f t="array" ref="BZ11">INDEX(数值!$Q$2:$AD$37,BR11,BZ$7)</f>
        <v>0</v>
      </c>
      <c r="CA11" s="4" cm="1">
        <f t="array" ref="CA11">INDEX(数值!$Q$2:$AD$37,BR11,CA$7)</f>
        <v>0</v>
      </c>
      <c r="CB11" s="4" cm="1">
        <f t="array" ref="CB11">INDEX(数值!$Q$2:$AD$37,BR11,CB$7)</f>
        <v>0</v>
      </c>
      <c r="CC11" s="4" cm="1">
        <f t="array" ref="CC11">INDEX(数值!$Q$2:$AD$37,BR11,CC$7)</f>
        <v>0</v>
      </c>
      <c r="CD11" s="4" cm="1">
        <f t="array" ref="CD11">INDEX(数值!$Q$2:$AD$37,BR11,CD$7)</f>
        <v>0</v>
      </c>
      <c r="CE11" s="4" cm="1">
        <f t="array" ref="CE11">INDEX(数值!$Q$2:$AD$37,BR11,CE$7)</f>
        <v>0</v>
      </c>
      <c r="CG11" s="42">
        <f>云配队!M16</f>
        <v>0</v>
      </c>
      <c r="CK11" s="4">
        <f>IFERROR(MATCH(CG11,数值!$Q$2:$Q$37,0),1)</f>
        <v>1</v>
      </c>
      <c r="CL11" s="4" cm="1">
        <f t="array" ref="CL11">INDEX(数值!$Q$2:$AD$37,CK11,CL$7)</f>
        <v>0</v>
      </c>
      <c r="CM11" s="4" cm="1">
        <f t="array" ref="CM11">INDEX(数值!$Q$2:$AD$37,CK11,CM$7)</f>
        <v>0</v>
      </c>
      <c r="CN11" s="4" cm="1">
        <f t="array" ref="CN11">INDEX(数值!$Q$2:$AD$37,CK11,CN$7)</f>
        <v>0</v>
      </c>
      <c r="CO11" s="4" cm="1">
        <f t="array" ref="CO11">INDEX(数值!$Q$2:$AD$37,CK11,CO$7)</f>
        <v>0</v>
      </c>
      <c r="CP11" s="4" cm="1">
        <f t="array" ref="CP11">INDEX(数值!$Q$2:$AD$37,CK11,CP$7)</f>
        <v>0</v>
      </c>
      <c r="CQ11" s="4" cm="1">
        <f t="array" ref="CQ11">INDEX(数值!$Q$2:$AD$37,CK11,CQ$7)</f>
        <v>0</v>
      </c>
      <c r="CR11" s="4" cm="1">
        <f t="array" ref="CR11">INDEX(数值!$Q$2:$AD$37,CK11,CR$7)</f>
        <v>0</v>
      </c>
      <c r="CS11" s="4" cm="1">
        <f t="array" ref="CS11">INDEX(数值!$Q$2:$AD$37,CK11,CS$7)</f>
        <v>0</v>
      </c>
      <c r="CT11" s="4" cm="1">
        <f t="array" ref="CT11">INDEX(数值!$Q$2:$AD$37,CK11,CT$7)</f>
        <v>0</v>
      </c>
      <c r="CU11" s="4" cm="1">
        <f t="array" ref="CU11">INDEX(数值!$Q$2:$AD$37,CK11,CU$7)</f>
        <v>0</v>
      </c>
      <c r="CV11" s="4" cm="1">
        <f t="array" ref="CV11">INDEX(数值!$Q$2:$AD$37,CK11,CV$7)</f>
        <v>0</v>
      </c>
      <c r="CW11" s="4" cm="1">
        <f t="array" ref="CW11">INDEX(数值!$Q$2:$AD$37,CK11,CW$7)</f>
        <v>0</v>
      </c>
      <c r="CX11" s="4" cm="1">
        <f t="array" ref="CX11">INDEX(数值!$Q$2:$AD$37,CK11,CX$7)</f>
        <v>0</v>
      </c>
      <c r="CZ11" s="42">
        <f>云配队!N16</f>
        <v>0</v>
      </c>
      <c r="DD11" s="4">
        <f>IFERROR(MATCH(CZ11,数值!$Q$2:$Q$37,0),1)</f>
        <v>1</v>
      </c>
      <c r="DE11" s="4" cm="1">
        <f t="array" ref="DE11">INDEX(数值!$Q$2:$AD$37,DD11,DE$7)</f>
        <v>0</v>
      </c>
      <c r="DF11" s="4" cm="1">
        <f t="array" ref="DF11">INDEX(数值!$Q$2:$AD$37,DD11,DF$7)</f>
        <v>0</v>
      </c>
      <c r="DG11" s="4" cm="1">
        <f t="array" ref="DG11">INDEX(数值!$Q$2:$AD$37,DD11,DG$7)</f>
        <v>0</v>
      </c>
      <c r="DH11" s="4" cm="1">
        <f t="array" ref="DH11">INDEX(数值!$Q$2:$AD$37,DD11,DH$7)</f>
        <v>0</v>
      </c>
      <c r="DI11" s="4" cm="1">
        <f t="array" ref="DI11">INDEX(数值!$Q$2:$AD$37,DD11,DI$7)</f>
        <v>0</v>
      </c>
      <c r="DJ11" s="4" cm="1">
        <f t="array" ref="DJ11">INDEX(数值!$Q$2:$AD$37,DD11,DJ$7)</f>
        <v>0</v>
      </c>
      <c r="DK11" s="4" cm="1">
        <f t="array" ref="DK11">INDEX(数值!$Q$2:$AD$37,DD11,DK$7)</f>
        <v>0</v>
      </c>
      <c r="DL11" s="4" cm="1">
        <f t="array" ref="DL11">INDEX(数值!$Q$2:$AD$37,DD11,DL$7)</f>
        <v>0</v>
      </c>
      <c r="DM11" s="4" cm="1">
        <f t="array" ref="DM11">INDEX(数值!$Q$2:$AD$37,DD11,DM$7)</f>
        <v>0</v>
      </c>
      <c r="DN11" s="4" cm="1">
        <f t="array" ref="DN11">INDEX(数值!$Q$2:$AD$37,DD11,DN$7)</f>
        <v>0</v>
      </c>
      <c r="DO11" s="4" cm="1">
        <f t="array" ref="DO11">INDEX(数值!$Q$2:$AD$37,DD11,DO$7)</f>
        <v>0</v>
      </c>
      <c r="DP11" s="4" cm="1">
        <f t="array" ref="DP11">INDEX(数值!$Q$2:$AD$37,DD11,DP$7)</f>
        <v>0</v>
      </c>
      <c r="DQ11" s="4" cm="1">
        <f t="array" ref="DQ11">INDEX(数值!$Q$2:$AD$37,DD11,DQ$7)</f>
        <v>0</v>
      </c>
      <c r="DS11" s="42">
        <f>云配队!O16</f>
        <v>0</v>
      </c>
      <c r="DW11" s="4">
        <f>IFERROR(MATCH(DS11,数值!$Q$2:$Q$37,0),1)</f>
        <v>1</v>
      </c>
      <c r="DX11" s="4" cm="1">
        <f t="array" ref="DX11">INDEX(数值!$Q$2:$AD$37,DW11,DX$7)</f>
        <v>0</v>
      </c>
      <c r="DY11" s="4" cm="1">
        <f t="array" ref="DY11">INDEX(数值!$Q$2:$AD$37,DW11,DY$7)</f>
        <v>0</v>
      </c>
      <c r="DZ11" s="4" cm="1">
        <f t="array" ref="DZ11">INDEX(数值!$Q$2:$AD$37,DW11,DZ$7)</f>
        <v>0</v>
      </c>
      <c r="EA11" s="4" cm="1">
        <f t="array" ref="EA11">INDEX(数值!$Q$2:$AD$37,DW11,EA$7)</f>
        <v>0</v>
      </c>
      <c r="EB11" s="4" cm="1">
        <f t="array" ref="EB11">INDEX(数值!$Q$2:$AD$37,DW11,EB$7)</f>
        <v>0</v>
      </c>
      <c r="EC11" s="4" cm="1">
        <f t="array" ref="EC11">INDEX(数值!$Q$2:$AD$37,DW11,EC$7)</f>
        <v>0</v>
      </c>
      <c r="ED11" s="4" cm="1">
        <f t="array" ref="ED11">INDEX(数值!$Q$2:$AD$37,DW11,ED$7)</f>
        <v>0</v>
      </c>
      <c r="EE11" s="4" cm="1">
        <f t="array" ref="EE11">INDEX(数值!$Q$2:$AD$37,DW11,EE$7)</f>
        <v>0</v>
      </c>
      <c r="EF11" s="4" cm="1">
        <f t="array" ref="EF11">INDEX(数值!$Q$2:$AD$37,DW11,EF$7)</f>
        <v>0</v>
      </c>
      <c r="EG11" s="4" cm="1">
        <f t="array" ref="EG11">INDEX(数值!$Q$2:$AD$37,DW11,EG$7)</f>
        <v>0</v>
      </c>
      <c r="EH11" s="4" cm="1">
        <f t="array" ref="EH11">INDEX(数值!$Q$2:$AD$37,DW11,EH$7)</f>
        <v>0</v>
      </c>
      <c r="EI11" s="4" cm="1">
        <f t="array" ref="EI11">INDEX(数值!$Q$2:$AD$37,DW11,EI$7)</f>
        <v>0</v>
      </c>
      <c r="EJ11" s="4" cm="1">
        <f t="array" ref="EJ11">INDEX(数值!$Q$2:$AD$37,DW11,EJ$7)</f>
        <v>0</v>
      </c>
    </row>
    <row r="12" customHeight="1" spans="3:140">
      <c r="C12" s="48" t="s">
        <v>40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2" t="str">
        <f>云配队!I17</f>
        <v/>
      </c>
      <c r="AF12" s="42"/>
      <c r="AG12" s="42"/>
      <c r="AH12" s="43">
        <f>VLOOKUP($AE12,数值!$AF$2:$AM$17,AH$7,FALSE)</f>
        <v>0</v>
      </c>
      <c r="AI12" s="43">
        <f>VLOOKUP($AE12,数值!$AF$2:$AM$17,AI$7,FALSE)</f>
        <v>0</v>
      </c>
      <c r="AJ12" s="43">
        <f>VLOOKUP($AE12,数值!$AF$2:$AM$17,AJ$7,FALSE)</f>
        <v>0</v>
      </c>
      <c r="AK12" s="43">
        <f>VLOOKUP($AE12,数值!$AF$2:$AM$17,AK$7,FALSE)</f>
        <v>0</v>
      </c>
      <c r="AL12" s="43">
        <f>VLOOKUP($AE12,数值!$AF$2:$AM$17,AL$7,FALSE)</f>
        <v>0</v>
      </c>
      <c r="AM12" s="43">
        <f>VLOOKUP($AE12,数值!$AF$2:$AM$17,AM$7,FALSE)</f>
        <v>0</v>
      </c>
      <c r="AN12" s="43">
        <f>VLOOKUP($AE12,数值!$AF$2:$AM$17,AN$7,FALSE)</f>
        <v>0</v>
      </c>
      <c r="AO12" s="47"/>
      <c r="AP12" s="47"/>
      <c r="AQ12" s="47"/>
      <c r="AR12" s="47"/>
      <c r="AS12" s="47"/>
      <c r="AT12" s="47"/>
      <c r="AU12" s="53">
        <f>云配队!K17</f>
        <v>0</v>
      </c>
      <c r="AY12" s="4">
        <f>IFERROR(MATCH(AU12,数值!$Q$2:$Q$37,0),1)</f>
        <v>1</v>
      </c>
      <c r="AZ12" s="4" cm="1">
        <f t="array" ref="AZ12">INDEX(数值!$Q$2:$AD$37,AY12,AZ$7)</f>
        <v>0</v>
      </c>
      <c r="BA12" s="4" cm="1">
        <f t="array" ref="BA12">INDEX(数值!$Q$2:$AD$37,AY12,BA$7)</f>
        <v>0</v>
      </c>
      <c r="BB12" s="4" cm="1">
        <f t="array" ref="BB12">INDEX(数值!$Q$2:$AD$37,AY12,BB$7)</f>
        <v>0</v>
      </c>
      <c r="BC12" s="4" cm="1">
        <f t="array" ref="BC12">INDEX(数值!$Q$2:$AD$37,AY12,BC$7)</f>
        <v>0</v>
      </c>
      <c r="BD12" s="4" cm="1">
        <f t="array" ref="BD12">INDEX(数值!$Q$2:$AD$37,AY12,BD$7)</f>
        <v>0</v>
      </c>
      <c r="BE12" s="4" cm="1">
        <f t="array" ref="BE12">INDEX(数值!$Q$2:$AD$37,AY12,BE$7)</f>
        <v>0</v>
      </c>
      <c r="BF12" s="4" cm="1">
        <f t="array" ref="BF12">INDEX(数值!$Q$2:$AD$37,AY12,BF$7)</f>
        <v>0</v>
      </c>
      <c r="BG12" s="4" cm="1">
        <f t="array" ref="BG12">INDEX(数值!$Q$2:$AD$37,AY12,BG$7)</f>
        <v>0</v>
      </c>
      <c r="BH12" s="4" cm="1">
        <f t="array" ref="BH12">INDEX(数值!$Q$2:$AD$37,AY12,BH$7)</f>
        <v>0</v>
      </c>
      <c r="BI12" s="4" cm="1">
        <f t="array" ref="BI12">INDEX(数值!$Q$2:$AD$37,AY12,BI$7)</f>
        <v>0</v>
      </c>
      <c r="BJ12" s="4" cm="1">
        <f t="array" ref="BJ12">INDEX(数值!$Q$2:$AD$37,AY12,BJ$7)</f>
        <v>0</v>
      </c>
      <c r="BK12" s="4" cm="1">
        <f t="array" ref="BK12">INDEX(数值!$Q$2:$AD$37,AY12,BK$7)</f>
        <v>0</v>
      </c>
      <c r="BL12" s="4" cm="1">
        <f t="array" ref="BL12">INDEX(数值!$Q$2:$AD$37,AY12,BL$7)</f>
        <v>0</v>
      </c>
      <c r="BN12" s="42">
        <f>云配队!L17</f>
        <v>0</v>
      </c>
      <c r="BR12" s="4">
        <f>IFERROR(MATCH(BN12,数值!$Q$2:$Q$37,0),1)</f>
        <v>1</v>
      </c>
      <c r="BS12" s="4" cm="1">
        <f t="array" ref="BS12">INDEX(数值!$Q$2:$AD$37,BR12,BS$7)</f>
        <v>0</v>
      </c>
      <c r="BT12" s="4" cm="1">
        <f t="array" ref="BT12">INDEX(数值!$Q$2:$AD$37,BR12,BT$7)</f>
        <v>0</v>
      </c>
      <c r="BU12" s="4" cm="1">
        <f t="array" ref="BU12">INDEX(数值!$Q$2:$AD$37,BR12,BU$7)</f>
        <v>0</v>
      </c>
      <c r="BV12" s="4" cm="1">
        <f t="array" ref="BV12">INDEX(数值!$Q$2:$AD$37,BR12,BV$7)</f>
        <v>0</v>
      </c>
      <c r="BW12" s="4" cm="1">
        <f t="array" ref="BW12">INDEX(数值!$Q$2:$AD$37,BR12,BW$7)</f>
        <v>0</v>
      </c>
      <c r="BX12" s="4" cm="1">
        <f t="array" ref="BX12">INDEX(数值!$Q$2:$AD$37,BR12,BX$7)</f>
        <v>0</v>
      </c>
      <c r="BY12" s="4" cm="1">
        <f t="array" ref="BY12">INDEX(数值!$Q$2:$AD$37,BR12,BY$7)</f>
        <v>0</v>
      </c>
      <c r="BZ12" s="4" cm="1">
        <f t="array" ref="BZ12">INDEX(数值!$Q$2:$AD$37,BR12,BZ$7)</f>
        <v>0</v>
      </c>
      <c r="CA12" s="4" cm="1">
        <f t="array" ref="CA12">INDEX(数值!$Q$2:$AD$37,BR12,CA$7)</f>
        <v>0</v>
      </c>
      <c r="CB12" s="4" cm="1">
        <f t="array" ref="CB12">INDEX(数值!$Q$2:$AD$37,BR12,CB$7)</f>
        <v>0</v>
      </c>
      <c r="CC12" s="4" cm="1">
        <f t="array" ref="CC12">INDEX(数值!$Q$2:$AD$37,BR12,CC$7)</f>
        <v>0</v>
      </c>
      <c r="CD12" s="4" cm="1">
        <f t="array" ref="CD12">INDEX(数值!$Q$2:$AD$37,BR12,CD$7)</f>
        <v>0</v>
      </c>
      <c r="CE12" s="4" cm="1">
        <f t="array" ref="CE12">INDEX(数值!$Q$2:$AD$37,BR12,CE$7)</f>
        <v>0</v>
      </c>
      <c r="CG12" s="42">
        <f>云配队!M17</f>
        <v>0</v>
      </c>
      <c r="CK12" s="4">
        <f>IFERROR(MATCH(CG12,数值!$Q$2:$Q$37,0),1)</f>
        <v>1</v>
      </c>
      <c r="CL12" s="4" cm="1">
        <f t="array" ref="CL12">INDEX(数值!$Q$2:$AD$37,CK12,CL$7)</f>
        <v>0</v>
      </c>
      <c r="CM12" s="4" cm="1">
        <f t="array" ref="CM12">INDEX(数值!$Q$2:$AD$37,CK12,CM$7)</f>
        <v>0</v>
      </c>
      <c r="CN12" s="4" cm="1">
        <f t="array" ref="CN12">INDEX(数值!$Q$2:$AD$37,CK12,CN$7)</f>
        <v>0</v>
      </c>
      <c r="CO12" s="4" cm="1">
        <f t="array" ref="CO12">INDEX(数值!$Q$2:$AD$37,CK12,CO$7)</f>
        <v>0</v>
      </c>
      <c r="CP12" s="4" cm="1">
        <f t="array" ref="CP12">INDEX(数值!$Q$2:$AD$37,CK12,CP$7)</f>
        <v>0</v>
      </c>
      <c r="CQ12" s="4" cm="1">
        <f t="array" ref="CQ12">INDEX(数值!$Q$2:$AD$37,CK12,CQ$7)</f>
        <v>0</v>
      </c>
      <c r="CR12" s="4" cm="1">
        <f t="array" ref="CR12">INDEX(数值!$Q$2:$AD$37,CK12,CR$7)</f>
        <v>0</v>
      </c>
      <c r="CS12" s="4" cm="1">
        <f t="array" ref="CS12">INDEX(数值!$Q$2:$AD$37,CK12,CS$7)</f>
        <v>0</v>
      </c>
      <c r="CT12" s="4" cm="1">
        <f t="array" ref="CT12">INDEX(数值!$Q$2:$AD$37,CK12,CT$7)</f>
        <v>0</v>
      </c>
      <c r="CU12" s="4" cm="1">
        <f t="array" ref="CU12">INDEX(数值!$Q$2:$AD$37,CK12,CU$7)</f>
        <v>0</v>
      </c>
      <c r="CV12" s="4" cm="1">
        <f t="array" ref="CV12">INDEX(数值!$Q$2:$AD$37,CK12,CV$7)</f>
        <v>0</v>
      </c>
      <c r="CW12" s="4" cm="1">
        <f t="array" ref="CW12">INDEX(数值!$Q$2:$AD$37,CK12,CW$7)</f>
        <v>0</v>
      </c>
      <c r="CX12" s="4" cm="1">
        <f t="array" ref="CX12">INDEX(数值!$Q$2:$AD$37,CK12,CX$7)</f>
        <v>0</v>
      </c>
      <c r="CZ12" s="42">
        <f>云配队!N17</f>
        <v>0</v>
      </c>
      <c r="DD12" s="4">
        <f>IFERROR(MATCH(CZ12,数值!$Q$2:$Q$37,0),1)</f>
        <v>1</v>
      </c>
      <c r="DE12" s="4" cm="1">
        <f t="array" ref="DE12">INDEX(数值!$Q$2:$AD$37,DD12,DE$7)</f>
        <v>0</v>
      </c>
      <c r="DF12" s="4" cm="1">
        <f t="array" ref="DF12">INDEX(数值!$Q$2:$AD$37,DD12,DF$7)</f>
        <v>0</v>
      </c>
      <c r="DG12" s="4" cm="1">
        <f t="array" ref="DG12">INDEX(数值!$Q$2:$AD$37,DD12,DG$7)</f>
        <v>0</v>
      </c>
      <c r="DH12" s="4" cm="1">
        <f t="array" ref="DH12">INDEX(数值!$Q$2:$AD$37,DD12,DH$7)</f>
        <v>0</v>
      </c>
      <c r="DI12" s="4" cm="1">
        <f t="array" ref="DI12">INDEX(数值!$Q$2:$AD$37,DD12,DI$7)</f>
        <v>0</v>
      </c>
      <c r="DJ12" s="4" cm="1">
        <f t="array" ref="DJ12">INDEX(数值!$Q$2:$AD$37,DD12,DJ$7)</f>
        <v>0</v>
      </c>
      <c r="DK12" s="4" cm="1">
        <f t="array" ref="DK12">INDEX(数值!$Q$2:$AD$37,DD12,DK$7)</f>
        <v>0</v>
      </c>
      <c r="DL12" s="4" cm="1">
        <f t="array" ref="DL12">INDEX(数值!$Q$2:$AD$37,DD12,DL$7)</f>
        <v>0</v>
      </c>
      <c r="DM12" s="4" cm="1">
        <f t="array" ref="DM12">INDEX(数值!$Q$2:$AD$37,DD12,DM$7)</f>
        <v>0</v>
      </c>
      <c r="DN12" s="4" cm="1">
        <f t="array" ref="DN12">INDEX(数值!$Q$2:$AD$37,DD12,DN$7)</f>
        <v>0</v>
      </c>
      <c r="DO12" s="4" cm="1">
        <f t="array" ref="DO12">INDEX(数值!$Q$2:$AD$37,DD12,DO$7)</f>
        <v>0</v>
      </c>
      <c r="DP12" s="4" cm="1">
        <f t="array" ref="DP12">INDEX(数值!$Q$2:$AD$37,DD12,DP$7)</f>
        <v>0</v>
      </c>
      <c r="DQ12" s="4" cm="1">
        <f t="array" ref="DQ12">INDEX(数值!$Q$2:$AD$37,DD12,DQ$7)</f>
        <v>0</v>
      </c>
      <c r="DS12" s="42">
        <f>云配队!O17</f>
        <v>0</v>
      </c>
      <c r="DW12" s="4">
        <f>IFERROR(MATCH(DS12,数值!$Q$2:$Q$37,0),1)</f>
        <v>1</v>
      </c>
      <c r="DX12" s="4" cm="1">
        <f t="array" ref="DX12">INDEX(数值!$Q$2:$AD$37,DW12,DX$7)</f>
        <v>0</v>
      </c>
      <c r="DY12" s="4" cm="1">
        <f t="array" ref="DY12">INDEX(数值!$Q$2:$AD$37,DW12,DY$7)</f>
        <v>0</v>
      </c>
      <c r="DZ12" s="4" cm="1">
        <f t="array" ref="DZ12">INDEX(数值!$Q$2:$AD$37,DW12,DZ$7)</f>
        <v>0</v>
      </c>
      <c r="EA12" s="4" cm="1">
        <f t="array" ref="EA12">INDEX(数值!$Q$2:$AD$37,DW12,EA$7)</f>
        <v>0</v>
      </c>
      <c r="EB12" s="4" cm="1">
        <f t="array" ref="EB12">INDEX(数值!$Q$2:$AD$37,DW12,EB$7)</f>
        <v>0</v>
      </c>
      <c r="EC12" s="4" cm="1">
        <f t="array" ref="EC12">INDEX(数值!$Q$2:$AD$37,DW12,EC$7)</f>
        <v>0</v>
      </c>
      <c r="ED12" s="4" cm="1">
        <f t="array" ref="ED12">INDEX(数值!$Q$2:$AD$37,DW12,ED$7)</f>
        <v>0</v>
      </c>
      <c r="EE12" s="4" cm="1">
        <f t="array" ref="EE12">INDEX(数值!$Q$2:$AD$37,DW12,EE$7)</f>
        <v>0</v>
      </c>
      <c r="EF12" s="4" cm="1">
        <f t="array" ref="EF12">INDEX(数值!$Q$2:$AD$37,DW12,EF$7)</f>
        <v>0</v>
      </c>
      <c r="EG12" s="4" cm="1">
        <f t="array" ref="EG12">INDEX(数值!$Q$2:$AD$37,DW12,EG$7)</f>
        <v>0</v>
      </c>
      <c r="EH12" s="4" cm="1">
        <f t="array" ref="EH12">INDEX(数值!$Q$2:$AD$37,DW12,EH$7)</f>
        <v>0</v>
      </c>
      <c r="EI12" s="4" cm="1">
        <f t="array" ref="EI12">INDEX(数值!$Q$2:$AD$37,DW12,EI$7)</f>
        <v>0</v>
      </c>
      <c r="EJ12" s="4" cm="1">
        <f t="array" ref="EJ12">INDEX(数值!$Q$2:$AD$37,DW12,EJ$7)</f>
        <v>0</v>
      </c>
    </row>
    <row r="13" customHeight="1" spans="34:140">
      <c r="AH13" s="1">
        <f>SUM(AH8:AH12)</f>
        <v>0</v>
      </c>
      <c r="AI13" s="1">
        <f t="shared" ref="AI13:AN13" si="21">SUM(AI8:AI12)</f>
        <v>0</v>
      </c>
      <c r="AJ13" s="1">
        <f t="shared" si="21"/>
        <v>0</v>
      </c>
      <c r="AK13" s="1">
        <f t="shared" si="21"/>
        <v>0</v>
      </c>
      <c r="AL13" s="1">
        <f t="shared" si="21"/>
        <v>0</v>
      </c>
      <c r="AM13" s="1">
        <f t="shared" si="21"/>
        <v>0</v>
      </c>
      <c r="AN13" s="1">
        <f t="shared" si="21"/>
        <v>0</v>
      </c>
      <c r="AZ13" s="1">
        <f>SUM(AZ8:AZ12)</f>
        <v>0</v>
      </c>
      <c r="BA13" s="1">
        <f>SUM(BA8:BA12)</f>
        <v>0</v>
      </c>
      <c r="BB13" s="1">
        <f>SUM(BB8:BB12)</f>
        <v>0</v>
      </c>
      <c r="BC13" s="1">
        <f>SUM(BC8:BC12)</f>
        <v>0</v>
      </c>
      <c r="BD13" s="1">
        <f t="shared" ref="BA13:BL13" si="22">SUM(BD8:BD12)</f>
        <v>0</v>
      </c>
      <c r="BE13" s="1">
        <f t="shared" si="22"/>
        <v>0</v>
      </c>
      <c r="BF13" s="1">
        <f t="shared" si="22"/>
        <v>0</v>
      </c>
      <c r="BG13" s="1">
        <f t="shared" si="22"/>
        <v>0</v>
      </c>
      <c r="BH13" s="1">
        <f t="shared" si="22"/>
        <v>0</v>
      </c>
      <c r="BI13" s="1">
        <f t="shared" si="22"/>
        <v>0</v>
      </c>
      <c r="BJ13" s="1">
        <f t="shared" si="22"/>
        <v>0</v>
      </c>
      <c r="BK13" s="1">
        <f t="shared" si="22"/>
        <v>0</v>
      </c>
      <c r="BL13" s="1">
        <f t="shared" si="22"/>
        <v>0</v>
      </c>
      <c r="BS13" s="1">
        <f t="shared" ref="BS13:CE13" si="23">SUM(BS8:BS12)</f>
        <v>0</v>
      </c>
      <c r="BT13" s="1">
        <f t="shared" si="23"/>
        <v>0</v>
      </c>
      <c r="BU13" s="1">
        <f t="shared" si="23"/>
        <v>0</v>
      </c>
      <c r="BV13" s="1">
        <f t="shared" si="23"/>
        <v>0</v>
      </c>
      <c r="BW13" s="1">
        <f t="shared" si="23"/>
        <v>0</v>
      </c>
      <c r="BX13" s="1">
        <f t="shared" si="23"/>
        <v>0</v>
      </c>
      <c r="BY13" s="1">
        <f t="shared" si="23"/>
        <v>0</v>
      </c>
      <c r="BZ13" s="1">
        <f t="shared" si="23"/>
        <v>0</v>
      </c>
      <c r="CA13" s="1">
        <f t="shared" si="23"/>
        <v>0</v>
      </c>
      <c r="CB13" s="1">
        <f t="shared" si="23"/>
        <v>0</v>
      </c>
      <c r="CC13" s="1">
        <f t="shared" si="23"/>
        <v>0</v>
      </c>
      <c r="CD13" s="1">
        <f t="shared" si="23"/>
        <v>0</v>
      </c>
      <c r="CE13" s="1">
        <f t="shared" si="23"/>
        <v>0</v>
      </c>
      <c r="CL13" s="1">
        <f t="shared" ref="CL13:CX13" si="24">SUM(CL8:CL12)</f>
        <v>0</v>
      </c>
      <c r="CM13" s="1">
        <f t="shared" si="24"/>
        <v>0</v>
      </c>
      <c r="CN13" s="1">
        <f t="shared" si="24"/>
        <v>0</v>
      </c>
      <c r="CO13" s="1">
        <f t="shared" si="24"/>
        <v>0</v>
      </c>
      <c r="CP13" s="1">
        <f t="shared" si="24"/>
        <v>0</v>
      </c>
      <c r="CQ13" s="1">
        <f t="shared" si="24"/>
        <v>0</v>
      </c>
      <c r="CR13" s="1">
        <f t="shared" si="24"/>
        <v>0</v>
      </c>
      <c r="CS13" s="1">
        <f t="shared" si="24"/>
        <v>0</v>
      </c>
      <c r="CT13" s="1">
        <f t="shared" si="24"/>
        <v>0</v>
      </c>
      <c r="CU13" s="1">
        <f t="shared" si="24"/>
        <v>0</v>
      </c>
      <c r="CV13" s="1">
        <f t="shared" si="24"/>
        <v>0</v>
      </c>
      <c r="CW13" s="1">
        <f t="shared" si="24"/>
        <v>0</v>
      </c>
      <c r="CX13" s="1">
        <f t="shared" si="24"/>
        <v>0</v>
      </c>
      <c r="DE13" s="1">
        <f t="shared" ref="DE13:DQ13" si="25">SUM(DE8:DE12)</f>
        <v>0</v>
      </c>
      <c r="DF13" s="1">
        <f t="shared" si="25"/>
        <v>0</v>
      </c>
      <c r="DG13" s="1">
        <f t="shared" si="25"/>
        <v>0</v>
      </c>
      <c r="DH13" s="1">
        <f t="shared" si="25"/>
        <v>0</v>
      </c>
      <c r="DI13" s="1">
        <f t="shared" si="25"/>
        <v>0</v>
      </c>
      <c r="DJ13" s="1">
        <f t="shared" si="25"/>
        <v>0</v>
      </c>
      <c r="DK13" s="1">
        <f t="shared" si="25"/>
        <v>0</v>
      </c>
      <c r="DL13" s="1">
        <f t="shared" si="25"/>
        <v>0</v>
      </c>
      <c r="DM13" s="1">
        <f t="shared" si="25"/>
        <v>0</v>
      </c>
      <c r="DN13" s="1">
        <f t="shared" si="25"/>
        <v>0</v>
      </c>
      <c r="DO13" s="1">
        <f t="shared" si="25"/>
        <v>0</v>
      </c>
      <c r="DP13" s="1">
        <f t="shared" si="25"/>
        <v>0</v>
      </c>
      <c r="DQ13" s="1">
        <f t="shared" si="25"/>
        <v>0</v>
      </c>
      <c r="DX13" s="1">
        <f t="shared" ref="DX13:EJ13" si="26">SUM(DX8:DX12)</f>
        <v>0</v>
      </c>
      <c r="DY13" s="1">
        <f t="shared" si="26"/>
        <v>0</v>
      </c>
      <c r="DZ13" s="1">
        <f t="shared" si="26"/>
        <v>0</v>
      </c>
      <c r="EA13" s="1">
        <f t="shared" si="26"/>
        <v>0</v>
      </c>
      <c r="EB13" s="1">
        <f t="shared" si="26"/>
        <v>0</v>
      </c>
      <c r="EC13" s="1">
        <f t="shared" si="26"/>
        <v>0</v>
      </c>
      <c r="ED13" s="1">
        <f t="shared" si="26"/>
        <v>0</v>
      </c>
      <c r="EE13" s="1">
        <f t="shared" si="26"/>
        <v>0</v>
      </c>
      <c r="EF13" s="1">
        <f t="shared" si="26"/>
        <v>0</v>
      </c>
      <c r="EG13" s="1">
        <f t="shared" si="26"/>
        <v>0</v>
      </c>
      <c r="EH13" s="1">
        <f t="shared" si="26"/>
        <v>0</v>
      </c>
      <c r="EI13" s="1">
        <f t="shared" si="26"/>
        <v>0</v>
      </c>
      <c r="EJ13" s="1">
        <f t="shared" si="26"/>
        <v>0</v>
      </c>
    </row>
    <row r="14" customHeight="1" spans="58:138">
      <c r="BF14" s="55">
        <f>(IF($E$4="冰",BD4)+IF($E$5="冰",BD5)+IF($E$6="冰",BD6))*(1+BB13)</f>
        <v>0</v>
      </c>
      <c r="BG14" s="56">
        <f>(IF($E$4="火",BD4)+IF($E$5="火",BD5)+IF($E$6="火",BD6))*(1+BB13)</f>
        <v>0</v>
      </c>
      <c r="BH14" s="57">
        <f>(IF($E$4="电",BD4)+IF($E$5="电",BD5)+IF($E$6="电",BD6))*(1+BB13)</f>
        <v>0</v>
      </c>
      <c r="BI14" s="58">
        <f>(IF($E$4="以太",BD4)+IF($E$5="以太",BD5)+IF($E$6="以太",BD6))*(1+BB13)</f>
        <v>0</v>
      </c>
      <c r="BJ14" s="59">
        <f>(IF($E$4="物理",BD4)+IF($E$5="物理",BD5)+IF($E$6="物理",BD6))*(1+BB13)/1.2</f>
        <v>0</v>
      </c>
      <c r="BY14" s="55">
        <f>(IF($E$4="冰",BW4)+IF($E$5="冰",BW5)+IF($E$6="冰",BW6))*(1+BV13)</f>
        <v>0</v>
      </c>
      <c r="BZ14" s="56">
        <f>(IF($E$4="火",BW4)+IF($E$5="火",BW5)+IF($E$6="火",BW6))*(1+BV13)</f>
        <v>0</v>
      </c>
      <c r="CA14" s="57">
        <f>(IF($E$4="电",BW4)+IF($E$5="电",BW5)+IF($E$6="电",BW6))*(1+BV13)</f>
        <v>0</v>
      </c>
      <c r="CB14" s="58">
        <f>(IF($E$4="以太",BW4)+IF($E$5="以太",BW5)+IF($E$6="以太",BW6))*(1+BV13)</f>
        <v>0</v>
      </c>
      <c r="CC14" s="59">
        <f>(IF($E$4="物理",BW4)+IF($E$5="物理",BW5)+IF($E$6="物理",BW6))*(1+BU13)/1.2</f>
        <v>0</v>
      </c>
      <c r="CR14" s="55">
        <f>(IF($E$4="冰",CP4)+IF($E$5="冰",CP5)+IF($E$6="冰",CP6))*(1+CO13)</f>
        <v>0</v>
      </c>
      <c r="CS14" s="56">
        <f>(IF($E$4="火",CP4)+IF($E$5="火",CP5)+IF($E$6="火",CP6))*(1+CO13)</f>
        <v>0</v>
      </c>
      <c r="CT14" s="57">
        <f>(IF($E$4="电",CP4)+IF($E$5="电",CP5)+IF($E$6="电",CP6))*(1+CO13)</f>
        <v>0</v>
      </c>
      <c r="CU14" s="58">
        <f>(IF($E$4="以太",CP4)+IF($E$5="以太",CP5)+IF($E$6="以太",CP6))*(1+CO13)</f>
        <v>0</v>
      </c>
      <c r="CV14" s="59">
        <f>(IF($E$4="物理",CP4)+IF($E$5="物理",CP5)+IF($E$6="物理",CP6))*(1+CN13)/1.2</f>
        <v>0</v>
      </c>
      <c r="DK14" s="55">
        <f>(IF($E$4="冰",DI4)+IF($E$5="冰",DI5)+IF($E$6="冰",DI6))*(1+DH13)</f>
        <v>0</v>
      </c>
      <c r="DL14" s="56">
        <f>(IF($E$4="火",DI4)+IF($E$5="火",DI5)+IF($E$6="火",DI6))*(1+DH13)</f>
        <v>0</v>
      </c>
      <c r="DM14" s="57">
        <f>(IF($E$4="电",DI4)+IF($E$5="电",DI5)+IF($E$6="电",DI6))*(1+DH13)</f>
        <v>0</v>
      </c>
      <c r="DN14" s="58">
        <f>(IF($E$4="以太",DI4)+IF($E$5="以太",DI5)+IF($E$6="以太",DI6))*(1+DH13)</f>
        <v>0</v>
      </c>
      <c r="DO14" s="59">
        <f>(IF($E$4="物理",DI4)+IF($E$5="物理",DI5)+IF($E$6="物理",DI6))*(1+DG13)/1.2</f>
        <v>0</v>
      </c>
      <c r="ED14" s="55">
        <f>(IF($E$4="冰",EB4)+IF($E$5="冰",EB5)+IF($E$6="冰",EB6))*(1+EA13)</f>
        <v>0</v>
      </c>
      <c r="EE14" s="56">
        <f>(IF($E$4="火",EB4)+IF($E$5="火",EB5)+IF($E$6="火",EB6))*(1+EA13)</f>
        <v>0</v>
      </c>
      <c r="EF14" s="57">
        <f>(IF($E$4="电",EB4)+IF($E$5="电",EB5)+IF($E$6="电",EB6))*(1+EA13)</f>
        <v>0</v>
      </c>
      <c r="EG14" s="58">
        <f>(IF($E$4="以太",EB4)+IF($E$5="以太",EB5)+IF($E$6="以太",EB6))*(1+EA13)</f>
        <v>0</v>
      </c>
      <c r="EH14" s="59">
        <f>(IF($E$4="物理",EB4)+IF($E$5="物理",EB5)+IF($E$6="物理",EB6))*(1+DZ13)/1.2</f>
        <v>0</v>
      </c>
    </row>
    <row r="15" customHeight="1" spans="3:123">
      <c r="C15" s="48" t="s">
        <v>26</v>
      </c>
      <c r="D15" s="47"/>
      <c r="E15" s="47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54">
        <f>BF4+BF5+BF6</f>
        <v>0</v>
      </c>
      <c r="BN15" s="54">
        <f>AU15+BY4+BY5+BY6</f>
        <v>0</v>
      </c>
      <c r="CG15" s="54">
        <f>BN15+CR4+CR5+CR6</f>
        <v>0</v>
      </c>
      <c r="CZ15" s="54">
        <f>CG15+DK4+DK5+DK6</f>
        <v>0</v>
      </c>
      <c r="DS15" s="54">
        <f>CZ15+ED4+ED5+ED6</f>
        <v>0</v>
      </c>
    </row>
    <row r="16" customHeight="1" spans="3:123">
      <c r="C16" s="48" t="s">
        <v>27</v>
      </c>
      <c r="D16" s="47"/>
      <c r="E16" s="47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54">
        <f>BM4+BM5+BM6</f>
        <v>0</v>
      </c>
      <c r="BN16" s="54">
        <f>AU16+CF4+CF5+CF6</f>
        <v>0</v>
      </c>
      <c r="CG16" s="54">
        <f>BN16+CY4+CY5+CY6</f>
        <v>0</v>
      </c>
      <c r="CZ16" s="54">
        <f>CG16+DR4+DR5+DR6</f>
        <v>0</v>
      </c>
      <c r="DS16" s="54">
        <f>CZ16+EK4+EK5+EK6</f>
        <v>0</v>
      </c>
    </row>
    <row r="17" customHeight="1" spans="3:123">
      <c r="C17" s="48" t="s">
        <v>28</v>
      </c>
      <c r="D17" s="47"/>
      <c r="E17" s="47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54">
        <f>IF(AU15&lt;&gt;0,AU16/AU15,0)</f>
        <v>0</v>
      </c>
      <c r="BN17" s="54">
        <f>IF(BN15&lt;&gt;0,BN16/BN15,0)</f>
        <v>0</v>
      </c>
      <c r="CG17" s="54">
        <f>IF(CG15&lt;&gt;0,CG16/CG15,0)</f>
        <v>0</v>
      </c>
      <c r="CZ17" s="54">
        <f>IF(CZ15&lt;&gt;0,CZ16/CZ15,0)</f>
        <v>0</v>
      </c>
      <c r="DS17" s="54">
        <f>IF(DS15&lt;&gt;0,DS16/DS15,0)</f>
        <v>0</v>
      </c>
    </row>
    <row r="18" customHeight="1" spans="3:123">
      <c r="C18" s="48" t="s">
        <v>29</v>
      </c>
      <c r="D18" s="47"/>
      <c r="E18" s="47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54">
        <f>BG4+BG5+BG6</f>
        <v>0</v>
      </c>
      <c r="BN18" s="54">
        <f>AU18+BZ4+BZ5+BZ6</f>
        <v>0</v>
      </c>
      <c r="CG18" s="54">
        <f>BN18+CS4+CS5+CS6</f>
        <v>0</v>
      </c>
      <c r="CZ18" s="54">
        <f>CG18+DL4+DL5+DL6</f>
        <v>0</v>
      </c>
      <c r="DS18" s="54">
        <f>CZ18+EE4+EE5+EE6</f>
        <v>0</v>
      </c>
    </row>
    <row r="21" customHeight="1" spans="3:3">
      <c r="C21" s="50"/>
    </row>
    <row r="22" customHeight="1" spans="4:4">
      <c r="D22" s="50"/>
    </row>
    <row r="23" customHeight="1" spans="3:4">
      <c r="C23" s="50"/>
      <c r="D23" s="50"/>
    </row>
  </sheetData>
  <sheetProtection password="C7C9" sheet="1" selectLockedCells="1" formatCells="0" insertHyperlinks="0" autoFilter="0" objects="1"/>
  <protectedRanges>
    <protectedRange sqref="B5:B6" name="区域1"/>
  </protectedRanges>
  <mergeCells count="9">
    <mergeCell ref="C8:P8"/>
    <mergeCell ref="C9:P9"/>
    <mergeCell ref="C10:P10"/>
    <mergeCell ref="C11:P11"/>
    <mergeCell ref="C12:P12"/>
    <mergeCell ref="C15:AP15"/>
    <mergeCell ref="C16:AP16"/>
    <mergeCell ref="C17:AP17"/>
    <mergeCell ref="C18:AP18"/>
  </mergeCells>
  <conditionalFormatting sqref="AU15:AU18">
    <cfRule type="cellIs" dxfId="0" priority="43" operator="equal">
      <formula>0</formula>
    </cfRule>
  </conditionalFormatting>
  <conditionalFormatting sqref="BN15:BN18">
    <cfRule type="cellIs" dxfId="0" priority="35" operator="equal">
      <formula>0</formula>
    </cfRule>
  </conditionalFormatting>
  <conditionalFormatting sqref="CG15:CG18">
    <cfRule type="cellIs" dxfId="0" priority="27" operator="equal">
      <formula>0</formula>
    </cfRule>
  </conditionalFormatting>
  <conditionalFormatting sqref="CZ15:CZ18">
    <cfRule type="cellIs" dxfId="0" priority="19" operator="equal">
      <formula>0</formula>
    </cfRule>
  </conditionalFormatting>
  <conditionalFormatting sqref="DS15:DS18">
    <cfRule type="cellIs" dxfId="0" priority="11" operator="equal">
      <formula>0</formula>
    </cfRule>
  </conditionalFormatting>
  <dataValidations count="1">
    <dataValidation type="list" allowBlank="1" showInputMessage="1" showErrorMessage="1" sqref="B6">
      <formula1>"普通,精英,首领"</formula1>
    </dataValidation>
  </dataValidation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CZ30"/>
  <sheetViews>
    <sheetView topLeftCell="F2" workbookViewId="0">
      <pane xSplit="1" ySplit="1" topLeftCell="G9" activePane="bottomRight" state="frozen"/>
      <selection/>
      <selection pane="topRight"/>
      <selection pane="bottomLeft"/>
      <selection pane="bottomRight" activeCell="CR17" sqref="CR17"/>
    </sheetView>
  </sheetViews>
  <sheetFormatPr defaultColWidth="13.7777777777778" defaultRowHeight="44" customHeight="1"/>
  <cols>
    <col min="1" max="5" width="13.7777777777778" style="1" hidden="1" customWidth="1"/>
    <col min="6" max="53" width="13.7777777777778" style="1" customWidth="1"/>
    <col min="54" max="58" width="13.7777777777778" style="10" customWidth="1"/>
    <col min="59" max="63" width="13.7777777777778" style="11" customWidth="1"/>
    <col min="64" max="98" width="13.7777777777778" style="1" customWidth="1"/>
    <col min="99" max="103" width="13.7777777777778" style="12" customWidth="1"/>
    <col min="104" max="104" width="36.7314814814815" style="1" customWidth="1"/>
    <col min="105" max="180" width="13.7777777777778" style="1" customWidth="1"/>
    <col min="181" max="16384" width="13.7777777777778" style="1"/>
  </cols>
  <sheetData>
    <row r="1" customHeight="1" spans="6:104">
      <c r="F1" s="1">
        <f t="shared" ref="F1:P1" si="0">COLUMN()</f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ref="Q1:X1" si="1">COLUMN()</f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ref="Y1:AK1" si="2">COLUMN()</f>
        <v>25</v>
      </c>
      <c r="Z1" s="1">
        <f t="shared" si="2"/>
        <v>26</v>
      </c>
      <c r="AA1" s="1">
        <f t="shared" si="2"/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  <c r="AH1" s="1">
        <f t="shared" si="2"/>
        <v>34</v>
      </c>
      <c r="AI1" s="1">
        <f t="shared" si="2"/>
        <v>35</v>
      </c>
      <c r="AJ1" s="1">
        <f t="shared" si="2"/>
        <v>36</v>
      </c>
      <c r="AK1" s="1">
        <f t="shared" si="2"/>
        <v>37</v>
      </c>
      <c r="AL1" s="1">
        <f t="shared" ref="AL1:CW1" si="3">COLUMN()</f>
        <v>38</v>
      </c>
      <c r="AM1" s="1">
        <f t="shared" si="3"/>
        <v>39</v>
      </c>
      <c r="AN1" s="1">
        <f t="shared" si="3"/>
        <v>40</v>
      </c>
      <c r="AO1" s="1">
        <f t="shared" si="3"/>
        <v>41</v>
      </c>
      <c r="AP1" s="1">
        <f t="shared" si="3"/>
        <v>42</v>
      </c>
      <c r="AQ1" s="1">
        <f t="shared" si="3"/>
        <v>43</v>
      </c>
      <c r="AR1" s="1">
        <f t="shared" si="3"/>
        <v>44</v>
      </c>
      <c r="AS1" s="1">
        <f t="shared" si="3"/>
        <v>45</v>
      </c>
      <c r="AT1" s="1">
        <f t="shared" si="3"/>
        <v>46</v>
      </c>
      <c r="AU1" s="1">
        <f t="shared" si="3"/>
        <v>47</v>
      </c>
      <c r="AV1" s="1">
        <f t="shared" si="3"/>
        <v>48</v>
      </c>
      <c r="AW1" s="1">
        <f t="shared" si="3"/>
        <v>49</v>
      </c>
      <c r="AX1" s="1">
        <f t="shared" si="3"/>
        <v>50</v>
      </c>
      <c r="AY1" s="1">
        <f t="shared" si="3"/>
        <v>51</v>
      </c>
      <c r="AZ1" s="1">
        <f t="shared" si="3"/>
        <v>52</v>
      </c>
      <c r="BA1" s="1">
        <f t="shared" si="3"/>
        <v>53</v>
      </c>
      <c r="BB1" s="1">
        <f t="shared" si="3"/>
        <v>54</v>
      </c>
      <c r="BC1" s="1">
        <f t="shared" si="3"/>
        <v>55</v>
      </c>
      <c r="BD1" s="1">
        <f t="shared" si="3"/>
        <v>56</v>
      </c>
      <c r="BE1" s="1">
        <f t="shared" si="3"/>
        <v>57</v>
      </c>
      <c r="BF1" s="1">
        <f t="shared" si="3"/>
        <v>58</v>
      </c>
      <c r="BG1" s="1">
        <f t="shared" si="3"/>
        <v>59</v>
      </c>
      <c r="BH1" s="1">
        <f t="shared" si="3"/>
        <v>60</v>
      </c>
      <c r="BI1" s="1">
        <f t="shared" si="3"/>
        <v>61</v>
      </c>
      <c r="BJ1" s="1">
        <f t="shared" si="3"/>
        <v>62</v>
      </c>
      <c r="BK1" s="1">
        <f t="shared" si="3"/>
        <v>63</v>
      </c>
      <c r="BL1" s="1">
        <f t="shared" si="3"/>
        <v>64</v>
      </c>
      <c r="BM1" s="1">
        <f t="shared" si="3"/>
        <v>65</v>
      </c>
      <c r="BN1" s="1">
        <f t="shared" si="3"/>
        <v>66</v>
      </c>
      <c r="BO1" s="1">
        <f t="shared" si="3"/>
        <v>67</v>
      </c>
      <c r="BP1" s="1">
        <f t="shared" si="3"/>
        <v>68</v>
      </c>
      <c r="BQ1" s="1">
        <f t="shared" si="3"/>
        <v>69</v>
      </c>
      <c r="BR1" s="1">
        <f t="shared" si="3"/>
        <v>70</v>
      </c>
      <c r="BS1" s="1">
        <f t="shared" si="3"/>
        <v>71</v>
      </c>
      <c r="BT1" s="1">
        <f t="shared" si="3"/>
        <v>72</v>
      </c>
      <c r="BU1" s="1">
        <f t="shared" si="3"/>
        <v>73</v>
      </c>
      <c r="BV1" s="1">
        <f t="shared" si="3"/>
        <v>74</v>
      </c>
      <c r="BW1" s="1">
        <f t="shared" si="3"/>
        <v>75</v>
      </c>
      <c r="BX1" s="1">
        <f t="shared" si="3"/>
        <v>76</v>
      </c>
      <c r="BY1" s="1">
        <f t="shared" si="3"/>
        <v>77</v>
      </c>
      <c r="BZ1" s="1">
        <f t="shared" si="3"/>
        <v>78</v>
      </c>
      <c r="CA1" s="1">
        <f t="shared" si="3"/>
        <v>79</v>
      </c>
      <c r="CB1" s="1">
        <f t="shared" si="3"/>
        <v>80</v>
      </c>
      <c r="CC1" s="1">
        <f t="shared" si="3"/>
        <v>81</v>
      </c>
      <c r="CD1" s="1">
        <f t="shared" si="3"/>
        <v>82</v>
      </c>
      <c r="CE1" s="1">
        <f t="shared" si="3"/>
        <v>83</v>
      </c>
      <c r="CF1" s="1">
        <f t="shared" si="3"/>
        <v>84</v>
      </c>
      <c r="CG1" s="1">
        <f t="shared" si="3"/>
        <v>85</v>
      </c>
      <c r="CH1" s="1">
        <f t="shared" si="3"/>
        <v>86</v>
      </c>
      <c r="CI1" s="1">
        <f t="shared" si="3"/>
        <v>87</v>
      </c>
      <c r="CJ1" s="1">
        <f t="shared" si="3"/>
        <v>88</v>
      </c>
      <c r="CK1" s="1">
        <f t="shared" si="3"/>
        <v>89</v>
      </c>
      <c r="CL1" s="1">
        <f t="shared" si="3"/>
        <v>90</v>
      </c>
      <c r="CM1" s="1">
        <f t="shared" si="3"/>
        <v>91</v>
      </c>
      <c r="CN1" s="1">
        <f t="shared" si="3"/>
        <v>92</v>
      </c>
      <c r="CO1" s="1">
        <f t="shared" si="3"/>
        <v>93</v>
      </c>
      <c r="CP1" s="1">
        <f t="shared" si="3"/>
        <v>94</v>
      </c>
      <c r="CQ1" s="1">
        <f t="shared" si="3"/>
        <v>95</v>
      </c>
      <c r="CR1" s="1">
        <f t="shared" si="3"/>
        <v>96</v>
      </c>
      <c r="CS1" s="1">
        <f t="shared" si="3"/>
        <v>97</v>
      </c>
      <c r="CT1" s="1">
        <f t="shared" si="3"/>
        <v>98</v>
      </c>
      <c r="CU1" s="12">
        <f t="shared" si="3"/>
        <v>99</v>
      </c>
      <c r="CV1" s="12">
        <f t="shared" si="3"/>
        <v>100</v>
      </c>
      <c r="CW1" s="12">
        <f t="shared" si="3"/>
        <v>101</v>
      </c>
      <c r="CX1" s="12">
        <f>COLUMN()</f>
        <v>102</v>
      </c>
      <c r="CY1" s="12">
        <f>COLUMN()</f>
        <v>103</v>
      </c>
      <c r="CZ1" s="1">
        <f>COLUMN()</f>
        <v>104</v>
      </c>
    </row>
    <row r="2" customHeight="1" spans="6:104">
      <c r="F2" s="1" t="s">
        <v>41</v>
      </c>
      <c r="G2" s="1" t="s">
        <v>330</v>
      </c>
      <c r="H2" s="1" t="s">
        <v>11</v>
      </c>
      <c r="I2" s="1" t="s">
        <v>12</v>
      </c>
      <c r="J2" s="5" t="s">
        <v>331</v>
      </c>
      <c r="K2" s="5" t="s">
        <v>184</v>
      </c>
      <c r="L2" s="5" t="s">
        <v>332</v>
      </c>
      <c r="M2" s="5" t="s">
        <v>333</v>
      </c>
      <c r="N2" s="5" t="s">
        <v>232</v>
      </c>
      <c r="O2" s="5" t="s">
        <v>334</v>
      </c>
      <c r="P2" s="5" t="s">
        <v>335</v>
      </c>
      <c r="Q2" s="5" t="s">
        <v>96</v>
      </c>
      <c r="R2" s="5" t="s">
        <v>72</v>
      </c>
      <c r="S2" s="5" t="s">
        <v>61</v>
      </c>
      <c r="T2" s="5" t="s">
        <v>225</v>
      </c>
      <c r="U2" s="5" t="s">
        <v>139</v>
      </c>
      <c r="V2" s="5" t="s">
        <v>182</v>
      </c>
      <c r="W2" s="5" t="s">
        <v>302</v>
      </c>
      <c r="X2" s="5" t="s">
        <v>176</v>
      </c>
      <c r="Y2" s="5" t="s">
        <v>336</v>
      </c>
      <c r="Z2" s="5" t="s">
        <v>337</v>
      </c>
      <c r="AA2" s="5" t="s">
        <v>338</v>
      </c>
      <c r="AB2" s="5" t="s">
        <v>339</v>
      </c>
      <c r="AC2" s="5" t="s">
        <v>340</v>
      </c>
      <c r="AD2" s="5" t="s">
        <v>341</v>
      </c>
      <c r="AE2" s="6" t="s">
        <v>342</v>
      </c>
      <c r="AF2" s="6" t="s">
        <v>343</v>
      </c>
      <c r="AG2" s="6" t="s">
        <v>344</v>
      </c>
      <c r="AH2" s="6" t="s">
        <v>345</v>
      </c>
      <c r="AI2" s="5" t="s">
        <v>346</v>
      </c>
      <c r="AJ2" s="5" t="s">
        <v>347</v>
      </c>
      <c r="AK2" s="5" t="s">
        <v>348</v>
      </c>
      <c r="AL2" s="14" t="s">
        <v>349</v>
      </c>
      <c r="AM2" s="15" t="s">
        <v>350</v>
      </c>
      <c r="AN2" s="16" t="s">
        <v>346</v>
      </c>
      <c r="AO2" s="16" t="s">
        <v>351</v>
      </c>
      <c r="AP2" s="16" t="s">
        <v>352</v>
      </c>
      <c r="AQ2" s="16" t="s">
        <v>353</v>
      </c>
      <c r="AR2" s="19" t="s">
        <v>354</v>
      </c>
      <c r="AS2" s="19" t="s">
        <v>347</v>
      </c>
      <c r="AT2" s="19" t="s">
        <v>355</v>
      </c>
      <c r="AU2" s="19" t="s">
        <v>356</v>
      </c>
      <c r="AV2" s="19" t="s">
        <v>357</v>
      </c>
      <c r="AW2" s="22" t="s">
        <v>358</v>
      </c>
      <c r="AX2" s="22" t="s">
        <v>359</v>
      </c>
      <c r="AY2" s="22" t="s">
        <v>360</v>
      </c>
      <c r="AZ2" s="22" t="s">
        <v>361</v>
      </c>
      <c r="BA2" s="22" t="s">
        <v>362</v>
      </c>
      <c r="BB2" s="10" t="s">
        <v>363</v>
      </c>
      <c r="BC2" s="10" t="s">
        <v>364</v>
      </c>
      <c r="BD2" s="10" t="s">
        <v>365</v>
      </c>
      <c r="BE2" s="10" t="s">
        <v>366</v>
      </c>
      <c r="BF2" s="10" t="s">
        <v>367</v>
      </c>
      <c r="BG2" s="11" t="s">
        <v>368</v>
      </c>
      <c r="BH2" s="11" t="s">
        <v>369</v>
      </c>
      <c r="BI2" s="11" t="s">
        <v>370</v>
      </c>
      <c r="BJ2" s="11" t="s">
        <v>371</v>
      </c>
      <c r="BK2" s="11" t="s">
        <v>372</v>
      </c>
      <c r="BL2" s="25" t="s">
        <v>373</v>
      </c>
      <c r="BM2" s="25" t="s">
        <v>374</v>
      </c>
      <c r="BN2" s="25" t="s">
        <v>375</v>
      </c>
      <c r="BO2" s="25" t="s">
        <v>376</v>
      </c>
      <c r="BP2" s="25" t="s">
        <v>377</v>
      </c>
      <c r="BQ2" s="28" t="s">
        <v>378</v>
      </c>
      <c r="BR2" s="28" t="s">
        <v>379</v>
      </c>
      <c r="BS2" s="28" t="s">
        <v>380</v>
      </c>
      <c r="BT2" s="28" t="s">
        <v>381</v>
      </c>
      <c r="BU2" s="28" t="s">
        <v>382</v>
      </c>
      <c r="BV2" s="14" t="s">
        <v>383</v>
      </c>
      <c r="BW2" s="14" t="s">
        <v>348</v>
      </c>
      <c r="BX2" s="14" t="s">
        <v>384</v>
      </c>
      <c r="BY2" s="14" t="s">
        <v>385</v>
      </c>
      <c r="BZ2" s="14" t="s">
        <v>386</v>
      </c>
      <c r="CA2" s="30" t="s">
        <v>387</v>
      </c>
      <c r="CB2" s="30" t="s">
        <v>388</v>
      </c>
      <c r="CC2" s="30" t="s">
        <v>389</v>
      </c>
      <c r="CD2" s="30" t="s">
        <v>390</v>
      </c>
      <c r="CE2" s="30" t="s">
        <v>391</v>
      </c>
      <c r="CF2" s="32" t="s">
        <v>392</v>
      </c>
      <c r="CG2" s="32" t="s">
        <v>393</v>
      </c>
      <c r="CH2" s="32" t="s">
        <v>394</v>
      </c>
      <c r="CI2" s="32" t="s">
        <v>395</v>
      </c>
      <c r="CJ2" s="32" t="s">
        <v>396</v>
      </c>
      <c r="CK2" s="34" t="s">
        <v>144</v>
      </c>
      <c r="CL2" s="34" t="s">
        <v>397</v>
      </c>
      <c r="CM2" s="34" t="s">
        <v>398</v>
      </c>
      <c r="CN2" s="34" t="s">
        <v>146</v>
      </c>
      <c r="CO2" s="34" t="s">
        <v>399</v>
      </c>
      <c r="CP2" s="35" t="s">
        <v>400</v>
      </c>
      <c r="CQ2" s="35" t="s">
        <v>401</v>
      </c>
      <c r="CR2" s="35" t="s">
        <v>402</v>
      </c>
      <c r="CS2" s="35" t="s">
        <v>403</v>
      </c>
      <c r="CT2" s="35" t="s">
        <v>404</v>
      </c>
      <c r="CU2" s="12" t="s">
        <v>405</v>
      </c>
      <c r="CV2" s="12" t="s">
        <v>406</v>
      </c>
      <c r="CW2" s="12" t="s">
        <v>407</v>
      </c>
      <c r="CX2" s="12" t="s">
        <v>408</v>
      </c>
      <c r="CY2" s="12" t="s">
        <v>409</v>
      </c>
      <c r="CZ2" s="5" t="s">
        <v>410</v>
      </c>
    </row>
    <row r="3" customHeight="1" spans="6:104">
      <c r="F3" s="1" t="s">
        <v>23</v>
      </c>
      <c r="G3" s="1" t="s">
        <v>57</v>
      </c>
      <c r="H3" s="1" t="s">
        <v>217</v>
      </c>
      <c r="I3" s="1" t="s">
        <v>411</v>
      </c>
      <c r="J3" s="13">
        <f>835+75</f>
        <v>910</v>
      </c>
      <c r="K3" s="3">
        <f t="shared" ref="K3:K8" si="4">3%*8</f>
        <v>0.24</v>
      </c>
      <c r="L3" s="3"/>
      <c r="M3" s="13"/>
      <c r="N3" s="13">
        <v>90</v>
      </c>
      <c r="O3" s="3"/>
      <c r="P3" s="3"/>
      <c r="Q3" s="3">
        <v>0.02</v>
      </c>
      <c r="R3" s="3">
        <f>5%+30%</f>
        <v>0.35</v>
      </c>
      <c r="S3" s="3">
        <f>50%+9.6%*3</f>
        <v>0.788</v>
      </c>
      <c r="T3" s="3"/>
      <c r="U3" s="3">
        <v>-0.07</v>
      </c>
      <c r="V3" s="3"/>
      <c r="W3" s="3"/>
      <c r="X3" s="3"/>
      <c r="Y3" s="3"/>
      <c r="Z3" s="3">
        <f>40%</f>
        <v>0.4</v>
      </c>
      <c r="AA3" s="3"/>
      <c r="AB3" s="3"/>
      <c r="AC3" s="3"/>
      <c r="AD3" s="3"/>
      <c r="AE3" s="3"/>
      <c r="AF3" s="3"/>
      <c r="AG3" s="3"/>
      <c r="AH3" s="3">
        <f t="shared" ref="AH3:AH8" si="5">MAX(Y3:AD3)</f>
        <v>0.4</v>
      </c>
      <c r="AI3" s="3"/>
      <c r="AJ3" s="3"/>
      <c r="AK3" s="3"/>
      <c r="AL3" s="17">
        <v>60</v>
      </c>
      <c r="AM3" s="18">
        <f>126.4+137.3+151+167</f>
        <v>581.7</v>
      </c>
      <c r="AN3" s="18">
        <f>97.3+94.7+124.3+142.9</f>
        <v>459.2</v>
      </c>
      <c r="AO3" s="18">
        <v>3.5</v>
      </c>
      <c r="AP3" s="18">
        <f>104.77+0+59.12+60.05</f>
        <v>223.94</v>
      </c>
      <c r="AQ3" s="18">
        <f>18.9176+18.4254+24.182+27.071</f>
        <v>88.596</v>
      </c>
      <c r="AR3" s="20">
        <f>136.5+136.5+409.3</f>
        <v>682.3</v>
      </c>
      <c r="AS3" s="20">
        <f>60+60+180</f>
        <v>300</v>
      </c>
      <c r="AT3" s="20">
        <v>2.6</v>
      </c>
      <c r="AU3" s="20">
        <f>54.15+54.15+162.45</f>
        <v>270.75</v>
      </c>
      <c r="AV3" s="20">
        <f>5.9064+10.914+29.1682</f>
        <v>45.9886</v>
      </c>
      <c r="AW3" s="23"/>
      <c r="AX3" s="23"/>
      <c r="AY3" s="23"/>
      <c r="AZ3" s="23"/>
      <c r="BA3" s="23"/>
      <c r="BB3" s="24"/>
      <c r="BC3" s="24"/>
      <c r="BD3" s="24"/>
      <c r="BE3" s="24"/>
      <c r="BF3" s="24"/>
      <c r="BG3" s="26"/>
      <c r="BH3" s="26"/>
      <c r="BI3" s="26"/>
      <c r="BJ3" s="26"/>
      <c r="BK3" s="26"/>
      <c r="BL3" s="27">
        <v>51.4</v>
      </c>
      <c r="BM3" s="27">
        <v>51.4</v>
      </c>
      <c r="BN3" s="27">
        <v>0.5</v>
      </c>
      <c r="BO3" s="27">
        <v>46.7</v>
      </c>
      <c r="BP3" s="27">
        <v>10.0152</v>
      </c>
      <c r="BQ3" s="29">
        <f>18.4*3</f>
        <v>55.2</v>
      </c>
      <c r="BR3" s="29">
        <f>18.4*3</f>
        <v>55.2</v>
      </c>
      <c r="BS3" s="29">
        <v>1.2</v>
      </c>
      <c r="BT3" s="29">
        <f>16.65*3</f>
        <v>49.95</v>
      </c>
      <c r="BU3" s="29">
        <v>3.5738</v>
      </c>
      <c r="BV3" s="21">
        <v>574.6</v>
      </c>
      <c r="BW3" s="21">
        <v>468.1</v>
      </c>
      <c r="BX3" s="21">
        <v>1.1</v>
      </c>
      <c r="BY3" s="21">
        <v>485.12</v>
      </c>
      <c r="BZ3" s="21">
        <v>135.1838</v>
      </c>
      <c r="CA3" s="31"/>
      <c r="CB3" s="31"/>
      <c r="CC3" s="31"/>
      <c r="CD3" s="31"/>
      <c r="CE3" s="31"/>
      <c r="CF3" s="33">
        <v>355.8</v>
      </c>
      <c r="CG3" s="33">
        <v>308.6</v>
      </c>
      <c r="CH3" s="33">
        <v>2.5</v>
      </c>
      <c r="CI3" s="33">
        <v>301.97</v>
      </c>
      <c r="CJ3" s="33">
        <f>78.4096</f>
        <v>78.4096</v>
      </c>
      <c r="CK3" s="36">
        <v>602.1</v>
      </c>
      <c r="CL3" s="36">
        <v>0</v>
      </c>
      <c r="CM3" s="36">
        <v>1.4</v>
      </c>
      <c r="CN3" s="36">
        <v>334.5</v>
      </c>
      <c r="CO3" s="36">
        <v>171.2214</v>
      </c>
      <c r="CP3" s="37">
        <v>1835.9</v>
      </c>
      <c r="CQ3" s="37">
        <v>143</v>
      </c>
      <c r="CR3" s="37">
        <v>1.3</v>
      </c>
      <c r="CS3" s="37">
        <v>103.33</v>
      </c>
      <c r="CT3" s="37"/>
      <c r="CU3" s="38"/>
      <c r="CV3" s="38"/>
      <c r="CW3" s="38"/>
      <c r="CX3" s="38"/>
      <c r="CY3" s="38"/>
      <c r="CZ3" s="6" t="s">
        <v>412</v>
      </c>
    </row>
    <row r="4" customHeight="1" spans="6:104">
      <c r="F4" s="1" t="s">
        <v>63</v>
      </c>
      <c r="G4" s="1" t="s">
        <v>57</v>
      </c>
      <c r="H4" s="1" t="s">
        <v>207</v>
      </c>
      <c r="I4" s="1" t="s">
        <v>413</v>
      </c>
      <c r="J4" s="13">
        <f>863+75</f>
        <v>938</v>
      </c>
      <c r="K4" s="3">
        <f t="shared" si="4"/>
        <v>0.24</v>
      </c>
      <c r="L4" s="3"/>
      <c r="M4" s="13"/>
      <c r="N4" s="13">
        <v>93</v>
      </c>
      <c r="O4" s="3"/>
      <c r="P4" s="3"/>
      <c r="Q4" s="3">
        <v>-0.07</v>
      </c>
      <c r="R4" s="3">
        <f t="shared" ref="R4:R8" si="6">5%+4.8%*3</f>
        <v>0.194</v>
      </c>
      <c r="S4" s="3">
        <v>0.5</v>
      </c>
      <c r="T4" s="3"/>
      <c r="U4" s="3">
        <v>-0.06</v>
      </c>
      <c r="V4" s="3"/>
      <c r="W4" s="3"/>
      <c r="X4" s="3"/>
      <c r="Y4" s="3">
        <v>0.3</v>
      </c>
      <c r="Z4" s="3">
        <v>0.3</v>
      </c>
      <c r="AA4" s="3">
        <v>0.3</v>
      </c>
      <c r="AB4" s="3">
        <v>0.3</v>
      </c>
      <c r="AC4" s="3">
        <v>0.3</v>
      </c>
      <c r="AD4" s="3">
        <v>0.3</v>
      </c>
      <c r="AE4" s="3">
        <v>0.3</v>
      </c>
      <c r="AF4" s="3">
        <v>0.3</v>
      </c>
      <c r="AG4" s="3">
        <v>0.3</v>
      </c>
      <c r="AH4" s="3">
        <f t="shared" si="5"/>
        <v>0.3</v>
      </c>
      <c r="AI4" s="3"/>
      <c r="AJ4" s="3"/>
      <c r="AK4" s="3"/>
      <c r="AL4" s="17">
        <v>40</v>
      </c>
      <c r="AM4" s="18">
        <v>496.2</v>
      </c>
      <c r="AN4" s="18">
        <v>245.5</v>
      </c>
      <c r="AO4" s="18">
        <v>1.8</v>
      </c>
      <c r="AP4" s="18">
        <v>223.17</v>
      </c>
      <c r="AQ4" s="18">
        <v>47.7648</v>
      </c>
      <c r="AR4" s="20">
        <f>99.6+184+496.2</f>
        <v>779.8</v>
      </c>
      <c r="AS4" s="20">
        <f>48.8+90.2+245.5</f>
        <v>384.5</v>
      </c>
      <c r="AT4" s="20">
        <v>3.2</v>
      </c>
      <c r="AU4" s="20">
        <f>44.35+81.99+223.17</f>
        <v>349.51</v>
      </c>
      <c r="AV4" s="20">
        <f>9.5016+17.548+47.7648</f>
        <v>74.8144</v>
      </c>
      <c r="AW4" s="23">
        <f>62.3+158.2</f>
        <v>220.5</v>
      </c>
      <c r="AX4" s="23">
        <f>62.3+121.7</f>
        <v>184</v>
      </c>
      <c r="AY4" s="23">
        <v>2.3</v>
      </c>
      <c r="AZ4" s="23">
        <f>56.59+110.56</f>
        <v>167.15</v>
      </c>
      <c r="BA4" s="23">
        <f>12.1124+23.6684</f>
        <v>35.7808</v>
      </c>
      <c r="BB4" s="24">
        <f>62.3+127.6</f>
        <v>189.9</v>
      </c>
      <c r="BC4" s="24">
        <f>62.3+98.2</f>
        <v>160.5</v>
      </c>
      <c r="BD4" s="24">
        <v>1.5</v>
      </c>
      <c r="BE4" s="24">
        <f>56.59+89.19</f>
        <v>145.78</v>
      </c>
      <c r="BF4" s="24">
        <f>12.1124+19.0888</f>
        <v>31.2012</v>
      </c>
      <c r="BG4" s="26"/>
      <c r="BH4" s="26"/>
      <c r="BI4" s="26"/>
      <c r="BJ4" s="26"/>
      <c r="BK4" s="26"/>
      <c r="BL4" s="27">
        <v>121.1</v>
      </c>
      <c r="BM4" s="27">
        <v>121.1</v>
      </c>
      <c r="BN4" s="27">
        <v>1.5</v>
      </c>
      <c r="BO4" s="27">
        <v>110.03</v>
      </c>
      <c r="BP4" s="27">
        <v>23.5614</v>
      </c>
      <c r="BQ4" s="29">
        <v>50.5</v>
      </c>
      <c r="BR4" s="29">
        <v>50.5</v>
      </c>
      <c r="BS4" s="29">
        <v>1.1</v>
      </c>
      <c r="BT4" s="29">
        <v>45.84</v>
      </c>
      <c r="BU4" s="29">
        <v>9.8226</v>
      </c>
      <c r="BV4" s="21">
        <f>377.2</f>
        <v>377.2</v>
      </c>
      <c r="BW4" s="21">
        <v>405.1</v>
      </c>
      <c r="BX4" s="21">
        <v>1.6</v>
      </c>
      <c r="BY4" s="21">
        <v>403.73</v>
      </c>
      <c r="BZ4" s="21">
        <v>109.2256</v>
      </c>
      <c r="CA4" s="31">
        <v>553.3</v>
      </c>
      <c r="CB4" s="31">
        <v>371.7</v>
      </c>
      <c r="CC4" s="31">
        <v>1.3</v>
      </c>
      <c r="CD4" s="31">
        <v>372.19</v>
      </c>
      <c r="CE4" s="31">
        <v>101.7142</v>
      </c>
      <c r="CF4" s="33">
        <v>437.9</v>
      </c>
      <c r="CG4" s="33">
        <f>271.3+384.8</f>
        <v>656.1</v>
      </c>
      <c r="CH4" s="33">
        <v>1.9</v>
      </c>
      <c r="CI4" s="33">
        <v>373.92</v>
      </c>
      <c r="CJ4" s="33">
        <f>14.2738+95.5296</f>
        <v>109.8034</v>
      </c>
      <c r="CK4" s="36">
        <v>794.6</v>
      </c>
      <c r="CL4" s="36">
        <v>0</v>
      </c>
      <c r="CM4" s="36">
        <v>3.2</v>
      </c>
      <c r="CN4" s="36">
        <v>522.83</v>
      </c>
      <c r="CO4" s="36">
        <v>211.5176</v>
      </c>
      <c r="CP4" s="37">
        <v>1890.8</v>
      </c>
      <c r="CQ4" s="37">
        <v>185.2</v>
      </c>
      <c r="CR4" s="37">
        <v>1.6</v>
      </c>
      <c r="CS4" s="37">
        <v>168.33</v>
      </c>
      <c r="CT4" s="37"/>
      <c r="CU4" s="38"/>
      <c r="CV4" s="38"/>
      <c r="CW4" s="38"/>
      <c r="CX4" s="38"/>
      <c r="CY4" s="38"/>
      <c r="CZ4" s="4" t="s">
        <v>414</v>
      </c>
    </row>
    <row r="5" customHeight="1" spans="6:104">
      <c r="F5" s="1" t="s">
        <v>68</v>
      </c>
      <c r="G5" s="1" t="s">
        <v>57</v>
      </c>
      <c r="H5" s="1" t="s">
        <v>196</v>
      </c>
      <c r="I5" s="1" t="s">
        <v>415</v>
      </c>
      <c r="J5" s="13">
        <v>908</v>
      </c>
      <c r="K5" s="3">
        <f t="shared" si="4"/>
        <v>0.24</v>
      </c>
      <c r="L5" s="3"/>
      <c r="M5" s="13"/>
      <c r="N5" s="13">
        <v>92</v>
      </c>
      <c r="O5" s="3"/>
      <c r="P5" s="3"/>
      <c r="Q5" s="3">
        <v>-0.04</v>
      </c>
      <c r="R5" s="3">
        <f t="shared" si="6"/>
        <v>0.194</v>
      </c>
      <c r="S5" s="3">
        <v>0.5</v>
      </c>
      <c r="T5" s="3"/>
      <c r="U5" s="3">
        <v>-0.03</v>
      </c>
      <c r="V5" s="3"/>
      <c r="W5" s="3"/>
      <c r="X5" s="3"/>
      <c r="Y5" s="3">
        <f t="shared" ref="Y5:AG5" si="7">60%</f>
        <v>0.6</v>
      </c>
      <c r="Z5" s="3">
        <f t="shared" si="7"/>
        <v>0.6</v>
      </c>
      <c r="AA5" s="3">
        <f t="shared" si="7"/>
        <v>0.6</v>
      </c>
      <c r="AB5" s="3">
        <f t="shared" si="7"/>
        <v>0.6</v>
      </c>
      <c r="AC5" s="3">
        <f t="shared" si="7"/>
        <v>0.6</v>
      </c>
      <c r="AD5" s="3">
        <f t="shared" si="7"/>
        <v>0.6</v>
      </c>
      <c r="AE5" s="3">
        <f t="shared" si="7"/>
        <v>0.6</v>
      </c>
      <c r="AF5" s="3">
        <f t="shared" si="7"/>
        <v>0.6</v>
      </c>
      <c r="AG5" s="3">
        <f t="shared" si="7"/>
        <v>0.6</v>
      </c>
      <c r="AH5" s="3">
        <f t="shared" si="5"/>
        <v>0.6</v>
      </c>
      <c r="AI5" s="3"/>
      <c r="AJ5" s="3"/>
      <c r="AK5" s="3"/>
      <c r="AL5" s="17">
        <v>40</v>
      </c>
      <c r="AM5" s="18">
        <f>55.2+62.6+72.7+170.2+123.6*5/3</f>
        <v>566.7</v>
      </c>
      <c r="AN5" s="18">
        <f>18+37.1+46.7+103.7+58.9*5/3</f>
        <v>303.666666666667</v>
      </c>
      <c r="AO5" s="18">
        <f>2.8*2/3+3.6/3</f>
        <v>3.06666666666667</v>
      </c>
      <c r="AP5" s="18">
        <f>17.08+35.24+44.4+98.73+56.02*5/3</f>
        <v>288.816666666667</v>
      </c>
      <c r="AQ5" s="18">
        <f>3.6594+7.5542+9.523+21.1432+12.0054*5/3</f>
        <v>61.8888</v>
      </c>
      <c r="AR5" s="20"/>
      <c r="AS5" s="20"/>
      <c r="AT5" s="20"/>
      <c r="AU5" s="20"/>
      <c r="AV5" s="20"/>
      <c r="AW5" s="23">
        <f>55.2+71.8*5/3</f>
        <v>174.866666666667</v>
      </c>
      <c r="AX5" s="23">
        <f>18+58.9*5/3</f>
        <v>116.166666666667</v>
      </c>
      <c r="AY5" s="23">
        <f>1.2*2/3+2.15/3</f>
        <v>1.51666666666667</v>
      </c>
      <c r="AZ5" s="23">
        <f>17.08+56.02*5/3</f>
        <v>110.446666666667</v>
      </c>
      <c r="BA5" s="23">
        <f>12.0054*5/3</f>
        <v>20.009</v>
      </c>
      <c r="BB5" s="24"/>
      <c r="BC5" s="24"/>
      <c r="BD5" s="24"/>
      <c r="BE5" s="24"/>
      <c r="BF5" s="24"/>
      <c r="BG5" s="26"/>
      <c r="BH5" s="26"/>
      <c r="BI5" s="26"/>
      <c r="BJ5" s="26"/>
      <c r="BK5" s="26"/>
      <c r="BL5" s="27">
        <v>94.5</v>
      </c>
      <c r="BM5" s="27">
        <v>94.5</v>
      </c>
      <c r="BN5" s="27">
        <v>1</v>
      </c>
      <c r="BO5" s="27">
        <v>89.96</v>
      </c>
      <c r="BP5" s="27">
        <v>19.26</v>
      </c>
      <c r="BQ5" s="29">
        <v>47.3</v>
      </c>
      <c r="BR5" s="29">
        <v>47.3</v>
      </c>
      <c r="BS5" s="29">
        <v>1.2</v>
      </c>
      <c r="BT5" s="29">
        <v>45.01</v>
      </c>
      <c r="BU5" s="29">
        <v>9.6514</v>
      </c>
      <c r="BV5" s="21">
        <v>539.7</v>
      </c>
      <c r="BW5" s="21">
        <v>455.4</v>
      </c>
      <c r="BX5" s="21">
        <v>1.5</v>
      </c>
      <c r="BY5" s="21">
        <v>430.73</v>
      </c>
      <c r="BZ5" s="21">
        <v>115.6456</v>
      </c>
      <c r="CA5" s="31"/>
      <c r="CB5" s="31"/>
      <c r="CC5" s="31"/>
      <c r="CD5" s="31"/>
      <c r="CE5" s="31"/>
      <c r="CF5" s="33">
        <v>300.4</v>
      </c>
      <c r="CG5" s="33">
        <f>238+258.1</f>
        <v>496.1</v>
      </c>
      <c r="CH5" s="33">
        <v>2.3</v>
      </c>
      <c r="CI5" s="33">
        <v>265.92</v>
      </c>
      <c r="CJ5" s="33">
        <f>14.2738+69.8496</f>
        <v>84.1234</v>
      </c>
      <c r="CK5" s="36">
        <v>536.2</v>
      </c>
      <c r="CL5" s="36">
        <v>0</v>
      </c>
      <c r="CM5" s="36">
        <v>1.7</v>
      </c>
      <c r="CN5" s="36">
        <v>367.86</v>
      </c>
      <c r="CO5" s="36">
        <v>178.3476</v>
      </c>
      <c r="CP5" s="37">
        <v>1571.1</v>
      </c>
      <c r="CQ5" s="37">
        <v>118.1</v>
      </c>
      <c r="CR5" s="37">
        <v>2.1</v>
      </c>
      <c r="CS5" s="37">
        <v>124.96</v>
      </c>
      <c r="CT5" s="37"/>
      <c r="CU5" s="38"/>
      <c r="CV5" s="38"/>
      <c r="CW5" s="38"/>
      <c r="CX5" s="38"/>
      <c r="CY5" s="38"/>
      <c r="CZ5" s="6" t="s">
        <v>416</v>
      </c>
    </row>
    <row r="6" customHeight="1" spans="6:104">
      <c r="F6" s="1" t="s">
        <v>73</v>
      </c>
      <c r="G6" s="1" t="s">
        <v>57</v>
      </c>
      <c r="H6" s="1" t="s">
        <v>212</v>
      </c>
      <c r="I6" s="1" t="s">
        <v>417</v>
      </c>
      <c r="J6" s="13">
        <f>813+75</f>
        <v>888</v>
      </c>
      <c r="K6" s="3">
        <f t="shared" si="4"/>
        <v>0.24</v>
      </c>
      <c r="L6" s="3"/>
      <c r="M6" s="13"/>
      <c r="N6" s="13">
        <v>93</v>
      </c>
      <c r="O6" s="3"/>
      <c r="P6" s="3"/>
      <c r="Q6" s="3">
        <v>-0.07</v>
      </c>
      <c r="R6" s="3">
        <f t="shared" si="6"/>
        <v>0.194</v>
      </c>
      <c r="S6" s="3">
        <v>0.5</v>
      </c>
      <c r="T6" s="3"/>
      <c r="U6" s="3">
        <v>-0.06</v>
      </c>
      <c r="V6" s="3"/>
      <c r="W6" s="3"/>
      <c r="X6" s="3"/>
      <c r="Y6" s="3">
        <f>10%+70%</f>
        <v>0.8</v>
      </c>
      <c r="Z6" s="3">
        <f>10%+70%</f>
        <v>0.8</v>
      </c>
      <c r="AA6" s="3">
        <f>10%</f>
        <v>0.1</v>
      </c>
      <c r="AB6" s="3">
        <f t="shared" ref="AB6:AG6" si="8">10%</f>
        <v>0.1</v>
      </c>
      <c r="AC6" s="3">
        <f t="shared" si="8"/>
        <v>0.1</v>
      </c>
      <c r="AD6" s="3">
        <f t="shared" si="8"/>
        <v>0.1</v>
      </c>
      <c r="AE6" s="3">
        <f t="shared" si="8"/>
        <v>0.1</v>
      </c>
      <c r="AF6" s="3">
        <f t="shared" si="8"/>
        <v>0.1</v>
      </c>
      <c r="AG6" s="3">
        <f t="shared" si="8"/>
        <v>0.1</v>
      </c>
      <c r="AH6" s="3">
        <f t="shared" si="5"/>
        <v>0.8</v>
      </c>
      <c r="AI6" s="3"/>
      <c r="AJ6" s="3"/>
      <c r="AK6" s="3"/>
      <c r="AL6" s="17">
        <v>80</v>
      </c>
      <c r="AM6" s="18">
        <f>55.1+57.2+132+340.7</f>
        <v>585</v>
      </c>
      <c r="AN6" s="18">
        <f>18+33.6+75.2+192</f>
        <v>318.8</v>
      </c>
      <c r="AO6" s="18">
        <v>3.5</v>
      </c>
      <c r="AP6" s="18">
        <f>17.05+31.91+71.57+182.8</f>
        <v>303.33</v>
      </c>
      <c r="AQ6" s="18">
        <f>3.6594+6.848+15.3224+39.1406</f>
        <v>64.9704</v>
      </c>
      <c r="AR6" s="20">
        <f>55.1+57.2+132+340.7</f>
        <v>585</v>
      </c>
      <c r="AS6" s="20">
        <f>18+33.6+75.2+192</f>
        <v>318.8</v>
      </c>
      <c r="AT6" s="20">
        <v>2.85</v>
      </c>
      <c r="AU6" s="20">
        <f>17.05+31.91+71.57+182.8</f>
        <v>303.33</v>
      </c>
      <c r="AV6" s="20">
        <v>64.9704</v>
      </c>
      <c r="AW6" s="23"/>
      <c r="AX6" s="23"/>
      <c r="AY6" s="23"/>
      <c r="AZ6" s="23"/>
      <c r="BA6" s="23"/>
      <c r="BB6" s="24"/>
      <c r="BC6" s="24"/>
      <c r="BD6" s="24"/>
      <c r="BE6" s="24"/>
      <c r="BF6" s="24"/>
      <c r="BG6" s="26"/>
      <c r="BH6" s="26"/>
      <c r="BI6" s="26"/>
      <c r="BJ6" s="26"/>
      <c r="BK6" s="26"/>
      <c r="BL6" s="27">
        <v>120.8</v>
      </c>
      <c r="BM6" s="27">
        <v>120.8</v>
      </c>
      <c r="BN6" s="27">
        <v>1.2</v>
      </c>
      <c r="BO6" s="27">
        <v>114.99</v>
      </c>
      <c r="BP6" s="27">
        <v>24.61</v>
      </c>
      <c r="BQ6" s="29">
        <v>52.6</v>
      </c>
      <c r="BR6" s="29">
        <v>52.6</v>
      </c>
      <c r="BS6" s="29">
        <v>1.2</v>
      </c>
      <c r="BT6" s="29">
        <v>50.01</v>
      </c>
      <c r="BU6" s="29">
        <v>10.7214</v>
      </c>
      <c r="BV6" s="21">
        <v>675</v>
      </c>
      <c r="BW6" s="21">
        <v>543.5</v>
      </c>
      <c r="BX6" s="21">
        <v>1.2</v>
      </c>
      <c r="BY6" s="21">
        <v>580.18</v>
      </c>
      <c r="BZ6" s="21">
        <v>164.3948</v>
      </c>
      <c r="CA6" s="31"/>
      <c r="CB6" s="31"/>
      <c r="CC6" s="31"/>
      <c r="CD6" s="31"/>
      <c r="CE6" s="31"/>
      <c r="CF6" s="33">
        <v>383.7</v>
      </c>
      <c r="CG6" s="33">
        <f>238+335.5</f>
        <v>573.5</v>
      </c>
      <c r="CH6" s="33">
        <v>2.3</v>
      </c>
      <c r="CI6" s="33">
        <v>342.42</v>
      </c>
      <c r="CJ6" s="33">
        <f>14.2738+88.0396</f>
        <v>102.3134</v>
      </c>
      <c r="CK6" s="36">
        <v>632.5</v>
      </c>
      <c r="CL6" s="36">
        <v>0</v>
      </c>
      <c r="CM6" s="36">
        <v>1.6</v>
      </c>
      <c r="CN6" s="36">
        <v>402.86</v>
      </c>
      <c r="CO6" s="36">
        <v>185.8376</v>
      </c>
      <c r="CP6" s="37">
        <v>2103</v>
      </c>
      <c r="CQ6" s="37">
        <v>285</v>
      </c>
      <c r="CR6" s="37">
        <v>2.2</v>
      </c>
      <c r="CS6" s="37">
        <v>246.7</v>
      </c>
      <c r="CT6" s="37"/>
      <c r="CU6" s="38"/>
      <c r="CV6" s="38"/>
      <c r="CW6" s="38"/>
      <c r="CX6" s="38"/>
      <c r="CY6" s="38"/>
      <c r="CZ6" s="6" t="s">
        <v>418</v>
      </c>
    </row>
    <row r="7" customHeight="1" spans="6:104">
      <c r="F7" s="1" t="s">
        <v>75</v>
      </c>
      <c r="G7" s="1" t="s">
        <v>57</v>
      </c>
      <c r="H7" s="1" t="s">
        <v>196</v>
      </c>
      <c r="I7" s="1" t="s">
        <v>413</v>
      </c>
      <c r="J7" s="13">
        <f>732+75</f>
        <v>807</v>
      </c>
      <c r="K7" s="3">
        <f t="shared" si="4"/>
        <v>0.24</v>
      </c>
      <c r="L7" s="3"/>
      <c r="M7" s="13"/>
      <c r="N7" s="13">
        <v>93</v>
      </c>
      <c r="O7" s="3"/>
      <c r="P7" s="3"/>
      <c r="Q7" s="3">
        <v>-0.04</v>
      </c>
      <c r="R7" s="3">
        <f>5%</f>
        <v>0.05</v>
      </c>
      <c r="S7" s="3">
        <f>50%+9.6%*3</f>
        <v>0.788</v>
      </c>
      <c r="T7" s="3"/>
      <c r="U7" s="3">
        <v>-0.07</v>
      </c>
      <c r="V7" s="3"/>
      <c r="W7" s="3"/>
      <c r="X7" s="3"/>
      <c r="Y7" s="3"/>
      <c r="Z7" s="3"/>
      <c r="AA7" s="3"/>
      <c r="AB7" s="3"/>
      <c r="AC7" s="3"/>
      <c r="AD7" s="3">
        <f>37.5%</f>
        <v>0.375</v>
      </c>
      <c r="AE7" s="3"/>
      <c r="AF7" s="3"/>
      <c r="AG7" s="3"/>
      <c r="AH7" s="3">
        <f t="shared" si="5"/>
        <v>0.375</v>
      </c>
      <c r="AI7" s="3"/>
      <c r="AJ7" s="3"/>
      <c r="AK7" s="3"/>
      <c r="AL7" s="17">
        <v>80</v>
      </c>
      <c r="AM7" s="18"/>
      <c r="AN7" s="18"/>
      <c r="AO7" s="18"/>
      <c r="AP7" s="18"/>
      <c r="AQ7" s="18"/>
      <c r="AR7" s="21"/>
      <c r="AS7" s="21"/>
      <c r="AT7" s="21"/>
      <c r="AU7" s="21"/>
      <c r="AV7" s="21"/>
      <c r="AW7" s="23"/>
      <c r="AX7" s="23"/>
      <c r="AY7" s="23"/>
      <c r="AZ7" s="23"/>
      <c r="BA7" s="23"/>
      <c r="BB7" s="24"/>
      <c r="BC7" s="24"/>
      <c r="BD7" s="24"/>
      <c r="BE7" s="24"/>
      <c r="BF7" s="24"/>
      <c r="BG7" s="26"/>
      <c r="BH7" s="26"/>
      <c r="BI7" s="26"/>
      <c r="BJ7" s="26"/>
      <c r="BK7" s="26"/>
      <c r="BL7" s="27"/>
      <c r="BM7" s="27"/>
      <c r="BN7" s="27"/>
      <c r="BO7" s="27"/>
      <c r="BP7" s="27"/>
      <c r="BQ7" s="29"/>
      <c r="BR7" s="29"/>
      <c r="BS7" s="29"/>
      <c r="BT7" s="29"/>
      <c r="BU7" s="29"/>
      <c r="BV7" s="21">
        <f>345+1034.8+345</f>
        <v>1724.8</v>
      </c>
      <c r="BW7" s="21">
        <f>206.3+618.8+206.3</f>
        <v>1031.4</v>
      </c>
      <c r="BX7" s="21">
        <v>4.5</v>
      </c>
      <c r="BY7" s="21">
        <f>203.33+610.01+203.33</f>
        <v>1016.67</v>
      </c>
      <c r="BZ7" s="21">
        <f>53.6498+160.9066+53.6498</f>
        <v>268.2062</v>
      </c>
      <c r="CC7" s="31"/>
      <c r="CD7" s="31"/>
      <c r="CE7" s="31"/>
      <c r="CF7" s="33">
        <v>547.5</v>
      </c>
      <c r="CG7" s="33">
        <f>246.7+488.6</f>
        <v>735.3</v>
      </c>
      <c r="CH7" s="33">
        <v>3.5</v>
      </c>
      <c r="CI7" s="33">
        <v>518.01</v>
      </c>
      <c r="CJ7" s="33">
        <f>14.2738+129.791</f>
        <v>144.0648</v>
      </c>
      <c r="CK7" s="36">
        <v>687.3</v>
      </c>
      <c r="CL7" s="36">
        <v>0</v>
      </c>
      <c r="CM7" s="36">
        <v>2.6</v>
      </c>
      <c r="CN7" s="36">
        <v>487.79</v>
      </c>
      <c r="CO7" s="36">
        <v>204.0062</v>
      </c>
      <c r="CP7" s="37">
        <v>2026.5</v>
      </c>
      <c r="CQ7" s="37">
        <v>405</v>
      </c>
      <c r="CR7" s="37">
        <v>2.4</v>
      </c>
      <c r="CS7" s="37">
        <v>406.7</v>
      </c>
      <c r="CT7" s="37"/>
      <c r="CU7" s="38"/>
      <c r="CV7" s="38"/>
      <c r="CW7" s="38"/>
      <c r="CX7" s="38"/>
      <c r="CY7" s="38"/>
      <c r="CZ7" s="4" t="s">
        <v>419</v>
      </c>
    </row>
    <row r="8" customHeight="1" spans="6:104">
      <c r="F8" s="1" t="s">
        <v>77</v>
      </c>
      <c r="G8" s="1" t="s">
        <v>57</v>
      </c>
      <c r="H8" s="1" t="s">
        <v>201</v>
      </c>
      <c r="I8" s="1" t="s">
        <v>420</v>
      </c>
      <c r="J8" s="13">
        <f>716+75</f>
        <v>791</v>
      </c>
      <c r="K8" s="3">
        <f t="shared" si="4"/>
        <v>0.24</v>
      </c>
      <c r="L8" s="3"/>
      <c r="M8" s="13"/>
      <c r="N8" s="13">
        <v>95</v>
      </c>
      <c r="O8" s="3"/>
      <c r="P8" s="3"/>
      <c r="Q8" s="3">
        <v>-0.1</v>
      </c>
      <c r="R8" s="3">
        <f t="shared" si="6"/>
        <v>0.194</v>
      </c>
      <c r="S8" s="3">
        <v>0.5</v>
      </c>
      <c r="T8" s="3"/>
      <c r="U8" s="3">
        <v>-0.14</v>
      </c>
      <c r="V8" s="3"/>
      <c r="W8" s="3"/>
      <c r="X8" s="3"/>
      <c r="Y8" s="3">
        <f>(40%+24%)/2</f>
        <v>0.32</v>
      </c>
      <c r="Z8" s="3">
        <f>(40%+24%)/2</f>
        <v>0.32</v>
      </c>
      <c r="AA8" s="3">
        <f>(40%+24%)/2</f>
        <v>0.32</v>
      </c>
      <c r="AB8" s="3">
        <v>0.4</v>
      </c>
      <c r="AC8" s="3">
        <v>0.24</v>
      </c>
      <c r="AD8" s="3">
        <v>0.24</v>
      </c>
      <c r="AE8" s="3">
        <v>0.4</v>
      </c>
      <c r="AF8" s="3">
        <f>(40%+24%)/2</f>
        <v>0.32</v>
      </c>
      <c r="AG8" s="3">
        <v>0.24</v>
      </c>
      <c r="AH8" s="3">
        <f t="shared" si="5"/>
        <v>0.4</v>
      </c>
      <c r="AI8" s="3"/>
      <c r="AJ8" s="3"/>
      <c r="AK8" s="3"/>
      <c r="AL8" s="17">
        <v>40</v>
      </c>
      <c r="AM8" s="18"/>
      <c r="AN8" s="18"/>
      <c r="AO8" s="18"/>
      <c r="AP8" s="18"/>
      <c r="AQ8" s="18"/>
      <c r="AR8" s="21">
        <f>240.9</f>
        <v>240.9</v>
      </c>
      <c r="AS8" s="21">
        <f>166</f>
        <v>166</v>
      </c>
      <c r="AT8" s="21">
        <v>0.5</v>
      </c>
      <c r="AU8" s="21">
        <v>177.49</v>
      </c>
      <c r="AV8" s="21">
        <v>45.4108</v>
      </c>
      <c r="AW8" s="21">
        <f>463.4+456.9</f>
        <v>920.3</v>
      </c>
      <c r="AX8" s="21">
        <f>319.4+314.8</f>
        <v>634.2</v>
      </c>
      <c r="AY8" s="21">
        <f>1.9+1.8</f>
        <v>3.7</v>
      </c>
      <c r="AZ8" s="21">
        <f>345.73+336.68</f>
        <v>682.41</v>
      </c>
      <c r="BA8" s="21">
        <f>88.4462+86.1136</f>
        <v>174.5598</v>
      </c>
      <c r="BB8" s="24"/>
      <c r="BC8" s="24"/>
      <c r="BD8" s="24"/>
      <c r="BE8" s="24"/>
      <c r="BF8" s="24"/>
      <c r="BG8" s="26"/>
      <c r="BH8" s="26"/>
      <c r="BI8" s="26"/>
      <c r="BJ8" s="26"/>
      <c r="BK8" s="26"/>
      <c r="BL8" s="27"/>
      <c r="BM8" s="27"/>
      <c r="BN8" s="27"/>
      <c r="BO8" s="27"/>
      <c r="BP8" s="27"/>
      <c r="BQ8" s="29"/>
      <c r="BR8" s="29"/>
      <c r="BS8" s="29"/>
      <c r="BT8" s="29"/>
      <c r="BU8" s="29"/>
      <c r="BV8" s="21">
        <v>195.7</v>
      </c>
      <c r="BW8" s="21">
        <v>195.7</v>
      </c>
      <c r="BX8" s="21">
        <v>0.4</v>
      </c>
      <c r="BY8" s="21">
        <v>195.03</v>
      </c>
      <c r="BZ8" s="21">
        <v>41.7514</v>
      </c>
      <c r="CA8" s="31"/>
      <c r="CB8" s="31"/>
      <c r="CC8" s="31"/>
      <c r="CD8" s="31"/>
      <c r="CE8" s="31"/>
      <c r="CF8" s="33">
        <v>325.8</v>
      </c>
      <c r="CG8" s="33">
        <f>246.7+282.7</f>
        <v>529.4</v>
      </c>
      <c r="CH8" s="33">
        <v>1.7</v>
      </c>
      <c r="CI8" s="33">
        <v>304.22</v>
      </c>
      <c r="CJ8" s="33">
        <f>14.2738+78.9446</f>
        <v>93.2184</v>
      </c>
      <c r="CK8" s="36">
        <v>635.7</v>
      </c>
      <c r="CL8" s="36">
        <v>0</v>
      </c>
      <c r="CM8" s="36">
        <v>2.3</v>
      </c>
      <c r="CN8" s="36">
        <v>441.13</v>
      </c>
      <c r="CO8" s="36">
        <v>194.0338</v>
      </c>
      <c r="CP8" s="37">
        <v>1807.7</v>
      </c>
      <c r="CQ8" s="37">
        <v>236.7</v>
      </c>
      <c r="CR8" s="37">
        <v>1.6</v>
      </c>
      <c r="CS8" s="37">
        <v>243.36</v>
      </c>
      <c r="CT8" s="37"/>
      <c r="CU8" s="38"/>
      <c r="CV8" s="38"/>
      <c r="CW8" s="38"/>
      <c r="CX8" s="38"/>
      <c r="CY8" s="38"/>
      <c r="CZ8" s="4" t="s">
        <v>421</v>
      </c>
    </row>
    <row r="9" customHeight="1" spans="6:104">
      <c r="F9" s="1" t="s">
        <v>24</v>
      </c>
      <c r="G9" s="1" t="s">
        <v>79</v>
      </c>
      <c r="H9" s="1" t="s">
        <v>201</v>
      </c>
      <c r="I9" s="1" t="s">
        <v>411</v>
      </c>
      <c r="J9" s="13">
        <v>758</v>
      </c>
      <c r="K9" s="3">
        <f t="shared" ref="K9:K16" si="9">3%*8</f>
        <v>0.24</v>
      </c>
      <c r="L9" s="3"/>
      <c r="M9" s="13">
        <v>600</v>
      </c>
      <c r="N9" s="13">
        <v>138</v>
      </c>
      <c r="O9" s="3"/>
      <c r="P9" s="3"/>
      <c r="Q9" s="3">
        <f>-10%</f>
        <v>-0.1</v>
      </c>
      <c r="R9" s="3">
        <f t="shared" ref="R9:R25" si="10">5%</f>
        <v>0.05</v>
      </c>
      <c r="S9" s="3">
        <v>0.5</v>
      </c>
      <c r="T9" s="3"/>
      <c r="U9" s="3">
        <v>-0.07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>
        <f>60%</f>
        <v>0.6</v>
      </c>
      <c r="AG9" s="3"/>
      <c r="AH9" s="3">
        <f t="shared" ref="AH9:AH25" si="11">MAX(Y9:AD9)</f>
        <v>0</v>
      </c>
      <c r="AI9" s="3">
        <f>20%</f>
        <v>0.2</v>
      </c>
      <c r="AJ9" s="3"/>
      <c r="AK9" s="3"/>
      <c r="AL9" s="17">
        <v>60</v>
      </c>
      <c r="AM9" s="18">
        <f>47.2+122.1+17.6*16</f>
        <v>450.9</v>
      </c>
      <c r="AN9" s="18">
        <f>23.6+82.2+11*16</f>
        <v>281.8</v>
      </c>
      <c r="AO9" s="18">
        <v>4.7</v>
      </c>
      <c r="AP9" s="18">
        <f>13.33*16</f>
        <v>213.28</v>
      </c>
      <c r="AQ9" s="18">
        <f>4.601+18.618+2.8676*16</f>
        <v>69.1006</v>
      </c>
      <c r="AR9" s="20">
        <f>47.2+122.1+17.6*8</f>
        <v>310.1</v>
      </c>
      <c r="AS9" s="20">
        <f>23.6+82.2+11*8</f>
        <v>193.8</v>
      </c>
      <c r="AT9" s="20">
        <v>3.5</v>
      </c>
      <c r="AU9" s="20">
        <f>13.33*8</f>
        <v>106.64</v>
      </c>
      <c r="AV9" s="20">
        <f>4.601+18.618+2.8676*8</f>
        <v>46.1598</v>
      </c>
      <c r="AW9" s="23">
        <f>448.7+394.4</f>
        <v>843.1</v>
      </c>
      <c r="AX9" s="23">
        <f>394.4+217.6</f>
        <v>612</v>
      </c>
      <c r="AY9" s="23">
        <v>3.1</v>
      </c>
      <c r="AZ9" s="23">
        <f>190.13+152.14</f>
        <v>342.27</v>
      </c>
      <c r="BA9" s="23">
        <f>40.7028+32.5708</f>
        <v>73.2736</v>
      </c>
      <c r="BB9" s="24"/>
      <c r="BC9" s="24"/>
      <c r="BD9" s="24"/>
      <c r="BE9" s="24"/>
      <c r="BF9" s="24"/>
      <c r="BG9" s="26">
        <v>284</v>
      </c>
      <c r="BH9" s="26">
        <v>190.4</v>
      </c>
      <c r="BI9" s="26">
        <v>1.6</v>
      </c>
      <c r="BJ9" s="26">
        <v>121.66</v>
      </c>
      <c r="BK9" s="26">
        <v>26.0438</v>
      </c>
      <c r="BL9" s="27">
        <v>133.9</v>
      </c>
      <c r="BM9" s="27">
        <v>133.9</v>
      </c>
      <c r="BN9" s="27">
        <v>1</v>
      </c>
      <c r="BO9" s="27">
        <v>121.66</v>
      </c>
      <c r="BP9" s="27">
        <v>26.0438</v>
      </c>
      <c r="BQ9" s="29">
        <v>62.4</v>
      </c>
      <c r="BR9" s="29">
        <v>62.4</v>
      </c>
      <c r="BS9" s="29">
        <v>1.2</v>
      </c>
      <c r="BT9" s="29">
        <v>56.68</v>
      </c>
      <c r="BU9" s="29">
        <v>12.1338</v>
      </c>
      <c r="BV9" s="21">
        <f>150.7+211+241</f>
        <v>602.7</v>
      </c>
      <c r="BW9" s="21">
        <f>111.1+155.5+177.7</f>
        <v>444.3</v>
      </c>
      <c r="BX9" s="21">
        <v>1.6</v>
      </c>
      <c r="BY9" s="21">
        <f>124.64+174.51+199.44</f>
        <v>498.59</v>
      </c>
      <c r="BZ9" s="21">
        <f>31.8004+44.512+50.8678</f>
        <v>127.1802</v>
      </c>
      <c r="CA9" s="31">
        <f>150.7+211*2+241</f>
        <v>813.7</v>
      </c>
      <c r="CB9" s="31">
        <f>111.1+155.5*2+177.7</f>
        <v>599.8</v>
      </c>
      <c r="CC9" s="31">
        <v>1.9</v>
      </c>
      <c r="CD9" s="31">
        <f>124.64+174.51*2+199.44</f>
        <v>673.1</v>
      </c>
      <c r="CE9" s="31">
        <f>31.8004+44.512*2+50.8678</f>
        <v>171.6922</v>
      </c>
      <c r="CF9" s="33">
        <v>376.4</v>
      </c>
      <c r="CG9" s="33">
        <f>249.3+279</f>
        <v>528.3</v>
      </c>
      <c r="CH9" s="33">
        <v>2.3</v>
      </c>
      <c r="CI9" s="33">
        <v>320.01</v>
      </c>
      <c r="CJ9" s="33">
        <f>14.2738+35.3314</f>
        <v>49.6052</v>
      </c>
      <c r="CK9" s="36">
        <v>647.9</v>
      </c>
      <c r="CL9" s="36">
        <v>0</v>
      </c>
      <c r="CM9" s="36">
        <v>1.8</v>
      </c>
      <c r="CN9" s="36">
        <v>389.46</v>
      </c>
      <c r="CO9" s="36">
        <v>182.97</v>
      </c>
      <c r="CP9" s="37">
        <v>1670.7</v>
      </c>
      <c r="CQ9" s="37">
        <v>1097.1</v>
      </c>
      <c r="CR9" s="37">
        <v>1.9</v>
      </c>
      <c r="CS9" s="37">
        <v>215.03</v>
      </c>
      <c r="CT9" s="37"/>
      <c r="CU9" s="38"/>
      <c r="CV9" s="38"/>
      <c r="CW9" s="38"/>
      <c r="CX9" s="38"/>
      <c r="CY9" s="38"/>
      <c r="CZ9" s="4" t="s">
        <v>422</v>
      </c>
    </row>
    <row r="10" customHeight="1" spans="6:104">
      <c r="F10" s="5" t="s">
        <v>85</v>
      </c>
      <c r="G10" s="1" t="s">
        <v>79</v>
      </c>
      <c r="H10" s="1" t="s">
        <v>207</v>
      </c>
      <c r="I10" s="1" t="s">
        <v>413</v>
      </c>
      <c r="J10" s="13">
        <f>653+75</f>
        <v>728</v>
      </c>
      <c r="K10" s="3">
        <f t="shared" si="9"/>
        <v>0.24</v>
      </c>
      <c r="L10" s="3"/>
      <c r="M10" s="13"/>
      <c r="N10" s="13">
        <f>119+18</f>
        <v>137</v>
      </c>
      <c r="O10" s="3"/>
      <c r="P10" s="3"/>
      <c r="Q10" s="3">
        <f>-10%</f>
        <v>-0.1</v>
      </c>
      <c r="R10" s="3">
        <f t="shared" si="10"/>
        <v>0.05</v>
      </c>
      <c r="S10" s="3">
        <v>0.5</v>
      </c>
      <c r="T10" s="3"/>
      <c r="U10" s="3">
        <v>-0.09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>
        <f t="shared" si="11"/>
        <v>0</v>
      </c>
      <c r="AI10" s="3">
        <v>0.8</v>
      </c>
      <c r="AJ10" s="3"/>
      <c r="AK10" s="3"/>
      <c r="AL10" s="17">
        <v>40</v>
      </c>
      <c r="AM10" s="18"/>
      <c r="AN10" s="18"/>
      <c r="AO10" s="18"/>
      <c r="AP10" s="18"/>
      <c r="AQ10" s="18"/>
      <c r="AW10" s="23">
        <f>37.1+56.4+99.5+210.9+335.7</f>
        <v>739.6</v>
      </c>
      <c r="AX10" s="23">
        <f>12.1+32.9+53.7+107.1+205.6</f>
        <v>411.4</v>
      </c>
      <c r="AY10" s="23">
        <v>4.2</v>
      </c>
      <c r="AZ10" s="23">
        <f>11.48+31.28+51.13+101.98+195.75</f>
        <v>391.62</v>
      </c>
      <c r="BA10" s="23">
        <f>2.461+6.6982+10.9568+21.828+41.9012</f>
        <v>83.8452</v>
      </c>
      <c r="BB10" s="24"/>
      <c r="BC10" s="24"/>
      <c r="BD10" s="24"/>
      <c r="BE10" s="24"/>
      <c r="BF10" s="24"/>
      <c r="BG10" s="26"/>
      <c r="BH10" s="26"/>
      <c r="BI10" s="26"/>
      <c r="BJ10" s="26"/>
      <c r="BK10" s="26"/>
      <c r="BL10" s="27">
        <v>71.8</v>
      </c>
      <c r="BM10" s="27">
        <v>71.8</v>
      </c>
      <c r="BN10" s="27">
        <v>0.4</v>
      </c>
      <c r="BO10" s="27">
        <v>60.03</v>
      </c>
      <c r="BP10" s="27">
        <v>12.8614</v>
      </c>
      <c r="BQ10" s="29">
        <v>77.1</v>
      </c>
      <c r="BR10" s="29">
        <f>77.1</f>
        <v>77.1</v>
      </c>
      <c r="BS10" s="29">
        <v>1.1</v>
      </c>
      <c r="BT10" s="29">
        <f>21.66+25.83</f>
        <v>47.49</v>
      </c>
      <c r="BU10" s="29">
        <f>4.6438+11.0638</f>
        <v>15.7076</v>
      </c>
      <c r="BV10" s="21">
        <v>534.3</v>
      </c>
      <c r="BW10" s="21">
        <f>450.4</f>
        <v>450.4</v>
      </c>
      <c r="BX10" s="21">
        <v>1.9</v>
      </c>
      <c r="BY10" s="21">
        <f>200.76+225.42</f>
        <v>426.18</v>
      </c>
      <c r="BZ10" s="21">
        <f>54.356+60.2196</f>
        <v>114.5756</v>
      </c>
      <c r="CA10" s="31">
        <v>789.5</v>
      </c>
      <c r="CB10" s="31">
        <f>664.4</f>
        <v>664.4</v>
      </c>
      <c r="CC10" s="31">
        <v>2.6</v>
      </c>
      <c r="CD10" s="31">
        <f>200.76+428.48</f>
        <v>629.24</v>
      </c>
      <c r="CE10" s="31">
        <f>54.356+115.1106</f>
        <v>169.4666</v>
      </c>
      <c r="CF10" s="33">
        <v>288.3</v>
      </c>
      <c r="CG10" s="33">
        <f>238+246.8</f>
        <v>484.8</v>
      </c>
      <c r="CH10" s="33">
        <v>1.7</v>
      </c>
      <c r="CI10" s="33">
        <v>254.76</v>
      </c>
      <c r="CJ10" s="33">
        <f>14.2738+67.196</f>
        <v>81.4698</v>
      </c>
      <c r="CK10" s="36">
        <v>637.8</v>
      </c>
      <c r="CL10" s="36">
        <v>0</v>
      </c>
      <c r="CM10" s="36">
        <v>1.9</v>
      </c>
      <c r="CN10" s="36">
        <v>407.86</v>
      </c>
      <c r="CO10" s="36">
        <v>186.9076</v>
      </c>
      <c r="CP10" s="37">
        <v>1694.1</v>
      </c>
      <c r="CQ10" s="37">
        <v>1096.6</v>
      </c>
      <c r="CR10" s="37">
        <v>1.4</v>
      </c>
      <c r="CS10" s="37">
        <v>173.36</v>
      </c>
      <c r="CT10" s="37"/>
      <c r="CU10" s="38"/>
      <c r="CV10" s="38"/>
      <c r="CW10" s="38"/>
      <c r="CX10" s="38"/>
      <c r="CY10" s="38"/>
      <c r="CZ10" s="4" t="s">
        <v>423</v>
      </c>
    </row>
    <row r="11" customHeight="1" spans="6:104">
      <c r="F11" s="1" t="s">
        <v>88</v>
      </c>
      <c r="G11" s="1" t="s">
        <v>79</v>
      </c>
      <c r="H11" s="1" t="s">
        <v>212</v>
      </c>
      <c r="I11" s="1" t="s">
        <v>420</v>
      </c>
      <c r="J11" s="13">
        <f>660+75</f>
        <v>735</v>
      </c>
      <c r="K11" s="3">
        <f t="shared" si="9"/>
        <v>0.24</v>
      </c>
      <c r="L11" s="3"/>
      <c r="M11" s="13"/>
      <c r="N11" s="13">
        <f>116+18</f>
        <v>134</v>
      </c>
      <c r="O11" s="3"/>
      <c r="P11" s="3"/>
      <c r="Q11" s="3">
        <f>-4%</f>
        <v>-0.04</v>
      </c>
      <c r="R11" s="3">
        <f t="shared" si="10"/>
        <v>0.05</v>
      </c>
      <c r="S11" s="3">
        <v>0.5</v>
      </c>
      <c r="T11" s="3"/>
      <c r="U11" s="3">
        <v>-0.03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>
        <f t="shared" si="11"/>
        <v>0</v>
      </c>
      <c r="AI11" s="3"/>
      <c r="AJ11" s="3">
        <v>0.6</v>
      </c>
      <c r="AK11" s="3">
        <v>0.6</v>
      </c>
      <c r="AL11" s="17">
        <v>60</v>
      </c>
      <c r="AM11" s="18">
        <f>63.6+79.2+126.1+317.4</f>
        <v>586.3</v>
      </c>
      <c r="AN11" s="18">
        <f>31.8+65.5+104.3+249.3</f>
        <v>450.9</v>
      </c>
      <c r="AO11" s="18">
        <v>4.5</v>
      </c>
      <c r="AP11" s="18">
        <v>0</v>
      </c>
      <c r="AQ11" s="18">
        <f>6.4842+13.3536+21.2502+50.825</f>
        <v>91.913</v>
      </c>
      <c r="AR11" s="20">
        <f>63.6+79.2+160.8+404.8</f>
        <v>708.4</v>
      </c>
      <c r="AS11" s="20">
        <f>31.8+65.5+61.4+156.6</f>
        <v>315.3</v>
      </c>
      <c r="AT11" s="20">
        <v>3.7</v>
      </c>
      <c r="AU11" s="20">
        <f>44.35+149.08</f>
        <v>193.43</v>
      </c>
      <c r="AV11" s="20">
        <f>6.4842+13.3536+12.519+35.5026</f>
        <v>67.8594</v>
      </c>
      <c r="AW11" s="23"/>
      <c r="AX11" s="23"/>
      <c r="AY11" s="23"/>
      <c r="AZ11" s="23"/>
      <c r="BA11" s="23"/>
      <c r="BB11" s="24"/>
      <c r="BC11" s="24"/>
      <c r="BD11" s="24"/>
      <c r="BE11" s="24"/>
      <c r="BF11" s="24"/>
      <c r="BG11" s="26"/>
      <c r="BH11" s="26"/>
      <c r="BI11" s="26"/>
      <c r="BJ11" s="26"/>
      <c r="BK11" s="26"/>
      <c r="BL11" s="27">
        <v>197.8</v>
      </c>
      <c r="BM11" s="27">
        <v>197.8</v>
      </c>
      <c r="BN11" s="27">
        <v>0.8</v>
      </c>
      <c r="BO11" s="27">
        <v>0</v>
      </c>
      <c r="BP11" s="27">
        <v>37.45</v>
      </c>
      <c r="BQ11" s="29">
        <v>77.8</v>
      </c>
      <c r="BR11" s="29">
        <v>77.8</v>
      </c>
      <c r="BS11" s="29">
        <v>0</v>
      </c>
      <c r="BT11" s="29">
        <v>59.18</v>
      </c>
      <c r="BU11" s="29">
        <v>15.8574</v>
      </c>
      <c r="BV11" s="21">
        <f>152.3+606</f>
        <v>758.3</v>
      </c>
      <c r="BW11" s="21">
        <f>152.3+494</f>
        <v>646.3</v>
      </c>
      <c r="BX11" s="21">
        <v>2.1</v>
      </c>
      <c r="BY11" s="21">
        <v>476.12</v>
      </c>
      <c r="BZ11" s="21">
        <f>31.03+133.0438</f>
        <v>164.0738</v>
      </c>
      <c r="CA11" s="31">
        <v>606</v>
      </c>
      <c r="CB11" s="31">
        <f>494</f>
        <v>494</v>
      </c>
      <c r="CC11" s="31">
        <v>0</v>
      </c>
      <c r="CD11" s="31">
        <v>476.12</v>
      </c>
      <c r="CE11" s="31">
        <f>133.0438</f>
        <v>133.0438</v>
      </c>
      <c r="CF11" s="33">
        <v>359.2</v>
      </c>
      <c r="CG11" s="33">
        <f>238+312.7</f>
        <v>550.7</v>
      </c>
      <c r="CH11" s="33">
        <v>1.6</v>
      </c>
      <c r="CI11" s="33">
        <v>319.92</v>
      </c>
      <c r="CJ11" s="33">
        <f>14.2738+82.6896</f>
        <v>96.9634</v>
      </c>
      <c r="CK11" s="36">
        <v>636</v>
      </c>
      <c r="CL11" s="36">
        <v>0</v>
      </c>
      <c r="CM11" s="36">
        <v>1.8</v>
      </c>
      <c r="CN11" s="36">
        <v>406.13</v>
      </c>
      <c r="CO11" s="36">
        <v>186.5438</v>
      </c>
      <c r="CP11" s="37">
        <v>1548.8</v>
      </c>
      <c r="CQ11" s="37">
        <v>1004.9</v>
      </c>
      <c r="CR11" s="37">
        <v>1.6</v>
      </c>
      <c r="CS11" s="37">
        <v>180.03</v>
      </c>
      <c r="CT11" s="37"/>
      <c r="CU11" s="38"/>
      <c r="CV11" s="38"/>
      <c r="CW11" s="38"/>
      <c r="CX11" s="38"/>
      <c r="CY11" s="38"/>
      <c r="CZ11" s="4" t="s">
        <v>424</v>
      </c>
    </row>
    <row r="12" customHeight="1" spans="6:104">
      <c r="F12" s="1" t="s">
        <v>89</v>
      </c>
      <c r="G12" s="1" t="s">
        <v>79</v>
      </c>
      <c r="H12" s="1" t="s">
        <v>212</v>
      </c>
      <c r="I12" s="1" t="s">
        <v>420</v>
      </c>
      <c r="J12" s="13">
        <f>660+75</f>
        <v>735</v>
      </c>
      <c r="K12" s="3">
        <f t="shared" si="9"/>
        <v>0.24</v>
      </c>
      <c r="L12" s="3"/>
      <c r="M12" s="13"/>
      <c r="N12" s="13">
        <f>116+18</f>
        <v>134</v>
      </c>
      <c r="O12" s="3"/>
      <c r="P12" s="3"/>
      <c r="Q12" s="3">
        <f>-4%</f>
        <v>-0.04</v>
      </c>
      <c r="R12" s="3">
        <f t="shared" si="10"/>
        <v>0.05</v>
      </c>
      <c r="S12" s="3">
        <v>0.5</v>
      </c>
      <c r="T12" s="3"/>
      <c r="U12" s="3">
        <v>-0.03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>
        <f t="shared" si="11"/>
        <v>0</v>
      </c>
      <c r="AI12" s="3"/>
      <c r="AJ12" s="3">
        <v>0.6</v>
      </c>
      <c r="AK12" s="3">
        <v>0.6</v>
      </c>
      <c r="AL12" s="17">
        <v>40</v>
      </c>
      <c r="AM12" s="18">
        <f>63.6+79.2+126.1+317.4</f>
        <v>586.3</v>
      </c>
      <c r="AN12" s="18">
        <f>31.8+65.5+104.3+249.3</f>
        <v>450.9</v>
      </c>
      <c r="AO12" s="18">
        <v>4.5</v>
      </c>
      <c r="AP12" s="18">
        <v>0</v>
      </c>
      <c r="AQ12" s="18">
        <f>6.4842+13.3536+21.2502+50.825</f>
        <v>91.913</v>
      </c>
      <c r="AR12" s="20">
        <f>63.6+79.2+160.8+501.3</f>
        <v>804.9</v>
      </c>
      <c r="AS12" s="20">
        <f>31.8+65.5+61.4+213.3</f>
        <v>372</v>
      </c>
      <c r="AT12" s="20">
        <v>4.5</v>
      </c>
      <c r="AU12" s="20">
        <f>44.35+186.29</f>
        <v>230.64</v>
      </c>
      <c r="AV12" s="20">
        <f>6.4842+13.3536+12.519+43.4634</f>
        <v>75.8202</v>
      </c>
      <c r="AW12" s="23"/>
      <c r="AX12" s="23"/>
      <c r="AY12" s="23"/>
      <c r="AZ12" s="23"/>
      <c r="BA12" s="23"/>
      <c r="BB12" s="24"/>
      <c r="BC12" s="24"/>
      <c r="BD12" s="24"/>
      <c r="BE12" s="24"/>
      <c r="BF12" s="24"/>
      <c r="BG12" s="26"/>
      <c r="BH12" s="26"/>
      <c r="BI12" s="26"/>
      <c r="BJ12" s="26"/>
      <c r="BK12" s="26"/>
      <c r="BL12" s="27">
        <v>197.8</v>
      </c>
      <c r="BM12" s="27">
        <v>197.8</v>
      </c>
      <c r="BN12" s="27">
        <v>0.8</v>
      </c>
      <c r="BO12" s="27">
        <v>0</v>
      </c>
      <c r="BP12" s="27">
        <v>37.45</v>
      </c>
      <c r="BQ12" s="29">
        <v>85.5</v>
      </c>
      <c r="BR12" s="29">
        <v>77.8</v>
      </c>
      <c r="BS12" s="29">
        <v>0</v>
      </c>
      <c r="BT12" s="29">
        <v>59.18</v>
      </c>
      <c r="BU12" s="29">
        <v>15.8574</v>
      </c>
      <c r="BV12" s="21">
        <f>152.3+666.6</f>
        <v>818.9</v>
      </c>
      <c r="BW12" s="21">
        <f>152.3+494</f>
        <v>646.3</v>
      </c>
      <c r="BX12" s="21">
        <v>2.1</v>
      </c>
      <c r="BY12" s="21">
        <v>476.12</v>
      </c>
      <c r="BZ12" s="21">
        <f>31.03+133.0438</f>
        <v>164.0738</v>
      </c>
      <c r="CA12" s="31">
        <v>666.6</v>
      </c>
      <c r="CB12" s="31">
        <f>494</f>
        <v>494</v>
      </c>
      <c r="CC12" s="31">
        <v>0</v>
      </c>
      <c r="CD12" s="31">
        <v>476.12</v>
      </c>
      <c r="CE12" s="31">
        <f>133.0438</f>
        <v>133.0438</v>
      </c>
      <c r="CF12" s="33">
        <v>359.2</v>
      </c>
      <c r="CG12" s="33">
        <f>238+312.7</f>
        <v>550.7</v>
      </c>
      <c r="CH12" s="33">
        <v>1.6</v>
      </c>
      <c r="CI12" s="33">
        <v>319.92</v>
      </c>
      <c r="CJ12" s="33">
        <f>14.2738+82.6896</f>
        <v>96.9634</v>
      </c>
      <c r="CK12" s="36">
        <v>636</v>
      </c>
      <c r="CL12" s="36">
        <v>0</v>
      </c>
      <c r="CM12" s="36">
        <v>1.8</v>
      </c>
      <c r="CN12" s="36">
        <v>406.13</v>
      </c>
      <c r="CO12" s="36">
        <v>186.5438</v>
      </c>
      <c r="CP12" s="37">
        <v>1694</v>
      </c>
      <c r="CQ12" s="37">
        <v>1096.5</v>
      </c>
      <c r="CR12" s="37">
        <v>1.3</v>
      </c>
      <c r="CS12" s="37">
        <v>190.66</v>
      </c>
      <c r="CT12" s="37"/>
      <c r="CU12" s="38"/>
      <c r="CV12" s="38"/>
      <c r="CW12" s="38"/>
      <c r="CX12" s="38"/>
      <c r="CY12" s="38"/>
      <c r="CZ12" s="4" t="s">
        <v>424</v>
      </c>
    </row>
    <row r="13" customHeight="1" spans="6:104">
      <c r="F13" s="1" t="s">
        <v>90</v>
      </c>
      <c r="G13" s="1" t="s">
        <v>79</v>
      </c>
      <c r="H13" s="1" t="s">
        <v>201</v>
      </c>
      <c r="I13" s="1" t="s">
        <v>415</v>
      </c>
      <c r="J13" s="13">
        <v>659</v>
      </c>
      <c r="K13" s="3">
        <f t="shared" si="9"/>
        <v>0.24</v>
      </c>
      <c r="L13" s="3"/>
      <c r="M13" s="13"/>
      <c r="N13" s="13">
        <f>118+18</f>
        <v>136</v>
      </c>
      <c r="O13" s="3"/>
      <c r="P13" s="3"/>
      <c r="Q13" s="3">
        <f>-7%</f>
        <v>-0.07</v>
      </c>
      <c r="R13" s="3">
        <f t="shared" si="10"/>
        <v>0.05</v>
      </c>
      <c r="S13" s="3">
        <v>0.5</v>
      </c>
      <c r="T13" s="3"/>
      <c r="U13" s="3">
        <v>-0.06</v>
      </c>
      <c r="V13" s="3"/>
      <c r="W13" s="3"/>
      <c r="X13" s="3">
        <v>0.12</v>
      </c>
      <c r="Y13" s="3"/>
      <c r="Z13" s="3"/>
      <c r="AA13" s="3"/>
      <c r="AB13" s="3"/>
      <c r="AC13" s="3"/>
      <c r="AD13" s="3"/>
      <c r="AE13" s="3"/>
      <c r="AF13" s="3"/>
      <c r="AG13" s="3"/>
      <c r="AH13" s="3">
        <f t="shared" si="11"/>
        <v>0</v>
      </c>
      <c r="AI13" s="3"/>
      <c r="AJ13" s="3">
        <f>64%</f>
        <v>0.64</v>
      </c>
      <c r="AK13" s="3">
        <f>64%+10%</f>
        <v>0.74</v>
      </c>
      <c r="AL13" s="17">
        <v>60</v>
      </c>
      <c r="AM13" s="18">
        <f>31.2+33.7+113.6</f>
        <v>178.5</v>
      </c>
      <c r="AN13" s="18">
        <f>15.6+28.7+89.6</f>
        <v>133.9</v>
      </c>
      <c r="AO13" s="18">
        <v>1.6</v>
      </c>
      <c r="AP13" s="18">
        <v>0</v>
      </c>
      <c r="AQ13" s="18">
        <f>3.3384+6.1418+19.1744</f>
        <v>28.6546</v>
      </c>
      <c r="AR13" s="20">
        <f>328.6</f>
        <v>328.6</v>
      </c>
      <c r="AS13" s="20">
        <f>142.4</f>
        <v>142.4</v>
      </c>
      <c r="AT13" s="20">
        <v>1.2</v>
      </c>
      <c r="AU13" s="20">
        <v>127.5</v>
      </c>
      <c r="AV13" s="20">
        <v>30.4736</v>
      </c>
      <c r="AW13" s="23"/>
      <c r="AX13" s="23"/>
      <c r="AY13" s="23"/>
      <c r="AZ13" s="23"/>
      <c r="BA13" s="23"/>
      <c r="BB13" s="24"/>
      <c r="BC13" s="24"/>
      <c r="BD13" s="24"/>
      <c r="BE13" s="24"/>
      <c r="BF13" s="24"/>
      <c r="BG13" s="26">
        <v>180.2</v>
      </c>
      <c r="BH13" s="26">
        <v>161.7</v>
      </c>
      <c r="BI13" s="26">
        <v>999</v>
      </c>
      <c r="BJ13" s="26">
        <v>61.63</v>
      </c>
      <c r="BK13" s="26">
        <v>13.2038</v>
      </c>
      <c r="BL13" s="27">
        <v>61.7</v>
      </c>
      <c r="BM13" s="27">
        <v>61.7</v>
      </c>
      <c r="BN13" s="27">
        <v>0.8</v>
      </c>
      <c r="BO13" s="27">
        <v>61.63</v>
      </c>
      <c r="BP13" s="27">
        <v>13.2038</v>
      </c>
      <c r="BQ13" s="29">
        <v>93.4</v>
      </c>
      <c r="BR13" s="29">
        <f>93.4*1.64</f>
        <v>153.176</v>
      </c>
      <c r="BS13" s="29">
        <v>0.8</v>
      </c>
      <c r="BT13" s="29">
        <v>93.3</v>
      </c>
      <c r="BU13" s="29">
        <v>19.9876</v>
      </c>
      <c r="BV13" s="21">
        <v>583</v>
      </c>
      <c r="BW13" s="21">
        <f>481.8</f>
        <v>481.8</v>
      </c>
      <c r="BX13" s="21">
        <v>1.8</v>
      </c>
      <c r="BY13" s="21">
        <v>532.37</v>
      </c>
      <c r="BZ13" s="21">
        <v>146.4188</v>
      </c>
      <c r="CA13" s="31">
        <v>583</v>
      </c>
      <c r="CB13" s="31">
        <f>481.8*1.64</f>
        <v>790.152</v>
      </c>
      <c r="CC13" s="31">
        <v>1.5</v>
      </c>
      <c r="CD13" s="31">
        <v>532.37</v>
      </c>
      <c r="CE13" s="31">
        <v>146.4188</v>
      </c>
      <c r="CF13" s="33">
        <v>335.2</v>
      </c>
      <c r="CG13" s="33">
        <f>226.7+291.4</f>
        <v>518.1</v>
      </c>
      <c r="CH13" s="33">
        <v>1.9</v>
      </c>
      <c r="CI13" s="33">
        <v>313.22</v>
      </c>
      <c r="CJ13" s="33">
        <f>14.2738+81.0846</f>
        <v>95.3584</v>
      </c>
      <c r="CK13" s="36">
        <v>542.4</v>
      </c>
      <c r="CL13" s="36">
        <v>0</v>
      </c>
      <c r="CM13" s="36">
        <v>1</v>
      </c>
      <c r="CN13" s="36">
        <v>342.83</v>
      </c>
      <c r="CO13" s="36">
        <v>172.9976</v>
      </c>
      <c r="CP13" s="37">
        <v>1512.6</v>
      </c>
      <c r="CQ13" s="37">
        <v>991.6</v>
      </c>
      <c r="CR13" s="37">
        <v>2</v>
      </c>
      <c r="CS13" s="37">
        <v>210.03</v>
      </c>
      <c r="CT13" s="37"/>
      <c r="CU13" s="38"/>
      <c r="CV13" s="38"/>
      <c r="CW13" s="38"/>
      <c r="CX13" s="38"/>
      <c r="CY13" s="38"/>
      <c r="CZ13" s="4" t="s">
        <v>425</v>
      </c>
    </row>
    <row r="14" customHeight="1" spans="6:104">
      <c r="F14" s="1" t="s">
        <v>91</v>
      </c>
      <c r="G14" s="1" t="s">
        <v>92</v>
      </c>
      <c r="H14" s="1" t="s">
        <v>212</v>
      </c>
      <c r="I14" s="1" t="s">
        <v>426</v>
      </c>
      <c r="J14" s="13">
        <v>863</v>
      </c>
      <c r="K14" s="3">
        <f t="shared" si="9"/>
        <v>0.24</v>
      </c>
      <c r="L14" s="3"/>
      <c r="M14" s="13"/>
      <c r="N14" s="13">
        <v>83</v>
      </c>
      <c r="O14" s="3"/>
      <c r="P14" s="3"/>
      <c r="Q14" s="3">
        <f>18%</f>
        <v>0.18</v>
      </c>
      <c r="R14" s="3">
        <f t="shared" si="10"/>
        <v>0.05</v>
      </c>
      <c r="S14" s="3">
        <v>0.5</v>
      </c>
      <c r="T14" s="3"/>
      <c r="U14" s="3">
        <v>0.2</v>
      </c>
      <c r="V14" s="3">
        <v>0.75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>
        <v>0.3</v>
      </c>
      <c r="AI14" s="3"/>
      <c r="AJ14" s="3"/>
      <c r="AK14" s="3"/>
      <c r="AL14" s="17">
        <f>40+10</f>
        <v>50</v>
      </c>
      <c r="AM14" s="18"/>
      <c r="AN14" s="18"/>
      <c r="AO14" s="18"/>
      <c r="AP14" s="18"/>
      <c r="AQ14" s="18"/>
      <c r="AR14" s="20"/>
      <c r="AS14" s="20"/>
      <c r="AT14" s="20"/>
      <c r="AU14" s="20"/>
      <c r="AV14" s="20"/>
      <c r="AW14" s="23"/>
      <c r="AX14" s="23"/>
      <c r="AY14" s="23"/>
      <c r="AZ14" s="23"/>
      <c r="BA14" s="23"/>
      <c r="BB14" s="24"/>
      <c r="BC14" s="24"/>
      <c r="BD14" s="24"/>
      <c r="BE14" s="24"/>
      <c r="BF14" s="24"/>
      <c r="BG14" s="26"/>
      <c r="BH14" s="26"/>
      <c r="BI14" s="26"/>
      <c r="BJ14" s="26"/>
      <c r="BK14" s="26"/>
      <c r="BL14" s="27"/>
      <c r="BM14" s="27"/>
      <c r="BN14" s="27"/>
      <c r="BO14" s="27"/>
      <c r="BP14" s="27"/>
      <c r="BQ14" s="29"/>
      <c r="BR14" s="29"/>
      <c r="BS14" s="29"/>
      <c r="BT14" s="29"/>
      <c r="BU14" s="29"/>
      <c r="BV14" s="21"/>
      <c r="BW14" s="21"/>
      <c r="BX14" s="21"/>
      <c r="BY14" s="21"/>
      <c r="BZ14" s="21"/>
      <c r="CA14" s="31"/>
      <c r="CB14" s="31"/>
      <c r="CC14" s="31"/>
      <c r="CD14" s="31"/>
      <c r="CE14" s="31"/>
      <c r="CF14" s="33"/>
      <c r="CG14" s="33"/>
      <c r="CH14" s="33"/>
      <c r="CI14" s="33"/>
      <c r="CJ14" s="33"/>
      <c r="CK14" s="36"/>
      <c r="CL14" s="36"/>
      <c r="CM14" s="36"/>
      <c r="CN14" s="36"/>
      <c r="CO14" s="36"/>
      <c r="CP14" s="37"/>
      <c r="CQ14" s="37"/>
      <c r="CR14" s="37"/>
      <c r="CS14" s="37"/>
      <c r="CT14" s="37"/>
      <c r="CU14" s="38">
        <f>320/1.909/1.5</f>
        <v>111.751353239043</v>
      </c>
      <c r="CV14" s="38"/>
      <c r="CW14" s="38">
        <v>0</v>
      </c>
      <c r="CX14" s="38"/>
      <c r="CY14" s="38">
        <v>0</v>
      </c>
      <c r="CZ14" s="4" t="s">
        <v>427</v>
      </c>
    </row>
    <row r="15" customHeight="1" spans="6:104">
      <c r="F15" s="1" t="s">
        <v>98</v>
      </c>
      <c r="G15" s="1" t="s">
        <v>92</v>
      </c>
      <c r="H15" s="1" t="s">
        <v>196</v>
      </c>
      <c r="I15" s="1" t="s">
        <v>411</v>
      </c>
      <c r="J15" s="13">
        <f>750+75</f>
        <v>825</v>
      </c>
      <c r="K15" s="3">
        <f t="shared" si="9"/>
        <v>0.24</v>
      </c>
      <c r="L15" s="3"/>
      <c r="M15" s="13"/>
      <c r="N15" s="13">
        <v>83</v>
      </c>
      <c r="O15" s="3"/>
      <c r="P15" s="3"/>
      <c r="Q15" s="3">
        <f>14%</f>
        <v>0.14</v>
      </c>
      <c r="R15" s="3">
        <f t="shared" si="10"/>
        <v>0.05</v>
      </c>
      <c r="S15" s="3">
        <v>0.5</v>
      </c>
      <c r="T15" s="3"/>
      <c r="U15" s="3">
        <v>0.5</v>
      </c>
      <c r="V15" s="3">
        <v>0.35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>
        <f t="shared" si="11"/>
        <v>0</v>
      </c>
      <c r="AI15" s="3"/>
      <c r="AJ15" s="3"/>
      <c r="AK15" s="3"/>
      <c r="AL15" s="17">
        <v>60</v>
      </c>
      <c r="AM15" s="18">
        <f>36.1+62.3+83.5+163.4+98.8+291.3</f>
        <v>735.4</v>
      </c>
      <c r="AN15" s="18">
        <f>15.3+44.3+59.5+109.7+68.7+200</f>
        <v>497.5</v>
      </c>
      <c r="AO15" s="18">
        <v>4.5</v>
      </c>
      <c r="AP15" s="18">
        <f>18.86+48.11+63.86+118.2+71.93+211.66</f>
        <v>532.62</v>
      </c>
      <c r="AQ15" s="18">
        <f>2.9746+8.6028+11.5774+21.3358+13.3536+38.9052</f>
        <v>96.7494</v>
      </c>
      <c r="AR15" s="20"/>
      <c r="AS15" s="20"/>
      <c r="AT15" s="20"/>
      <c r="AU15" s="20"/>
      <c r="AV15" s="20"/>
      <c r="AW15" s="23">
        <f>300.8+161.3</f>
        <v>462.1</v>
      </c>
      <c r="AX15" s="23">
        <f>229.2+122.9</f>
        <v>352.1</v>
      </c>
      <c r="AY15" s="23">
        <v>3.3</v>
      </c>
      <c r="AZ15" s="23">
        <f>273.4+146.56</f>
        <v>419.96</v>
      </c>
      <c r="BA15" s="23">
        <f>44.5762+23.9038</f>
        <v>68.48</v>
      </c>
      <c r="BB15" s="24"/>
      <c r="BC15" s="24"/>
      <c r="BD15" s="24"/>
      <c r="BE15" s="24"/>
      <c r="BF15" s="24"/>
      <c r="BG15" s="26">
        <v>387</v>
      </c>
      <c r="BH15" s="26">
        <v>247.5</v>
      </c>
      <c r="BI15" s="26">
        <v>1.6</v>
      </c>
      <c r="BJ15" s="26">
        <f>194.31</f>
        <v>194.31</v>
      </c>
      <c r="BK15" s="26">
        <v>26.75</v>
      </c>
      <c r="BL15" s="27">
        <v>137.5</v>
      </c>
      <c r="BM15" s="27">
        <v>137.5</v>
      </c>
      <c r="BN15" s="27">
        <v>1.2</v>
      </c>
      <c r="BO15" s="27">
        <v>124.96</v>
      </c>
      <c r="BP15" s="27">
        <v>26.75</v>
      </c>
      <c r="BQ15" s="29">
        <v>57.8</v>
      </c>
      <c r="BR15" s="29">
        <v>57.8</v>
      </c>
      <c r="BS15" s="29">
        <v>1.2</v>
      </c>
      <c r="BT15" s="29">
        <v>52.5</v>
      </c>
      <c r="BU15" s="29">
        <v>11.235</v>
      </c>
      <c r="BV15" s="21">
        <v>574.7</v>
      </c>
      <c r="BW15" s="21">
        <v>468.1</v>
      </c>
      <c r="BX15" s="21">
        <v>1.4</v>
      </c>
      <c r="BY15" s="21">
        <v>473.96</v>
      </c>
      <c r="BZ15" s="21">
        <v>132.5302</v>
      </c>
      <c r="CA15" s="31"/>
      <c r="CB15" s="31"/>
      <c r="CC15" s="31"/>
      <c r="CD15" s="31"/>
      <c r="CE15" s="31"/>
      <c r="CF15" s="33">
        <v>345.5</v>
      </c>
      <c r="CG15" s="33">
        <f>271.3+299</f>
        <v>570.3</v>
      </c>
      <c r="CH15" s="33">
        <v>2</v>
      </c>
      <c r="CI15" s="33">
        <v>292.92</v>
      </c>
      <c r="CJ15" s="33">
        <f>14.2738+76.2696</f>
        <v>90.5434</v>
      </c>
      <c r="CK15" s="36">
        <v>632.6</v>
      </c>
      <c r="CL15" s="36">
        <v>0</v>
      </c>
      <c r="CM15" s="36">
        <v>2</v>
      </c>
      <c r="CN15" s="36">
        <v>439.46</v>
      </c>
      <c r="CO15" s="36">
        <v>193.67</v>
      </c>
      <c r="CP15" s="37">
        <v>1470.6</v>
      </c>
      <c r="CQ15" s="37">
        <v>186.5</v>
      </c>
      <c r="CR15" s="37">
        <v>1.8</v>
      </c>
      <c r="CS15" s="37">
        <v>966.58</v>
      </c>
      <c r="CT15" s="37"/>
      <c r="CU15" s="38"/>
      <c r="CV15" s="38"/>
      <c r="CW15" s="38"/>
      <c r="CX15" s="38"/>
      <c r="CY15" s="38"/>
      <c r="CZ15" s="4" t="s">
        <v>428</v>
      </c>
    </row>
    <row r="16" customHeight="1" spans="6:104">
      <c r="F16" s="1" t="s">
        <v>100</v>
      </c>
      <c r="G16" s="1" t="s">
        <v>92</v>
      </c>
      <c r="H16" s="1" t="s">
        <v>201</v>
      </c>
      <c r="I16" s="1" t="s">
        <v>420</v>
      </c>
      <c r="J16" s="13">
        <f>750+75</f>
        <v>825</v>
      </c>
      <c r="K16" s="3">
        <f t="shared" si="9"/>
        <v>0.24</v>
      </c>
      <c r="L16" s="3"/>
      <c r="M16" s="13"/>
      <c r="N16" s="13">
        <v>83</v>
      </c>
      <c r="O16" s="3"/>
      <c r="P16" s="3"/>
      <c r="Q16" s="3">
        <f>16%</f>
        <v>0.16</v>
      </c>
      <c r="R16" s="3">
        <f t="shared" si="10"/>
        <v>0.05</v>
      </c>
      <c r="S16" s="3">
        <v>0.5</v>
      </c>
      <c r="T16" s="3"/>
      <c r="U16" s="3">
        <v>0.52</v>
      </c>
      <c r="V16" s="3">
        <v>1.3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>
        <f t="shared" si="11"/>
        <v>0</v>
      </c>
      <c r="AI16" s="3"/>
      <c r="AJ16" s="3"/>
      <c r="AK16" s="3"/>
      <c r="AL16" s="17">
        <v>40</v>
      </c>
      <c r="AM16" s="18">
        <f>55.1+59.7+124.8+186.3</f>
        <v>425.9</v>
      </c>
      <c r="AN16" s="18">
        <f>18+34.7+71.6+107.2</f>
        <v>231.5</v>
      </c>
      <c r="AO16" s="18">
        <v>2.5</v>
      </c>
      <c r="AP16" s="18">
        <v>64.6</v>
      </c>
      <c r="AQ16" s="18">
        <f>3.6594+7.0834+14.5948+24.2676</f>
        <v>49.6052</v>
      </c>
      <c r="AR16" s="20"/>
      <c r="AS16" s="20"/>
      <c r="AT16" s="20"/>
      <c r="AU16" s="20"/>
      <c r="AV16" s="20"/>
      <c r="AW16" s="23"/>
      <c r="AX16" s="23"/>
      <c r="AY16" s="23"/>
      <c r="AZ16" s="23"/>
      <c r="BA16" s="23"/>
      <c r="BB16" s="24"/>
      <c r="BC16" s="24"/>
      <c r="BD16" s="24"/>
      <c r="BE16" s="24"/>
      <c r="BF16" s="24"/>
      <c r="BG16" s="26"/>
      <c r="BH16" s="26"/>
      <c r="BI16" s="26"/>
      <c r="BJ16" s="26"/>
      <c r="BK16" s="26"/>
      <c r="BL16" s="27">
        <v>45.5</v>
      </c>
      <c r="BM16" s="27">
        <v>45.5</v>
      </c>
      <c r="BN16" s="27">
        <v>0.3</v>
      </c>
      <c r="BO16" s="27">
        <v>43.33</v>
      </c>
      <c r="BP16" s="27">
        <v>82.711</v>
      </c>
      <c r="BQ16" s="29">
        <v>42.1</v>
      </c>
      <c r="BR16" s="29">
        <v>42.1</v>
      </c>
      <c r="BS16" s="29">
        <v>0.35</v>
      </c>
      <c r="BT16" s="29">
        <f>70.03</f>
        <v>70.03</v>
      </c>
      <c r="BU16" s="29">
        <v>8.5814</v>
      </c>
      <c r="BV16" s="21">
        <f>166.9*2</f>
        <v>333.8</v>
      </c>
      <c r="BW16" s="21">
        <f>134.2*2</f>
        <v>268.4</v>
      </c>
      <c r="BX16" s="21">
        <v>0.8</v>
      </c>
      <c r="BY16" s="21">
        <f>143.34*2</f>
        <v>286.68</v>
      </c>
      <c r="BZ16" s="21">
        <v>40.7028</v>
      </c>
      <c r="CA16" s="31"/>
      <c r="CB16" s="31"/>
      <c r="CC16" s="31"/>
      <c r="CD16" s="31"/>
      <c r="CE16" s="31"/>
      <c r="CF16" s="33">
        <v>359.3</v>
      </c>
      <c r="CG16" s="33">
        <v>312.8</v>
      </c>
      <c r="CH16" s="33">
        <v>1.7</v>
      </c>
      <c r="CI16" s="33">
        <v>320.01</v>
      </c>
      <c r="CJ16" s="33">
        <f>82.711</f>
        <v>82.711</v>
      </c>
      <c r="CK16" s="36">
        <v>571.3</v>
      </c>
      <c r="CL16" s="36">
        <v>0</v>
      </c>
      <c r="CM16" s="36">
        <v>1.2</v>
      </c>
      <c r="CN16" s="36">
        <v>344.5</v>
      </c>
      <c r="CO16" s="36">
        <v>173.3614</v>
      </c>
      <c r="CP16" s="37">
        <v>1478.8</v>
      </c>
      <c r="CQ16" s="37">
        <v>133.1</v>
      </c>
      <c r="CR16" s="37">
        <v>1</v>
      </c>
      <c r="CS16" s="37">
        <v>895.7</v>
      </c>
      <c r="CT16" s="37"/>
      <c r="CU16" s="38"/>
      <c r="CV16" s="38"/>
      <c r="CW16" s="38"/>
      <c r="CX16" s="38"/>
      <c r="CY16" s="38"/>
      <c r="CZ16" s="4" t="s">
        <v>429</v>
      </c>
    </row>
    <row r="17" customHeight="1" spans="6:104">
      <c r="F17" s="1" t="s">
        <v>102</v>
      </c>
      <c r="G17" s="1" t="s">
        <v>92</v>
      </c>
      <c r="H17" s="1" t="s">
        <v>196</v>
      </c>
      <c r="I17" s="1" t="s">
        <v>426</v>
      </c>
      <c r="J17" s="13">
        <f>683+75</f>
        <v>758</v>
      </c>
      <c r="K17" s="3">
        <f t="shared" ref="K17:K25" si="12">3%*8</f>
        <v>0.24</v>
      </c>
      <c r="L17" s="3"/>
      <c r="M17" s="13"/>
      <c r="N17" s="13">
        <v>86</v>
      </c>
      <c r="O17" s="3"/>
      <c r="P17" s="3"/>
      <c r="Q17" s="3">
        <f>18%</f>
        <v>0.18</v>
      </c>
      <c r="R17" s="3">
        <f t="shared" si="10"/>
        <v>0.05</v>
      </c>
      <c r="S17" s="3">
        <v>0.5</v>
      </c>
      <c r="T17" s="3"/>
      <c r="U17" s="3">
        <v>0.18</v>
      </c>
      <c r="V17" s="3">
        <f>4%*30</f>
        <v>1.2</v>
      </c>
      <c r="W17" s="3">
        <v>0.36</v>
      </c>
      <c r="X17" s="3"/>
      <c r="Y17" s="3"/>
      <c r="Z17" s="3"/>
      <c r="AA17" s="3"/>
      <c r="AB17" s="3"/>
      <c r="AC17" s="3"/>
      <c r="AD17" s="3">
        <v>0.4</v>
      </c>
      <c r="AE17" s="3"/>
      <c r="AF17" s="3"/>
      <c r="AG17" s="3"/>
      <c r="AH17" s="3">
        <f t="shared" si="11"/>
        <v>0.4</v>
      </c>
      <c r="AI17" s="3"/>
      <c r="AJ17" s="3"/>
      <c r="AK17" s="3"/>
      <c r="AL17" s="17">
        <v>60</v>
      </c>
      <c r="AM17" s="18"/>
      <c r="AN17" s="18"/>
      <c r="AO17" s="18"/>
      <c r="AP17" s="18"/>
      <c r="AQ17" s="18"/>
      <c r="AR17" s="20"/>
      <c r="AS17" s="20"/>
      <c r="AT17" s="20"/>
      <c r="AU17" s="20"/>
      <c r="AV17" s="20"/>
      <c r="AW17" s="23"/>
      <c r="AX17" s="23"/>
      <c r="AY17" s="23"/>
      <c r="AZ17" s="23"/>
      <c r="BA17" s="23"/>
      <c r="BB17" s="24"/>
      <c r="BC17" s="24"/>
      <c r="BD17" s="24"/>
      <c r="BE17" s="24"/>
      <c r="BF17" s="24"/>
      <c r="BG17" s="26"/>
      <c r="BH17" s="26"/>
      <c r="BI17" s="26"/>
      <c r="BJ17" s="26"/>
      <c r="BK17" s="26"/>
      <c r="BL17" s="27">
        <v>130</v>
      </c>
      <c r="BM17" s="27">
        <v>130</v>
      </c>
      <c r="BN17" s="27">
        <v>1.2</v>
      </c>
      <c r="BO17" s="27">
        <v>129.96</v>
      </c>
      <c r="BP17" s="27">
        <v>27.82</v>
      </c>
      <c r="BQ17" s="29">
        <f>271.7+235</f>
        <v>506.7</v>
      </c>
      <c r="BR17" s="29">
        <f>271.7+235</f>
        <v>506.7</v>
      </c>
      <c r="BS17" s="29">
        <v>4.6</v>
      </c>
      <c r="BT17" s="29">
        <f>271.66+235</f>
        <v>506.66</v>
      </c>
      <c r="BU17" s="29">
        <f>29.0826+50.29</f>
        <v>79.3726</v>
      </c>
      <c r="BV17" s="21">
        <f>93.5*5+612.9</f>
        <v>1080.4</v>
      </c>
      <c r="BW17" s="21">
        <f>54.8*5+396.8</f>
        <v>670.8</v>
      </c>
      <c r="BX17" s="21">
        <v>6.75</v>
      </c>
      <c r="BY17" s="21">
        <f>80.625*5+532.55</f>
        <v>935.675</v>
      </c>
      <c r="BZ17" s="21">
        <f>98.2046+14.4343*5</f>
        <v>170.3761</v>
      </c>
      <c r="CA17" s="31"/>
      <c r="CB17" s="31"/>
      <c r="CC17" s="31"/>
      <c r="CD17" s="31"/>
      <c r="CE17" s="31"/>
      <c r="CF17" s="33">
        <v>400.5</v>
      </c>
      <c r="CG17" s="33">
        <f>246.7+352</f>
        <v>598.7</v>
      </c>
      <c r="CH17" s="33">
        <v>2.7</v>
      </c>
      <c r="CI17" s="33">
        <v>376.22</v>
      </c>
      <c r="CJ17" s="33">
        <f>200+14.2738*2+96.0646</f>
        <v>324.6122</v>
      </c>
      <c r="CK17" s="36">
        <v>652.3</v>
      </c>
      <c r="CL17" s="36">
        <v>0</v>
      </c>
      <c r="CM17" s="36">
        <v>2</v>
      </c>
      <c r="CN17" s="36">
        <v>452.79</v>
      </c>
      <c r="CO17" s="36">
        <v>196.5162</v>
      </c>
      <c r="CP17" s="37">
        <v>1660.4</v>
      </c>
      <c r="CQ17" s="37">
        <v>328.3</v>
      </c>
      <c r="CR17" s="37">
        <v>3.2</v>
      </c>
      <c r="CS17" s="37">
        <v>1127.54</v>
      </c>
      <c r="CT17" s="37"/>
      <c r="CU17" s="38"/>
      <c r="CV17" s="38"/>
      <c r="CW17" s="38"/>
      <c r="CX17" s="38"/>
      <c r="CY17" s="38"/>
      <c r="CZ17" s="4" t="s">
        <v>430</v>
      </c>
    </row>
    <row r="18" customHeight="1" spans="6:104">
      <c r="F18" s="1" t="s">
        <v>104</v>
      </c>
      <c r="G18" s="1" t="s">
        <v>105</v>
      </c>
      <c r="H18" s="1" t="s">
        <v>207</v>
      </c>
      <c r="I18" s="1" t="s">
        <v>431</v>
      </c>
      <c r="J18" s="13">
        <f>590+75</f>
        <v>665</v>
      </c>
      <c r="K18" s="3">
        <f t="shared" si="12"/>
        <v>0.24</v>
      </c>
      <c r="L18" s="3"/>
      <c r="M18" s="13"/>
      <c r="N18" s="13">
        <v>86</v>
      </c>
      <c r="O18" s="3"/>
      <c r="P18" s="3"/>
      <c r="Q18" s="3">
        <f>-4%</f>
        <v>-0.04</v>
      </c>
      <c r="R18" s="3">
        <f t="shared" si="10"/>
        <v>0.05</v>
      </c>
      <c r="S18" s="3">
        <v>0.5</v>
      </c>
      <c r="T18" s="3"/>
      <c r="U18" s="3">
        <v>-0.07</v>
      </c>
      <c r="V18" s="3"/>
      <c r="W18" s="3">
        <v>0.36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f t="shared" si="11"/>
        <v>0</v>
      </c>
      <c r="AI18" s="3"/>
      <c r="AJ18" s="3"/>
      <c r="AK18" s="3"/>
      <c r="AL18" s="17">
        <v>60</v>
      </c>
      <c r="AM18" s="18"/>
      <c r="AN18" s="18"/>
      <c r="AO18" s="18"/>
      <c r="AP18" s="18"/>
      <c r="AQ18" s="18"/>
      <c r="AR18" s="20"/>
      <c r="AS18" s="20"/>
      <c r="AT18" s="20"/>
      <c r="AU18" s="20"/>
      <c r="AV18" s="20"/>
      <c r="AW18" s="23"/>
      <c r="AX18" s="23"/>
      <c r="AY18" s="23"/>
      <c r="AZ18" s="23"/>
      <c r="BA18" s="23"/>
      <c r="BB18" s="24"/>
      <c r="BC18" s="24"/>
      <c r="BD18" s="24"/>
      <c r="BE18" s="24"/>
      <c r="BF18" s="24"/>
      <c r="BG18" s="26"/>
      <c r="BH18" s="26"/>
      <c r="BI18" s="26"/>
      <c r="BJ18" s="26"/>
      <c r="BK18" s="26"/>
      <c r="BL18" s="27">
        <v>113.4</v>
      </c>
      <c r="BM18" s="27">
        <v>113.4</v>
      </c>
      <c r="BN18" s="27">
        <v>0.77</v>
      </c>
      <c r="BO18" s="27">
        <v>113.3</v>
      </c>
      <c r="BP18" s="27">
        <v>24.2676</v>
      </c>
      <c r="BQ18" s="29"/>
      <c r="BR18" s="29"/>
      <c r="BS18" s="29"/>
      <c r="BT18" s="29"/>
      <c r="BU18" s="29"/>
      <c r="BV18" s="21">
        <f>(131.2+102.1)+140.1+245</f>
        <v>618.4</v>
      </c>
      <c r="BW18" s="21">
        <f>(112.9+87.9)+140.1+245</f>
        <v>585.9</v>
      </c>
      <c r="BX18" s="21">
        <v>2.1</v>
      </c>
      <c r="BY18" s="21">
        <f>(94.91+122.035)+70.01+122.5</f>
        <v>409.455</v>
      </c>
      <c r="BZ18" s="21">
        <f>(24.8882+31.993)+29.9814+52.43</f>
        <v>139.2926</v>
      </c>
      <c r="CA18" s="31"/>
      <c r="CB18" s="31"/>
      <c r="CC18" s="31"/>
      <c r="CD18" s="31"/>
      <c r="CE18" s="31"/>
      <c r="CF18" s="33">
        <v>377.2</v>
      </c>
      <c r="CG18" s="33">
        <f>246.7+330.4</f>
        <v>577.1</v>
      </c>
      <c r="CH18" s="33">
        <v>2.7</v>
      </c>
      <c r="CI18" s="33">
        <v>113.3</v>
      </c>
      <c r="CJ18" s="33">
        <f>14.2738+63.4938</f>
        <v>77.7676</v>
      </c>
      <c r="CK18" s="36">
        <v>745.8</v>
      </c>
      <c r="CL18" s="36">
        <v>0</v>
      </c>
      <c r="CM18" s="36">
        <v>3.6</v>
      </c>
      <c r="CN18" s="36">
        <v>546.2</v>
      </c>
      <c r="CO18" s="36">
        <v>216.5252</v>
      </c>
      <c r="CP18" s="37">
        <v>1989.8</v>
      </c>
      <c r="CQ18" s="37">
        <v>376.8</v>
      </c>
      <c r="CR18" s="37">
        <v>3.55</v>
      </c>
      <c r="CS18" s="37">
        <v>376.7</v>
      </c>
      <c r="CT18" s="37"/>
      <c r="CU18" s="38"/>
      <c r="CV18" s="38"/>
      <c r="CW18" s="38"/>
      <c r="CX18" s="38"/>
      <c r="CY18" s="38"/>
      <c r="CZ18" s="6" t="s">
        <v>432</v>
      </c>
    </row>
    <row r="19" customHeight="1" spans="6:104">
      <c r="F19" s="5" t="s">
        <v>107</v>
      </c>
      <c r="G19" s="1" t="s">
        <v>105</v>
      </c>
      <c r="H19" s="1" t="s">
        <v>207</v>
      </c>
      <c r="I19" s="1" t="s">
        <v>431</v>
      </c>
      <c r="J19" s="13">
        <f>590+75</f>
        <v>665</v>
      </c>
      <c r="K19" s="3">
        <f t="shared" si="12"/>
        <v>0.24</v>
      </c>
      <c r="L19" s="3"/>
      <c r="M19" s="13"/>
      <c r="N19" s="13">
        <v>86</v>
      </c>
      <c r="O19" s="3"/>
      <c r="P19" s="3"/>
      <c r="Q19" s="3">
        <f>-4%</f>
        <v>-0.04</v>
      </c>
      <c r="R19" s="3">
        <f t="shared" si="10"/>
        <v>0.05</v>
      </c>
      <c r="S19" s="3">
        <v>0.5</v>
      </c>
      <c r="T19" s="3"/>
      <c r="U19" s="3">
        <v>-0.07</v>
      </c>
      <c r="V19" s="3"/>
      <c r="W19" s="3">
        <v>0.36</v>
      </c>
      <c r="X19" s="3"/>
      <c r="Y19" s="3"/>
      <c r="Z19" s="3">
        <f>45%</f>
        <v>0.45</v>
      </c>
      <c r="AA19" s="3"/>
      <c r="AB19" s="3">
        <f>45%</f>
        <v>0.45</v>
      </c>
      <c r="AC19" s="3"/>
      <c r="AD19" s="3"/>
      <c r="AE19" s="3"/>
      <c r="AF19" s="3"/>
      <c r="AG19" s="3"/>
      <c r="AH19" s="3">
        <f t="shared" si="11"/>
        <v>0.45</v>
      </c>
      <c r="AI19" s="3"/>
      <c r="AJ19" s="3"/>
      <c r="AK19" s="3"/>
      <c r="AL19" s="17">
        <v>60</v>
      </c>
      <c r="AM19" s="18"/>
      <c r="AN19" s="18"/>
      <c r="AO19" s="18"/>
      <c r="AP19" s="18"/>
      <c r="AQ19" s="18"/>
      <c r="AR19" s="20">
        <f>(167.6+498.9+1115.9)/1.909</f>
        <v>933.682556312205</v>
      </c>
      <c r="AS19" s="20">
        <f>(75.2+202.9+419.3)/1.4556</f>
        <v>479.115141522396</v>
      </c>
      <c r="AT19" s="20">
        <v>4.5</v>
      </c>
      <c r="AU19" s="20">
        <f>46.57+127.43+263.21</f>
        <v>437.21</v>
      </c>
      <c r="AV19" s="20">
        <f>9.9724+27.285+56.3462</f>
        <v>93.6036</v>
      </c>
      <c r="AW19" s="23"/>
      <c r="AX19" s="23"/>
      <c r="AY19" s="23"/>
      <c r="AZ19" s="23"/>
      <c r="BA19" s="23"/>
      <c r="BB19" s="24">
        <f>287.5/1.909</f>
        <v>150.602409638554</v>
      </c>
      <c r="BC19" s="24">
        <f>128.2/1.4556</f>
        <v>88.0736466062105</v>
      </c>
      <c r="BD19" s="24">
        <v>1</v>
      </c>
      <c r="BE19" s="24">
        <v>80.03</v>
      </c>
      <c r="BF19" s="24">
        <v>17.1414</v>
      </c>
      <c r="BG19" s="26"/>
      <c r="BH19" s="26"/>
      <c r="BI19" s="26"/>
      <c r="BJ19" s="26"/>
      <c r="BK19" s="26"/>
      <c r="BL19" s="27">
        <f>259/1.909</f>
        <v>135.673127291776</v>
      </c>
      <c r="BM19" s="27">
        <f>186.2/1.4556</f>
        <v>127.919758175323</v>
      </c>
      <c r="BN19" s="27">
        <v>0.77</v>
      </c>
      <c r="BO19" s="27">
        <v>113.3</v>
      </c>
      <c r="BP19" s="27">
        <v>24.2676</v>
      </c>
      <c r="BQ19" s="29"/>
      <c r="BR19" s="29"/>
      <c r="BS19" s="29"/>
      <c r="BT19" s="29"/>
      <c r="BU19" s="29"/>
      <c r="BV19" s="21">
        <f>((286.5+223)*2+293.7*0.3+512.6)/1.909</f>
        <v>848.459926663174</v>
      </c>
      <c r="BW19" s="21">
        <f>((179.8+139.9)*2+216.9*0.3+379.4)/1.4556</f>
        <v>744.62077493817</v>
      </c>
      <c r="BX19" s="21">
        <v>5.55</v>
      </c>
      <c r="BY19" s="21">
        <f>(94.91+122.035)*2+70.01*0.3+122.5</f>
        <v>577.393</v>
      </c>
      <c r="BZ19" s="21">
        <f>(24.8882+31.993)*2+29.9814+52.43</f>
        <v>196.1738</v>
      </c>
      <c r="CA19" s="31">
        <f>((286.5+223)*2+293.7*0.3)/1.909</f>
        <v>579.942378208486</v>
      </c>
      <c r="CB19" s="31">
        <f>((179.8+139.9)*2+216.9*0.3)/1.4556</f>
        <v>483.972245122286</v>
      </c>
      <c r="CC19" s="31">
        <v>3</v>
      </c>
      <c r="CD19" s="31">
        <f>(94.91+122.035)*2+70.01*0.3</f>
        <v>454.893</v>
      </c>
      <c r="CE19" s="31">
        <f>(24.8882+31.993)*2+29.9814</f>
        <v>143.7438</v>
      </c>
      <c r="CF19" s="33">
        <f>576/1.909</f>
        <v>301.728653745416</v>
      </c>
      <c r="CG19" s="33">
        <f>(393.6+369.1)/1.4556</f>
        <v>523.976367133828</v>
      </c>
      <c r="CH19" s="33">
        <v>2.7</v>
      </c>
      <c r="CI19" s="33">
        <v>113.3</v>
      </c>
      <c r="CJ19" s="33">
        <f>14.2738+27.2208</f>
        <v>41.4946</v>
      </c>
      <c r="CK19" s="36">
        <f>1695/1.909</f>
        <v>887.899423782085</v>
      </c>
      <c r="CL19" s="36">
        <v>0</v>
      </c>
      <c r="CM19" s="36">
        <v>3.6</v>
      </c>
      <c r="CN19" s="36">
        <v>546.2</v>
      </c>
      <c r="CO19" s="36">
        <v>216.5252</v>
      </c>
      <c r="CP19" s="37">
        <f>4522.4/1.909</f>
        <v>2368.98899947617</v>
      </c>
      <c r="CQ19" s="37">
        <f>617.6/1.4556</f>
        <v>424.292388018686</v>
      </c>
      <c r="CR19" s="37">
        <v>3.55</v>
      </c>
      <c r="CS19" s="37">
        <v>376.7</v>
      </c>
      <c r="CT19" s="37"/>
      <c r="CU19" s="38"/>
      <c r="CV19" s="38"/>
      <c r="CW19" s="38"/>
      <c r="CX19" s="38"/>
      <c r="CY19" s="38"/>
      <c r="CZ19" s="6" t="s">
        <v>432</v>
      </c>
    </row>
    <row r="20" customHeight="1" spans="6:104">
      <c r="F20" s="1" t="s">
        <v>109</v>
      </c>
      <c r="G20" s="1" t="s">
        <v>105</v>
      </c>
      <c r="H20" s="1" t="s">
        <v>201</v>
      </c>
      <c r="I20" s="1" t="s">
        <v>413</v>
      </c>
      <c r="J20" s="13">
        <f>642+75</f>
        <v>717</v>
      </c>
      <c r="K20" s="3">
        <f t="shared" si="12"/>
        <v>0.24</v>
      </c>
      <c r="L20" s="3"/>
      <c r="M20" s="13"/>
      <c r="N20" s="13">
        <v>83</v>
      </c>
      <c r="O20" s="3"/>
      <c r="P20" s="3"/>
      <c r="Q20" s="3">
        <f>-8%</f>
        <v>-0.08</v>
      </c>
      <c r="R20" s="3">
        <f t="shared" si="10"/>
        <v>0.05</v>
      </c>
      <c r="S20" s="3">
        <v>0.5</v>
      </c>
      <c r="T20" s="3">
        <f>4.8%*3</f>
        <v>0.144</v>
      </c>
      <c r="U20" s="3">
        <v>-0.07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f t="shared" si="11"/>
        <v>0</v>
      </c>
      <c r="AI20" s="3"/>
      <c r="AJ20" s="3"/>
      <c r="AK20" s="3"/>
      <c r="AL20" s="17">
        <v>60</v>
      </c>
      <c r="AM20" s="18"/>
      <c r="AN20" s="18"/>
      <c r="AO20" s="18"/>
      <c r="AP20" s="18"/>
      <c r="AQ20" s="18"/>
      <c r="AR20" s="20"/>
      <c r="AS20" s="20"/>
      <c r="AT20" s="20"/>
      <c r="AU20" s="20"/>
      <c r="AV20" s="20"/>
      <c r="AW20" s="23"/>
      <c r="AX20" s="23"/>
      <c r="AY20" s="23"/>
      <c r="AZ20" s="23"/>
      <c r="BA20" s="23"/>
      <c r="BB20" s="24"/>
      <c r="BC20" s="24"/>
      <c r="BD20" s="24"/>
      <c r="BE20" s="24"/>
      <c r="BF20" s="24"/>
      <c r="BG20" s="26"/>
      <c r="BH20" s="26"/>
      <c r="BI20" s="26"/>
      <c r="BJ20" s="26"/>
      <c r="BK20" s="26"/>
      <c r="BL20" s="27"/>
      <c r="BM20" s="27"/>
      <c r="BN20" s="27"/>
      <c r="BO20" s="27"/>
      <c r="BP20" s="27"/>
      <c r="BQ20" s="29"/>
      <c r="BR20" s="29"/>
      <c r="BS20" s="29"/>
      <c r="BT20" s="29"/>
      <c r="BU20" s="29"/>
      <c r="BV20" s="21">
        <v>546</v>
      </c>
      <c r="BW20" s="21">
        <v>444.5</v>
      </c>
      <c r="BX20" s="21">
        <v>1.1</v>
      </c>
      <c r="BY20" s="21">
        <v>471.62</v>
      </c>
      <c r="BZ20" s="21">
        <v>89.1738</v>
      </c>
      <c r="CA20" s="31"/>
      <c r="CB20" s="31"/>
      <c r="CC20" s="31"/>
      <c r="CD20" s="31"/>
      <c r="CE20" s="31"/>
      <c r="CF20" s="33">
        <v>310.92</v>
      </c>
      <c r="CG20" s="33">
        <v>303.6</v>
      </c>
      <c r="CH20" s="33">
        <v>1.3</v>
      </c>
      <c r="CI20" s="33">
        <v>310.92</v>
      </c>
      <c r="CJ20" s="33">
        <f>80.5496</f>
        <v>80.5496</v>
      </c>
      <c r="CK20" s="36">
        <v>1013</v>
      </c>
      <c r="CL20" s="36">
        <v>0</v>
      </c>
      <c r="CM20" s="36">
        <v>1.5</v>
      </c>
      <c r="CN20" s="36">
        <v>366.2</v>
      </c>
      <c r="CO20" s="36">
        <v>178.0052</v>
      </c>
      <c r="CP20" s="37">
        <v>2116.7</v>
      </c>
      <c r="CQ20" s="37">
        <v>113.8</v>
      </c>
      <c r="CR20" s="37">
        <v>0.9</v>
      </c>
      <c r="CS20" s="37">
        <v>108.37</v>
      </c>
      <c r="CT20" s="37"/>
      <c r="CU20" s="38"/>
      <c r="CV20" s="38"/>
      <c r="CW20" s="38"/>
      <c r="CX20" s="38"/>
      <c r="CY20" s="38"/>
      <c r="CZ20" s="4" t="s">
        <v>433</v>
      </c>
    </row>
    <row r="21" customHeight="1" spans="6:104">
      <c r="F21" s="1" t="s">
        <v>25</v>
      </c>
      <c r="G21" s="1" t="s">
        <v>105</v>
      </c>
      <c r="H21" s="1" t="s">
        <v>217</v>
      </c>
      <c r="I21" s="1" t="s">
        <v>415</v>
      </c>
      <c r="J21" s="13">
        <v>649</v>
      </c>
      <c r="K21" s="3">
        <f t="shared" si="12"/>
        <v>0.24</v>
      </c>
      <c r="L21" s="3"/>
      <c r="M21" s="13"/>
      <c r="N21" s="13">
        <v>88</v>
      </c>
      <c r="O21" s="3"/>
      <c r="P21" s="3"/>
      <c r="Q21" s="3">
        <v>-0.07</v>
      </c>
      <c r="R21" s="3">
        <f t="shared" si="10"/>
        <v>0.05</v>
      </c>
      <c r="S21" s="3">
        <v>0.5</v>
      </c>
      <c r="T21" s="3"/>
      <c r="U21" s="3">
        <v>-0.1</v>
      </c>
      <c r="V21" s="3">
        <v>0.16</v>
      </c>
      <c r="W21" s="3">
        <v>0.36</v>
      </c>
      <c r="X21" s="3"/>
      <c r="Y21" s="3"/>
      <c r="Z21" s="3"/>
      <c r="AA21" s="3"/>
      <c r="AB21" s="3"/>
      <c r="AC21" s="3"/>
      <c r="AD21" s="3">
        <v>0.16</v>
      </c>
      <c r="AE21" s="3"/>
      <c r="AF21" s="3"/>
      <c r="AG21" s="3"/>
      <c r="AH21" s="3">
        <f t="shared" si="11"/>
        <v>0.16</v>
      </c>
      <c r="AI21" s="3"/>
      <c r="AJ21" s="3"/>
      <c r="AK21" s="3"/>
      <c r="AL21" s="17">
        <v>60</v>
      </c>
      <c r="AM21" s="18"/>
      <c r="AN21" s="18"/>
      <c r="AO21" s="18"/>
      <c r="AP21" s="18"/>
      <c r="AQ21" s="18"/>
      <c r="AR21" s="20"/>
      <c r="AS21" s="20"/>
      <c r="AT21" s="20"/>
      <c r="AU21" s="20"/>
      <c r="AV21" s="20"/>
      <c r="AW21" s="23"/>
      <c r="AX21" s="23"/>
      <c r="AY21" s="23"/>
      <c r="AZ21" s="23"/>
      <c r="BA21" s="23"/>
      <c r="BB21" s="24"/>
      <c r="BC21" s="24"/>
      <c r="BD21" s="24"/>
      <c r="BE21" s="24"/>
      <c r="BF21" s="24"/>
      <c r="BG21" s="26"/>
      <c r="BH21" s="26"/>
      <c r="BI21" s="26"/>
      <c r="BJ21" s="26"/>
      <c r="BK21" s="26"/>
      <c r="BL21" s="27"/>
      <c r="BM21" s="27"/>
      <c r="BN21" s="27"/>
      <c r="BO21" s="27"/>
      <c r="BP21" s="27"/>
      <c r="BQ21" s="29"/>
      <c r="BR21" s="29"/>
      <c r="BS21" s="29"/>
      <c r="BT21" s="29"/>
      <c r="BU21" s="29"/>
      <c r="BV21" s="21">
        <f>107.5+387</f>
        <v>494.5</v>
      </c>
      <c r="BW21" s="21">
        <f>89.9+323.6</f>
        <v>413.5</v>
      </c>
      <c r="BX21" s="21">
        <v>1.2</v>
      </c>
      <c r="BY21" s="21">
        <f>98.67+394.71</f>
        <v>493.38</v>
      </c>
      <c r="BZ21" s="21">
        <f>26.7714+107.0856</f>
        <v>133.857</v>
      </c>
      <c r="CA21" s="31">
        <f>215+107.5+387</f>
        <v>709.5</v>
      </c>
      <c r="CB21" s="31">
        <f>179.8+89.9+323.6</f>
        <v>593.3</v>
      </c>
      <c r="CC21" s="31">
        <v>2.4</v>
      </c>
      <c r="CD21" s="31">
        <f>197.35+98.67+394.71</f>
        <v>690.73</v>
      </c>
      <c r="CE21" s="31">
        <f>53.5428+26.7714+107.0856</f>
        <v>187.3998</v>
      </c>
      <c r="CF21" s="33">
        <v>377.1</v>
      </c>
      <c r="CG21" s="33">
        <f>246.7+330.3</f>
        <v>577</v>
      </c>
      <c r="CH21" s="33">
        <v>2</v>
      </c>
      <c r="CI21" s="33">
        <v>353.67</v>
      </c>
      <c r="CJ21" s="33">
        <f>14.2738+90.7146</f>
        <v>104.9884</v>
      </c>
      <c r="CK21" s="36">
        <f>104.8+283</f>
        <v>387.8</v>
      </c>
      <c r="CL21" s="36">
        <v>0</v>
      </c>
      <c r="CM21" s="36">
        <v>0.6</v>
      </c>
      <c r="CN21" s="36">
        <f>64.89+194.69</f>
        <v>259.58</v>
      </c>
      <c r="CO21" s="36">
        <f>33.812+101.436</f>
        <v>135.248</v>
      </c>
      <c r="CP21" s="37">
        <f>646.8+873.2</f>
        <v>1520</v>
      </c>
      <c r="CQ21" s="37">
        <f>36+48.6</f>
        <v>84.6</v>
      </c>
      <c r="CR21" s="37">
        <v>0</v>
      </c>
      <c r="CS21" s="37">
        <f>35.99+53.99</f>
        <v>89.98</v>
      </c>
      <c r="CT21" s="37"/>
      <c r="CU21" s="38"/>
      <c r="CV21" s="38"/>
      <c r="CW21" s="38"/>
      <c r="CX21" s="38"/>
      <c r="CY21" s="38"/>
      <c r="CZ21" s="4" t="s">
        <v>434</v>
      </c>
    </row>
    <row r="22" customHeight="1" spans="6:104">
      <c r="F22" s="1" t="s">
        <v>112</v>
      </c>
      <c r="G22" s="1" t="s">
        <v>105</v>
      </c>
      <c r="H22" s="1" t="s">
        <v>212</v>
      </c>
      <c r="I22" s="1" t="s">
        <v>426</v>
      </c>
      <c r="J22" s="13">
        <f>583+75</f>
        <v>658</v>
      </c>
      <c r="K22" s="3">
        <f t="shared" si="12"/>
        <v>0.24</v>
      </c>
      <c r="L22" s="3"/>
      <c r="M22" s="13"/>
      <c r="N22" s="13">
        <v>86</v>
      </c>
      <c r="O22" s="3"/>
      <c r="P22" s="3"/>
      <c r="Q22" s="3">
        <v>-0.07</v>
      </c>
      <c r="R22" s="3">
        <f t="shared" si="10"/>
        <v>0.05</v>
      </c>
      <c r="S22" s="3">
        <v>0.5</v>
      </c>
      <c r="T22" s="3"/>
      <c r="U22" s="3">
        <v>-0.06</v>
      </c>
      <c r="V22" s="3"/>
      <c r="W22" s="3">
        <v>0.36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>
        <f t="shared" si="11"/>
        <v>0</v>
      </c>
      <c r="AI22" s="3"/>
      <c r="AJ22" s="3"/>
      <c r="AK22" s="3"/>
      <c r="AL22" s="17">
        <v>60</v>
      </c>
      <c r="AM22" s="18"/>
      <c r="AN22" s="18"/>
      <c r="AO22" s="18"/>
      <c r="AP22" s="18"/>
      <c r="AQ22" s="18"/>
      <c r="AR22" s="20"/>
      <c r="AS22" s="20"/>
      <c r="AT22" s="20"/>
      <c r="AU22" s="20"/>
      <c r="AV22" s="20"/>
      <c r="AW22" s="23"/>
      <c r="AX22" s="23"/>
      <c r="AY22" s="23"/>
      <c r="AZ22" s="23"/>
      <c r="BA22" s="23"/>
      <c r="BB22" s="24"/>
      <c r="BC22" s="24"/>
      <c r="BD22" s="24"/>
      <c r="BE22" s="24"/>
      <c r="BF22" s="24"/>
      <c r="BG22" s="26"/>
      <c r="BH22" s="26"/>
      <c r="BI22" s="26"/>
      <c r="BJ22" s="26"/>
      <c r="BK22" s="26"/>
      <c r="BL22" s="27"/>
      <c r="BM22" s="27"/>
      <c r="BN22" s="27"/>
      <c r="BO22" s="27"/>
      <c r="BP22" s="27"/>
      <c r="BQ22" s="29"/>
      <c r="BR22" s="29"/>
      <c r="BS22" s="29"/>
      <c r="BT22" s="29"/>
      <c r="BU22" s="29"/>
      <c r="BV22" s="21">
        <v>508.4</v>
      </c>
      <c r="BW22" s="21">
        <f>364.6</f>
        <v>364.6</v>
      </c>
      <c r="BX22" s="21">
        <v>1.3</v>
      </c>
      <c r="BY22" s="21">
        <v>335.41</v>
      </c>
      <c r="BZ22" s="21">
        <v>129.2988</v>
      </c>
      <c r="CA22" s="31">
        <f>536.4</f>
        <v>536.4</v>
      </c>
      <c r="CB22" s="31">
        <f>389.6</f>
        <v>389.6</v>
      </c>
      <c r="CC22" s="31">
        <v>0.7</v>
      </c>
      <c r="CD22" s="31">
        <v>342.41</v>
      </c>
      <c r="CE22" s="31">
        <v>135.7188</v>
      </c>
      <c r="CF22" s="33">
        <v>349.1</v>
      </c>
      <c r="CG22" s="33">
        <v>304.3</v>
      </c>
      <c r="CH22" s="33">
        <v>2.1</v>
      </c>
      <c r="CI22" s="33">
        <v>326.67</v>
      </c>
      <c r="CJ22" s="33">
        <f>7.8538+84.2946</f>
        <v>92.1484</v>
      </c>
      <c r="CK22" s="36">
        <v>492.4</v>
      </c>
      <c r="CL22" s="36">
        <v>0</v>
      </c>
      <c r="CM22" s="36">
        <v>1.1</v>
      </c>
      <c r="CN22" s="36">
        <v>292.8</v>
      </c>
      <c r="CO22" s="36">
        <v>162.2976</v>
      </c>
      <c r="CP22" s="37">
        <v>1718.6</v>
      </c>
      <c r="CQ22" s="37">
        <v>283.5</v>
      </c>
      <c r="CR22" s="37">
        <v>0.8</v>
      </c>
      <c r="CS22" s="37">
        <v>315</v>
      </c>
      <c r="CT22" s="37"/>
      <c r="CU22" s="38"/>
      <c r="CV22" s="38"/>
      <c r="CW22" s="38"/>
      <c r="CX22" s="38"/>
      <c r="CY22" s="38"/>
      <c r="CZ22" s="4" t="s">
        <v>435</v>
      </c>
    </row>
    <row r="23" customHeight="1" spans="6:104">
      <c r="F23" s="1" t="s">
        <v>114</v>
      </c>
      <c r="G23" s="1" t="s">
        <v>105</v>
      </c>
      <c r="H23" s="1" t="s">
        <v>223</v>
      </c>
      <c r="I23" s="1" t="s">
        <v>426</v>
      </c>
      <c r="J23" s="13">
        <f>583+75</f>
        <v>658</v>
      </c>
      <c r="K23" s="3">
        <f t="shared" si="12"/>
        <v>0.24</v>
      </c>
      <c r="L23" s="3"/>
      <c r="M23" s="13">
        <v>600</v>
      </c>
      <c r="N23" s="13">
        <v>86</v>
      </c>
      <c r="O23" s="3"/>
      <c r="P23" s="3"/>
      <c r="Q23" s="3"/>
      <c r="R23" s="3">
        <f t="shared" si="10"/>
        <v>0.05</v>
      </c>
      <c r="S23" s="3">
        <v>0.5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f t="shared" si="11"/>
        <v>0</v>
      </c>
      <c r="AI23" s="3"/>
      <c r="AJ23" s="3"/>
      <c r="AK23" s="3"/>
      <c r="AL23" s="17"/>
      <c r="AM23" s="18">
        <f>92.5+127.5+175</f>
        <v>395</v>
      </c>
      <c r="AN23" s="18">
        <f>15.5+21.3+29.2</f>
        <v>66</v>
      </c>
      <c r="AO23" s="18">
        <f>(3+5+8)/3</f>
        <v>5.33333333333333</v>
      </c>
      <c r="AP23" s="18"/>
      <c r="AQ23" s="18"/>
      <c r="AR23" s="20"/>
      <c r="AS23" s="20"/>
      <c r="AT23" s="20"/>
      <c r="AU23" s="20"/>
      <c r="AV23" s="20"/>
      <c r="AW23" s="23"/>
      <c r="AX23" s="23"/>
      <c r="AY23" s="23"/>
      <c r="AZ23" s="23"/>
      <c r="BA23" s="23"/>
      <c r="BB23" s="24"/>
      <c r="BC23" s="24"/>
      <c r="BD23" s="24"/>
      <c r="BE23" s="24"/>
      <c r="BF23" s="24"/>
      <c r="BG23" s="26"/>
      <c r="BH23" s="26"/>
      <c r="BI23" s="26"/>
      <c r="BJ23" s="26"/>
      <c r="BK23" s="26"/>
      <c r="BL23" s="27"/>
      <c r="BM23" s="27"/>
      <c r="BN23" s="27"/>
      <c r="BO23" s="27"/>
      <c r="BP23" s="27"/>
      <c r="BQ23" s="29"/>
      <c r="BR23" s="29"/>
      <c r="BS23" s="29"/>
      <c r="BT23" s="29"/>
      <c r="BU23" s="29"/>
      <c r="BV23" s="21">
        <f>250*3</f>
        <v>750</v>
      </c>
      <c r="BW23" s="21">
        <f>20*3</f>
        <v>60</v>
      </c>
      <c r="BX23" s="21">
        <v>4</v>
      </c>
      <c r="BY23" s="21"/>
      <c r="BZ23" s="21"/>
      <c r="CA23" s="31"/>
      <c r="CB23" s="31"/>
      <c r="CC23" s="31"/>
      <c r="CD23" s="31"/>
      <c r="CE23" s="31"/>
      <c r="CF23" s="33"/>
      <c r="CG23" s="33"/>
      <c r="CH23" s="33"/>
      <c r="CI23" s="33"/>
      <c r="CJ23" s="33"/>
      <c r="CK23" s="36"/>
      <c r="CL23" s="36"/>
      <c r="CM23" s="36"/>
      <c r="CN23" s="36"/>
      <c r="CO23" s="36"/>
      <c r="CP23" s="37"/>
      <c r="CQ23" s="37"/>
      <c r="CR23" s="37"/>
      <c r="CS23" s="37"/>
      <c r="CT23" s="37"/>
      <c r="CU23" s="38"/>
      <c r="CV23" s="38"/>
      <c r="CW23" s="38"/>
      <c r="CX23" s="38"/>
      <c r="CY23" s="38"/>
      <c r="CZ23" s="4"/>
    </row>
    <row r="24" customHeight="1" spans="6:104">
      <c r="F24" s="1" t="s">
        <v>115</v>
      </c>
      <c r="G24" s="1" t="s">
        <v>116</v>
      </c>
      <c r="H24" s="1" t="s">
        <v>196</v>
      </c>
      <c r="I24" s="1" t="s">
        <v>426</v>
      </c>
      <c r="J24" s="13">
        <v>712</v>
      </c>
      <c r="K24" s="3">
        <f t="shared" si="12"/>
        <v>0.24</v>
      </c>
      <c r="L24" s="3"/>
      <c r="M24" s="13"/>
      <c r="N24" s="13">
        <v>123</v>
      </c>
      <c r="O24" s="3"/>
      <c r="P24" s="3">
        <v>0.21</v>
      </c>
      <c r="Q24" s="3">
        <v>-0.13</v>
      </c>
      <c r="R24" s="3">
        <f t="shared" si="10"/>
        <v>0.05</v>
      </c>
      <c r="S24" s="3">
        <v>0.5</v>
      </c>
      <c r="T24" s="3"/>
      <c r="U24" s="3">
        <v>-0.1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f t="shared" si="11"/>
        <v>0</v>
      </c>
      <c r="AI24" s="3"/>
      <c r="AJ24" s="3"/>
      <c r="AK24" s="3"/>
      <c r="AL24" s="17">
        <v>80</v>
      </c>
      <c r="AM24" s="18"/>
      <c r="AN24" s="18"/>
      <c r="AO24" s="18"/>
      <c r="AP24" s="18"/>
      <c r="AQ24" s="18"/>
      <c r="AR24" s="20"/>
      <c r="AS24" s="20"/>
      <c r="AT24" s="20"/>
      <c r="AU24" s="20"/>
      <c r="AV24" s="20"/>
      <c r="AW24" s="23"/>
      <c r="AX24" s="23"/>
      <c r="AY24" s="23"/>
      <c r="AZ24" s="23"/>
      <c r="BA24" s="23"/>
      <c r="BB24" s="24"/>
      <c r="BC24" s="24"/>
      <c r="BD24" s="24"/>
      <c r="BE24" s="24"/>
      <c r="BF24" s="24"/>
      <c r="BG24" s="26"/>
      <c r="BH24" s="26"/>
      <c r="BI24" s="26"/>
      <c r="BJ24" s="26"/>
      <c r="BK24" s="26"/>
      <c r="BL24" s="27"/>
      <c r="BM24" s="27"/>
      <c r="BN24" s="27"/>
      <c r="BO24" s="27"/>
      <c r="BP24" s="27"/>
      <c r="BQ24" s="29"/>
      <c r="BR24" s="29"/>
      <c r="BS24" s="29"/>
      <c r="BT24" s="29"/>
      <c r="BU24" s="29"/>
      <c r="BV24" s="21"/>
      <c r="BW24" s="21"/>
      <c r="BX24" s="21"/>
      <c r="BY24" s="21"/>
      <c r="BZ24" s="21"/>
      <c r="CA24" s="31"/>
      <c r="CB24" s="31"/>
      <c r="CC24" s="31"/>
      <c r="CD24" s="31"/>
      <c r="CE24" s="31"/>
      <c r="CF24" s="33">
        <v>410.8</v>
      </c>
      <c r="CG24" s="33">
        <f>259+360.6</f>
        <v>619.6</v>
      </c>
      <c r="CH24" s="33"/>
      <c r="CI24" s="33"/>
      <c r="CJ24" s="33"/>
      <c r="CK24" s="36"/>
      <c r="CL24" s="36"/>
      <c r="CM24" s="36"/>
      <c r="CN24" s="36"/>
      <c r="CO24" s="36"/>
      <c r="CP24" s="37"/>
      <c r="CQ24" s="37"/>
      <c r="CR24" s="37"/>
      <c r="CS24" s="37"/>
      <c r="CT24" s="37"/>
      <c r="CU24" s="38"/>
      <c r="CV24" s="38"/>
      <c r="CW24" s="38"/>
      <c r="CX24" s="38"/>
      <c r="CY24" s="38"/>
      <c r="CZ24" s="4" t="s">
        <v>436</v>
      </c>
    </row>
    <row r="25" customHeight="1" spans="6:104">
      <c r="F25" s="1" t="s">
        <v>118</v>
      </c>
      <c r="G25" s="1" t="s">
        <v>116</v>
      </c>
      <c r="H25" s="1" t="s">
        <v>201</v>
      </c>
      <c r="I25" s="1" t="s">
        <v>411</v>
      </c>
      <c r="J25" s="13">
        <v>643</v>
      </c>
      <c r="K25" s="3">
        <f t="shared" si="12"/>
        <v>0.24</v>
      </c>
      <c r="L25" s="3"/>
      <c r="M25" s="13"/>
      <c r="N25" s="13">
        <v>94</v>
      </c>
      <c r="O25" s="3"/>
      <c r="P25" s="3"/>
      <c r="Q25" s="3">
        <v>-0.14</v>
      </c>
      <c r="R25" s="3">
        <f t="shared" si="10"/>
        <v>0.05</v>
      </c>
      <c r="S25" s="3">
        <v>0.5</v>
      </c>
      <c r="T25" s="3"/>
      <c r="U25" s="3">
        <v>-0.1</v>
      </c>
      <c r="V25" s="3"/>
      <c r="W25" s="3">
        <v>0.36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f t="shared" si="11"/>
        <v>0</v>
      </c>
      <c r="AI25" s="3"/>
      <c r="AJ25" s="3"/>
      <c r="AK25" s="3"/>
      <c r="AL25" s="17">
        <v>80</v>
      </c>
      <c r="AM25" s="18"/>
      <c r="AN25" s="18"/>
      <c r="AO25" s="18"/>
      <c r="AP25" s="18"/>
      <c r="AQ25" s="18"/>
      <c r="AR25" s="20">
        <f>382.8+424.2</f>
        <v>807</v>
      </c>
      <c r="AS25" s="20">
        <f>161.7+145.5</f>
        <v>307.2</v>
      </c>
      <c r="AT25" s="20">
        <v>2.3</v>
      </c>
      <c r="AU25" s="20">
        <f>161.68*1.35</f>
        <v>218.268</v>
      </c>
      <c r="AV25" s="20">
        <f>34.6038+28.3122</f>
        <v>62.916</v>
      </c>
      <c r="AW25" s="23"/>
      <c r="AX25" s="23"/>
      <c r="AY25" s="23"/>
      <c r="AZ25" s="23"/>
      <c r="BA25" s="23"/>
      <c r="BB25" s="24"/>
      <c r="BC25" s="24"/>
      <c r="BD25" s="24"/>
      <c r="BE25" s="24"/>
      <c r="BF25" s="24"/>
      <c r="BG25" s="26"/>
      <c r="BH25" s="26"/>
      <c r="BI25" s="26"/>
      <c r="BJ25" s="26"/>
      <c r="BK25" s="26"/>
      <c r="BL25" s="27"/>
      <c r="BM25" s="27"/>
      <c r="BN25" s="27"/>
      <c r="BO25" s="27"/>
      <c r="BP25" s="27"/>
      <c r="BQ25" s="29"/>
      <c r="BR25" s="29"/>
      <c r="BS25" s="29"/>
      <c r="BT25" s="29"/>
      <c r="BU25" s="29"/>
      <c r="BV25" s="21">
        <v>646</v>
      </c>
      <c r="BW25" s="21">
        <v>540.4</v>
      </c>
      <c r="BX25" s="21">
        <v>2</v>
      </c>
      <c r="BY25" s="21">
        <v>593.16</v>
      </c>
      <c r="BZ25" s="21">
        <v>160.8638</v>
      </c>
      <c r="CA25" s="31"/>
      <c r="CB25" s="31"/>
      <c r="CC25" s="31"/>
      <c r="CD25" s="31"/>
      <c r="CE25" s="31"/>
      <c r="CF25" s="33">
        <v>428.5</v>
      </c>
      <c r="CG25" s="33">
        <f>246.7+378</f>
        <v>624.7</v>
      </c>
      <c r="CH25" s="33">
        <v>1.8</v>
      </c>
      <c r="CI25" s="33">
        <v>403.22</v>
      </c>
      <c r="CJ25" s="33">
        <f>14.2738+102.4846</f>
        <v>116.7584</v>
      </c>
      <c r="CK25" s="36">
        <v>704.1</v>
      </c>
      <c r="CL25" s="36">
        <v>0</v>
      </c>
      <c r="CM25" s="36">
        <v>2.9</v>
      </c>
      <c r="CN25" s="36">
        <v>1100.78</v>
      </c>
      <c r="CO25" s="36">
        <v>207.6014</v>
      </c>
      <c r="CP25" s="37">
        <v>2024.3</v>
      </c>
      <c r="CQ25" s="37">
        <v>403.3</v>
      </c>
      <c r="CR25" s="37">
        <v>3.3</v>
      </c>
      <c r="CS25" s="37">
        <v>403.29</v>
      </c>
      <c r="CT25" s="37"/>
      <c r="CU25" s="38"/>
      <c r="CV25" s="38"/>
      <c r="CW25" s="38"/>
      <c r="CX25" s="38"/>
      <c r="CY25" s="38"/>
      <c r="CZ25" s="4" t="s">
        <v>437</v>
      </c>
    </row>
    <row r="26" customHeight="1" spans="6:103">
      <c r="F26" s="1" t="str">
        <f>""</f>
        <v/>
      </c>
      <c r="G26" s="1" t="str">
        <f>""</f>
        <v/>
      </c>
      <c r="H26" s="1" t="str">
        <f>""</f>
        <v/>
      </c>
      <c r="I26" s="1" t="str">
        <f>""</f>
        <v/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24"/>
      <c r="BC26" s="24"/>
      <c r="BD26" s="24"/>
      <c r="BE26" s="24"/>
      <c r="BF26" s="24"/>
      <c r="BG26" s="26"/>
      <c r="BH26" s="26"/>
      <c r="BI26" s="26"/>
      <c r="BJ26" s="26"/>
      <c r="BK26" s="26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38"/>
      <c r="CV26" s="38"/>
      <c r="CW26" s="38"/>
      <c r="CX26" s="38"/>
      <c r="CY26" s="38"/>
    </row>
    <row r="27" customHeight="1" spans="10:103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24"/>
      <c r="BC27" s="24"/>
      <c r="BD27" s="24"/>
      <c r="BE27" s="24"/>
      <c r="BF27" s="24"/>
      <c r="BG27" s="26"/>
      <c r="BH27" s="26"/>
      <c r="BI27" s="26"/>
      <c r="BJ27" s="26"/>
      <c r="BK27" s="26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38"/>
      <c r="CV27" s="38"/>
      <c r="CW27" s="38"/>
      <c r="CX27" s="38"/>
      <c r="CY27" s="38"/>
    </row>
    <row r="28" customHeight="1" spans="10:103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24"/>
      <c r="BC28" s="24"/>
      <c r="BD28" s="24"/>
      <c r="BE28" s="24"/>
      <c r="BF28" s="24"/>
      <c r="BG28" s="26"/>
      <c r="BH28" s="26"/>
      <c r="BI28" s="26"/>
      <c r="BJ28" s="26"/>
      <c r="BK28" s="26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38"/>
      <c r="CV28" s="38"/>
      <c r="CW28" s="38"/>
      <c r="CX28" s="38"/>
      <c r="CY28" s="38"/>
    </row>
    <row r="29" customHeight="1" spans="10:103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24"/>
      <c r="BC29" s="24"/>
      <c r="BD29" s="24"/>
      <c r="BE29" s="24"/>
      <c r="BF29" s="24"/>
      <c r="BG29" s="26"/>
      <c r="BH29" s="26"/>
      <c r="BI29" s="26"/>
      <c r="BJ29" s="26"/>
      <c r="BK29" s="26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38"/>
      <c r="CV29" s="38"/>
      <c r="CW29" s="38"/>
      <c r="CX29" s="38"/>
      <c r="CY29" s="38"/>
    </row>
    <row r="30" customHeight="1" spans="10:103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24"/>
      <c r="BC30" s="24"/>
      <c r="BD30" s="24"/>
      <c r="BE30" s="24"/>
      <c r="BF30" s="24"/>
      <c r="BG30" s="26"/>
      <c r="BH30" s="26"/>
      <c r="BI30" s="26"/>
      <c r="BJ30" s="26"/>
      <c r="BK30" s="26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38"/>
      <c r="CV30" s="38"/>
      <c r="CW30" s="38"/>
      <c r="CX30" s="38"/>
      <c r="CY30" s="38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"/>
  <sheetViews>
    <sheetView topLeftCell="A2" workbookViewId="0">
      <pane xSplit="1" ySplit="1" topLeftCell="B3" activePane="bottomRight" state="frozen"/>
      <selection/>
      <selection pane="topRight"/>
      <selection pane="bottomLeft"/>
      <selection pane="bottomRight" activeCell="H37" sqref="H37"/>
    </sheetView>
  </sheetViews>
  <sheetFormatPr defaultColWidth="13.7777777777778" defaultRowHeight="44" customHeight="1"/>
  <cols>
    <col min="1" max="10" width="13.7777777777778" style="1"/>
    <col min="11" max="11" width="26.1111111111111" style="7" customWidth="1"/>
    <col min="12" max="16384" width="13.7777777777778" style="1"/>
  </cols>
  <sheetData>
    <row r="1" customHeight="1" spans="1:33">
      <c r="A1" s="1">
        <f t="shared" ref="A1:N1" si="0">COLUMN()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ref="O1:X1" si="1">COLUMN()</f>
        <v>15</v>
      </c>
      <c r="P1" s="1">
        <f t="shared" si="1"/>
        <v>16</v>
      </c>
      <c r="Q1" s="1">
        <f t="shared" si="1"/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ref="Y1:AG1" si="2">COLUMN()</f>
        <v>25</v>
      </c>
      <c r="Z1" s="1">
        <f t="shared" si="2"/>
        <v>26</v>
      </c>
      <c r="AA1" s="1">
        <f t="shared" si="2"/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</row>
    <row r="2" customHeight="1" spans="1:33">
      <c r="A2" s="1" t="s">
        <v>285</v>
      </c>
      <c r="B2" s="1" t="s">
        <v>190</v>
      </c>
      <c r="C2" s="1" t="s">
        <v>331</v>
      </c>
      <c r="D2" s="1" t="s">
        <v>184</v>
      </c>
      <c r="E2" s="1" t="s">
        <v>72</v>
      </c>
      <c r="F2" s="1" t="s">
        <v>61</v>
      </c>
      <c r="G2" s="1" t="s">
        <v>225</v>
      </c>
      <c r="H2" s="1" t="s">
        <v>96</v>
      </c>
      <c r="I2" s="1" t="s">
        <v>334</v>
      </c>
      <c r="J2" s="1" t="s">
        <v>111</v>
      </c>
      <c r="K2" s="1" t="s">
        <v>45</v>
      </c>
      <c r="L2" s="1" t="s">
        <v>438</v>
      </c>
      <c r="M2" s="1" t="s">
        <v>72</v>
      </c>
      <c r="N2" s="1" t="s">
        <v>61</v>
      </c>
      <c r="O2" s="1" t="s">
        <v>225</v>
      </c>
      <c r="P2" s="1" t="s">
        <v>96</v>
      </c>
      <c r="Q2" s="1" t="s">
        <v>335</v>
      </c>
      <c r="R2" s="1" t="s">
        <v>303</v>
      </c>
      <c r="S2" s="1" t="s">
        <v>176</v>
      </c>
      <c r="T2" s="5" t="s">
        <v>182</v>
      </c>
      <c r="U2" s="5" t="s">
        <v>336</v>
      </c>
      <c r="V2" s="5" t="s">
        <v>337</v>
      </c>
      <c r="W2" s="5" t="s">
        <v>338</v>
      </c>
      <c r="X2" s="5" t="s">
        <v>339</v>
      </c>
      <c r="Y2" s="5" t="s">
        <v>340</v>
      </c>
      <c r="Z2" s="5" t="s">
        <v>341</v>
      </c>
      <c r="AA2" s="6" t="s">
        <v>342</v>
      </c>
      <c r="AB2" s="6" t="s">
        <v>343</v>
      </c>
      <c r="AC2" s="6" t="s">
        <v>344</v>
      </c>
      <c r="AD2" s="6" t="s">
        <v>345</v>
      </c>
      <c r="AE2" s="6" t="s">
        <v>346</v>
      </c>
      <c r="AF2" s="6" t="s">
        <v>348</v>
      </c>
      <c r="AG2" s="6" t="s">
        <v>439</v>
      </c>
    </row>
    <row r="3" customHeight="1" spans="1:33">
      <c r="A3" s="1" t="s">
        <v>80</v>
      </c>
      <c r="B3" s="1" t="s">
        <v>79</v>
      </c>
      <c r="C3" s="8">
        <v>714</v>
      </c>
      <c r="D3" s="3"/>
      <c r="E3" s="3"/>
      <c r="F3" s="3"/>
      <c r="G3" s="3"/>
      <c r="H3" s="3"/>
      <c r="I3" s="3">
        <v>0.18</v>
      </c>
      <c r="J3" s="3"/>
      <c r="K3" s="9" t="s">
        <v>440</v>
      </c>
      <c r="L3" s="3"/>
      <c r="M3" s="3"/>
      <c r="N3" s="3"/>
      <c r="O3" s="3"/>
      <c r="P3" s="3"/>
      <c r="Q3" s="3">
        <v>0.21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spans="1:33">
      <c r="A4" s="1" t="s">
        <v>441</v>
      </c>
      <c r="B4" s="1" t="s">
        <v>79</v>
      </c>
      <c r="C4" s="8">
        <v>684</v>
      </c>
      <c r="D4" s="3"/>
      <c r="E4" s="3"/>
      <c r="F4" s="3"/>
      <c r="G4" s="3"/>
      <c r="H4" s="3"/>
      <c r="I4" s="3">
        <v>0.18</v>
      </c>
      <c r="J4" s="3"/>
      <c r="K4" s="9" t="s">
        <v>442</v>
      </c>
      <c r="L4" s="3"/>
      <c r="M4" s="3"/>
      <c r="N4" s="3"/>
      <c r="O4" s="3"/>
      <c r="P4" s="3"/>
      <c r="Q4" s="3"/>
      <c r="R4" s="3"/>
      <c r="S4" s="3"/>
      <c r="T4" s="3"/>
      <c r="U4" s="3">
        <v>0.3</v>
      </c>
      <c r="V4" s="3">
        <v>0.3</v>
      </c>
      <c r="W4" s="3"/>
      <c r="X4" s="3"/>
      <c r="Y4" s="3"/>
      <c r="Z4" s="3"/>
      <c r="AA4" s="3"/>
      <c r="AB4" s="3"/>
      <c r="AC4" s="3"/>
      <c r="AD4" s="3"/>
      <c r="AE4" s="3">
        <v>0.3</v>
      </c>
      <c r="AF4" s="3"/>
      <c r="AG4" s="3"/>
    </row>
    <row r="5" customHeight="1" spans="1:33">
      <c r="A5" s="1" t="s">
        <v>443</v>
      </c>
      <c r="B5" s="1" t="s">
        <v>79</v>
      </c>
      <c r="C5" s="8">
        <v>684</v>
      </c>
      <c r="D5" s="3"/>
      <c r="E5" s="3"/>
      <c r="F5" s="3"/>
      <c r="G5" s="3"/>
      <c r="H5" s="3"/>
      <c r="I5" s="3">
        <v>0.18</v>
      </c>
      <c r="J5" s="3"/>
      <c r="K5" s="9" t="s">
        <v>444</v>
      </c>
      <c r="L5" s="3"/>
      <c r="M5" s="3"/>
      <c r="N5" s="3"/>
      <c r="O5" s="3"/>
      <c r="P5" s="3"/>
      <c r="Q5" s="3">
        <v>0.1</v>
      </c>
      <c r="R5" s="3">
        <v>0.6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Height="1" spans="1:33">
      <c r="A6" s="1" t="s">
        <v>445</v>
      </c>
      <c r="B6" s="1" t="s">
        <v>79</v>
      </c>
      <c r="C6" s="8">
        <v>625</v>
      </c>
      <c r="D6" s="3"/>
      <c r="E6" s="3"/>
      <c r="F6" s="3"/>
      <c r="G6" s="3"/>
      <c r="H6" s="3"/>
      <c r="I6" s="3">
        <v>0.15</v>
      </c>
      <c r="J6" s="3"/>
      <c r="K6" s="9" t="s">
        <v>446</v>
      </c>
      <c r="L6" s="3"/>
      <c r="M6" s="3"/>
      <c r="N6" s="3"/>
      <c r="O6" s="3"/>
      <c r="P6" s="3"/>
      <c r="Q6" s="3"/>
      <c r="R6" s="3"/>
      <c r="S6" s="3">
        <v>0.18</v>
      </c>
      <c r="T6" s="3"/>
      <c r="U6" s="3">
        <v>0.15</v>
      </c>
      <c r="V6" s="3">
        <v>0.15</v>
      </c>
      <c r="W6" s="3">
        <v>0.15</v>
      </c>
      <c r="X6" s="3">
        <v>0.15</v>
      </c>
      <c r="Y6" s="3">
        <v>0.15</v>
      </c>
      <c r="Z6" s="3">
        <v>0.15</v>
      </c>
      <c r="AA6" s="3">
        <v>0.15</v>
      </c>
      <c r="AB6" s="3">
        <v>0.15</v>
      </c>
      <c r="AC6" s="3">
        <v>0.15</v>
      </c>
      <c r="AD6" s="3">
        <v>0.15</v>
      </c>
      <c r="AE6" s="3"/>
      <c r="AF6" s="3"/>
      <c r="AG6" s="3"/>
    </row>
    <row r="7" customHeight="1" spans="1:33">
      <c r="A7" s="1" t="s">
        <v>447</v>
      </c>
      <c r="B7" s="1" t="s">
        <v>79</v>
      </c>
      <c r="C7" s="8">
        <v>594</v>
      </c>
      <c r="D7" s="3"/>
      <c r="E7" s="3"/>
      <c r="F7" s="3"/>
      <c r="G7" s="3"/>
      <c r="H7" s="3"/>
      <c r="I7" s="3">
        <v>0.15</v>
      </c>
      <c r="J7" s="3"/>
      <c r="K7" s="9" t="s">
        <v>448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>
        <v>0.384</v>
      </c>
      <c r="AG7" s="3"/>
    </row>
    <row r="8" customHeight="1" spans="1:33">
      <c r="A8" s="1" t="s">
        <v>449</v>
      </c>
      <c r="B8" s="1" t="s">
        <v>79</v>
      </c>
      <c r="C8" s="8">
        <v>594</v>
      </c>
      <c r="D8" s="3"/>
      <c r="E8" s="3"/>
      <c r="F8" s="3"/>
      <c r="G8" s="3"/>
      <c r="H8" s="3"/>
      <c r="I8" s="3">
        <v>0.15</v>
      </c>
      <c r="J8" s="3"/>
      <c r="K8" s="9" t="s">
        <v>450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>
        <f>18%+18%</f>
        <v>0.36</v>
      </c>
      <c r="AF8" s="3">
        <f>18%+18%</f>
        <v>0.36</v>
      </c>
      <c r="AG8" s="3"/>
    </row>
    <row r="9" customHeight="1" spans="1:33">
      <c r="A9" s="1" t="s">
        <v>86</v>
      </c>
      <c r="B9" s="1" t="s">
        <v>79</v>
      </c>
      <c r="C9" s="8">
        <v>594</v>
      </c>
      <c r="D9" s="3"/>
      <c r="E9" s="3"/>
      <c r="F9" s="3"/>
      <c r="G9" s="3"/>
      <c r="H9" s="3"/>
      <c r="I9" s="3"/>
      <c r="J9" s="3">
        <v>0.5</v>
      </c>
      <c r="K9" s="9" t="s">
        <v>451</v>
      </c>
      <c r="L9" s="3"/>
      <c r="M9" s="3"/>
      <c r="N9" s="3"/>
      <c r="O9" s="3"/>
      <c r="P9" s="3"/>
      <c r="Q9" s="3">
        <f>3.2%*8</f>
        <v>0.256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customHeight="1" spans="1:33">
      <c r="A10" s="1" t="s">
        <v>452</v>
      </c>
      <c r="B10" s="1" t="s">
        <v>79</v>
      </c>
      <c r="C10" s="8">
        <v>475</v>
      </c>
      <c r="D10" s="3"/>
      <c r="E10" s="3"/>
      <c r="F10" s="3"/>
      <c r="G10" s="3"/>
      <c r="H10" s="3"/>
      <c r="I10" s="3">
        <v>0.12</v>
      </c>
      <c r="J10" s="3"/>
      <c r="K10" s="2" t="s">
        <v>453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0.12</v>
      </c>
      <c r="AF10" s="3">
        <v>0.12</v>
      </c>
      <c r="AG10" s="3"/>
    </row>
    <row r="11" customHeight="1" spans="1:33">
      <c r="A11" s="1" t="s">
        <v>58</v>
      </c>
      <c r="B11" s="1" t="s">
        <v>57</v>
      </c>
      <c r="C11" s="8">
        <v>714</v>
      </c>
      <c r="D11" s="3"/>
      <c r="E11" s="3"/>
      <c r="F11" s="3">
        <v>0.48</v>
      </c>
      <c r="G11" s="3"/>
      <c r="H11" s="3"/>
      <c r="I11" s="3"/>
      <c r="J11" s="3"/>
      <c r="K11" s="9" t="s">
        <v>454</v>
      </c>
      <c r="L11" s="3"/>
      <c r="M11" s="3">
        <v>0.15</v>
      </c>
      <c r="N11" s="3"/>
      <c r="O11" s="3"/>
      <c r="P11" s="3"/>
      <c r="Q11" s="3"/>
      <c r="R11" s="3"/>
      <c r="S11" s="3"/>
      <c r="T11" s="3"/>
      <c r="U11" s="3"/>
      <c r="V11" s="3">
        <v>0.35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customHeight="1" spans="1:33">
      <c r="A12" s="1" t="s">
        <v>64</v>
      </c>
      <c r="B12" s="1" t="s">
        <v>57</v>
      </c>
      <c r="C12" s="8">
        <v>714</v>
      </c>
      <c r="D12" s="3"/>
      <c r="E12" s="3">
        <v>0.24</v>
      </c>
      <c r="F12" s="3"/>
      <c r="G12" s="3"/>
      <c r="H12" s="3"/>
      <c r="I12" s="3"/>
      <c r="J12" s="3"/>
      <c r="K12" s="2" t="s">
        <v>455</v>
      </c>
      <c r="L12" s="3"/>
      <c r="M12" s="3">
        <v>0.2</v>
      </c>
      <c r="N12" s="3"/>
      <c r="O12" s="3"/>
      <c r="P12" s="3"/>
      <c r="Q12" s="3"/>
      <c r="R12" s="3"/>
      <c r="S12" s="3"/>
      <c r="T12" s="3"/>
      <c r="U12" s="3">
        <v>0.25</v>
      </c>
      <c r="V12" s="3">
        <v>0.25</v>
      </c>
      <c r="W12" s="3">
        <v>0.25</v>
      </c>
      <c r="X12" s="3">
        <v>0.25</v>
      </c>
      <c r="Y12" s="3">
        <v>0.25</v>
      </c>
      <c r="Z12" s="3">
        <v>0.25</v>
      </c>
      <c r="AA12" s="3">
        <v>0.25</v>
      </c>
      <c r="AB12" s="3">
        <v>0.25</v>
      </c>
      <c r="AC12" s="3">
        <v>0.25</v>
      </c>
      <c r="AD12" s="3">
        <v>0.25</v>
      </c>
      <c r="AE12" s="3"/>
      <c r="AF12" s="3"/>
      <c r="AG12" s="3"/>
    </row>
    <row r="13" customHeight="1" spans="1:33">
      <c r="A13" s="1" t="s">
        <v>456</v>
      </c>
      <c r="B13" s="1" t="s">
        <v>57</v>
      </c>
      <c r="C13" s="8">
        <v>684</v>
      </c>
      <c r="D13" s="3"/>
      <c r="E13" s="3">
        <v>0.24</v>
      </c>
      <c r="F13" s="3"/>
      <c r="G13" s="3"/>
      <c r="H13" s="3"/>
      <c r="I13" s="3"/>
      <c r="J13" s="3"/>
      <c r="K13" s="2" t="s">
        <v>457</v>
      </c>
      <c r="L13" s="3"/>
      <c r="M13" s="3"/>
      <c r="N13" s="3"/>
      <c r="O13" s="3"/>
      <c r="P13" s="3"/>
      <c r="Q13" s="3"/>
      <c r="R13" s="3"/>
      <c r="S13" s="3"/>
      <c r="T13" s="3"/>
      <c r="U13" s="3">
        <v>0.25</v>
      </c>
      <c r="V13" s="3">
        <v>0.25</v>
      </c>
      <c r="W13" s="3">
        <v>0.25</v>
      </c>
      <c r="X13" s="3">
        <v>0.25</v>
      </c>
      <c r="Y13" s="3">
        <v>0.25</v>
      </c>
      <c r="Z13" s="3">
        <v>0.25</v>
      </c>
      <c r="AA13" s="3">
        <v>0.25</v>
      </c>
      <c r="AB13" s="3">
        <v>0.25</v>
      </c>
      <c r="AC13" s="3">
        <v>0.25</v>
      </c>
      <c r="AD13" s="3">
        <v>0.25</v>
      </c>
      <c r="AE13" s="3"/>
      <c r="AF13" s="3"/>
      <c r="AG13" s="3"/>
    </row>
    <row r="14" customHeight="1" spans="1:33">
      <c r="A14" s="1" t="s">
        <v>69</v>
      </c>
      <c r="B14" s="1" t="s">
        <v>57</v>
      </c>
      <c r="C14" s="8">
        <v>684</v>
      </c>
      <c r="D14" s="3">
        <v>0.3</v>
      </c>
      <c r="E14" s="3"/>
      <c r="F14" s="3"/>
      <c r="G14" s="3"/>
      <c r="H14" s="3"/>
      <c r="I14" s="3"/>
      <c r="J14" s="3"/>
      <c r="K14" s="9" t="s">
        <v>458</v>
      </c>
      <c r="L14" s="3">
        <f>3.5%*8</f>
        <v>0.28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customHeight="1" spans="1:33">
      <c r="A15" s="1" t="s">
        <v>76</v>
      </c>
      <c r="B15" s="1" t="s">
        <v>57</v>
      </c>
      <c r="C15" s="8">
        <v>625</v>
      </c>
      <c r="D15" s="3">
        <v>0.25</v>
      </c>
      <c r="E15" s="3"/>
      <c r="F15" s="3"/>
      <c r="G15" s="3"/>
      <c r="H15" s="3"/>
      <c r="I15" s="3"/>
      <c r="J15" s="3"/>
      <c r="K15" s="9" t="s">
        <v>459</v>
      </c>
      <c r="L15" s="3"/>
      <c r="M15" s="3"/>
      <c r="N15" s="3"/>
      <c r="O15" s="3"/>
      <c r="P15" s="3"/>
      <c r="Q15" s="3"/>
      <c r="R15" s="3">
        <v>0.45</v>
      </c>
      <c r="S15" s="3"/>
      <c r="T15" s="3"/>
      <c r="U15" s="3"/>
      <c r="V15" s="3"/>
      <c r="W15" s="3"/>
      <c r="X15" s="3"/>
      <c r="Y15" s="3"/>
      <c r="Z15" s="3">
        <v>0.45</v>
      </c>
      <c r="AA15" s="3"/>
      <c r="AB15" s="3"/>
      <c r="AC15" s="3"/>
      <c r="AD15" s="3"/>
      <c r="AE15" s="3"/>
      <c r="AF15" s="3"/>
      <c r="AG15" s="3"/>
    </row>
    <row r="16" customHeight="1" spans="1:33">
      <c r="A16" s="1" t="s">
        <v>460</v>
      </c>
      <c r="B16" s="1" t="s">
        <v>57</v>
      </c>
      <c r="C16" s="8">
        <v>625</v>
      </c>
      <c r="D16" s="3"/>
      <c r="E16" s="3"/>
      <c r="F16" s="3"/>
      <c r="G16" s="3"/>
      <c r="H16" s="3"/>
      <c r="I16" s="3"/>
      <c r="J16" s="3">
        <v>0.5</v>
      </c>
      <c r="K16" s="9" t="s">
        <v>461</v>
      </c>
      <c r="L16" s="3"/>
      <c r="M16" s="3"/>
      <c r="N16" s="3"/>
      <c r="O16" s="3"/>
      <c r="P16" s="3"/>
      <c r="Q16" s="3"/>
      <c r="R16" s="3"/>
      <c r="S16" s="3"/>
      <c r="T16" s="3"/>
      <c r="U16" s="3">
        <v>0.5</v>
      </c>
      <c r="V16" s="3">
        <v>0.5</v>
      </c>
      <c r="W16" s="3">
        <v>0.5</v>
      </c>
      <c r="X16" s="3">
        <v>0.5</v>
      </c>
      <c r="Y16" s="3">
        <v>0.5</v>
      </c>
      <c r="Z16" s="3">
        <v>0.5</v>
      </c>
      <c r="AA16" s="3">
        <v>0.5</v>
      </c>
      <c r="AB16" s="3">
        <v>0.5</v>
      </c>
      <c r="AC16" s="3">
        <v>0.5</v>
      </c>
      <c r="AD16" s="3">
        <v>0.5</v>
      </c>
      <c r="AE16" s="3"/>
      <c r="AF16" s="3"/>
      <c r="AG16" s="3"/>
    </row>
    <row r="17" customHeight="1" spans="1:33">
      <c r="A17" s="5" t="s">
        <v>462</v>
      </c>
      <c r="B17" s="1" t="s">
        <v>57</v>
      </c>
      <c r="C17" s="8">
        <v>594</v>
      </c>
      <c r="D17" s="3">
        <v>0.25</v>
      </c>
      <c r="E17" s="3"/>
      <c r="F17" s="3"/>
      <c r="G17" s="3"/>
      <c r="H17" s="3"/>
      <c r="I17" s="3"/>
      <c r="J17" s="3"/>
      <c r="K17" s="9" t="s">
        <v>463</v>
      </c>
      <c r="L17" s="3">
        <v>0.096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0.24</v>
      </c>
      <c r="AA17" s="3"/>
      <c r="AB17" s="3"/>
      <c r="AC17" s="3"/>
      <c r="AD17" s="3"/>
      <c r="AE17" s="3"/>
      <c r="AF17" s="3"/>
      <c r="AG17" s="3"/>
    </row>
    <row r="18" customHeight="1" spans="1:33">
      <c r="A18" s="1" t="s">
        <v>464</v>
      </c>
      <c r="B18" s="1" t="s">
        <v>57</v>
      </c>
      <c r="C18" s="8">
        <v>594</v>
      </c>
      <c r="D18" s="3">
        <v>0.25</v>
      </c>
      <c r="E18" s="3"/>
      <c r="F18" s="3"/>
      <c r="G18" s="3"/>
      <c r="H18" s="3"/>
      <c r="I18" s="3"/>
      <c r="J18" s="3"/>
      <c r="K18" s="9" t="s">
        <v>465</v>
      </c>
      <c r="L18" s="3">
        <v>0.192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customHeight="1" spans="1:33">
      <c r="A19" s="1" t="s">
        <v>466</v>
      </c>
      <c r="B19" s="1" t="s">
        <v>57</v>
      </c>
      <c r="C19" s="8">
        <v>594</v>
      </c>
      <c r="D19" s="3"/>
      <c r="E19" s="3">
        <v>0.2</v>
      </c>
      <c r="F19" s="3"/>
      <c r="G19" s="3"/>
      <c r="H19" s="3"/>
      <c r="I19" s="3"/>
      <c r="J19" s="3"/>
      <c r="K19" s="9" t="s">
        <v>467</v>
      </c>
      <c r="L19" s="3">
        <v>0.12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customHeight="1" spans="1:33">
      <c r="A20" s="1" t="s">
        <v>93</v>
      </c>
      <c r="B20" s="1" t="s">
        <v>92</v>
      </c>
      <c r="C20" s="8">
        <v>714</v>
      </c>
      <c r="D20" s="3">
        <v>0.3</v>
      </c>
      <c r="E20" s="3"/>
      <c r="F20" s="3"/>
      <c r="G20" s="3"/>
      <c r="H20" s="3"/>
      <c r="I20" s="3"/>
      <c r="J20" s="3"/>
      <c r="K20" s="9" t="s">
        <v>468</v>
      </c>
      <c r="L20" s="3"/>
      <c r="M20" s="3"/>
      <c r="N20" s="3"/>
      <c r="O20" s="3"/>
      <c r="P20" s="3">
        <v>0.5</v>
      </c>
      <c r="Q20" s="3"/>
      <c r="R20" s="3">
        <v>0.6</v>
      </c>
      <c r="S20" s="3"/>
      <c r="T20" s="3"/>
      <c r="U20" s="3"/>
      <c r="V20" s="3"/>
      <c r="W20" s="3"/>
      <c r="X20" s="3"/>
      <c r="Y20" s="3"/>
      <c r="Z20" s="3">
        <v>0.35</v>
      </c>
      <c r="AA20" s="3"/>
      <c r="AB20" s="3"/>
      <c r="AC20" s="3"/>
      <c r="AD20" s="3"/>
      <c r="AE20" s="3"/>
      <c r="AF20" s="3"/>
      <c r="AG20" s="3"/>
    </row>
    <row r="21" customHeight="1" spans="1:33">
      <c r="A21" s="1" t="s">
        <v>99</v>
      </c>
      <c r="B21" s="1" t="s">
        <v>92</v>
      </c>
      <c r="C21" s="8">
        <v>714</v>
      </c>
      <c r="D21" s="3"/>
      <c r="E21" s="3"/>
      <c r="F21" s="3"/>
      <c r="G21" s="3"/>
      <c r="H21" s="3">
        <v>0.9</v>
      </c>
      <c r="I21" s="3"/>
      <c r="J21" s="3"/>
      <c r="K21" s="9" t="s">
        <v>469</v>
      </c>
      <c r="L21" s="3"/>
      <c r="M21" s="3"/>
      <c r="N21" s="3"/>
      <c r="O21" s="3"/>
      <c r="P21" s="3"/>
      <c r="Q21" s="3"/>
      <c r="R21" s="3"/>
      <c r="S21" s="3"/>
      <c r="T21" s="3">
        <v>0.4</v>
      </c>
      <c r="U21" s="3">
        <v>0.36</v>
      </c>
      <c r="V21" s="3">
        <v>0.36</v>
      </c>
      <c r="W21" s="3">
        <v>0.36</v>
      </c>
      <c r="X21" s="3">
        <v>0.36</v>
      </c>
      <c r="Y21" s="3">
        <v>0.36</v>
      </c>
      <c r="Z21" s="3">
        <v>0.36</v>
      </c>
      <c r="AA21" s="3">
        <v>0.36</v>
      </c>
      <c r="AB21" s="3">
        <v>0.36</v>
      </c>
      <c r="AC21" s="3">
        <v>0.36</v>
      </c>
      <c r="AD21" s="3">
        <v>0.36</v>
      </c>
      <c r="AE21" s="3"/>
      <c r="AF21" s="3"/>
      <c r="AG21" s="3"/>
    </row>
    <row r="22" customHeight="1" spans="1:33">
      <c r="A22" s="1" t="s">
        <v>101</v>
      </c>
      <c r="B22" s="1" t="s">
        <v>92</v>
      </c>
      <c r="C22" s="8">
        <v>684</v>
      </c>
      <c r="D22" s="3"/>
      <c r="E22" s="3"/>
      <c r="F22" s="3"/>
      <c r="G22" s="3">
        <v>0.24</v>
      </c>
      <c r="H22" s="3"/>
      <c r="I22" s="3"/>
      <c r="J22" s="3"/>
      <c r="K22" s="2" t="s">
        <v>470</v>
      </c>
      <c r="L22" s="3">
        <v>0.12</v>
      </c>
      <c r="M22" s="3"/>
      <c r="N22" s="3"/>
      <c r="O22" s="3"/>
      <c r="P22" s="3">
        <v>0.75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customHeight="1" spans="1:33">
      <c r="A23" s="1" t="s">
        <v>103</v>
      </c>
      <c r="B23" s="1" t="s">
        <v>92</v>
      </c>
      <c r="C23" s="8">
        <v>625</v>
      </c>
      <c r="D23" s="3">
        <v>0.25</v>
      </c>
      <c r="E23" s="3"/>
      <c r="F23" s="3"/>
      <c r="G23" s="3"/>
      <c r="H23" s="3"/>
      <c r="I23" s="3"/>
      <c r="J23" s="3"/>
      <c r="K23" s="9" t="s">
        <v>471</v>
      </c>
      <c r="L23" s="3">
        <v>0.08</v>
      </c>
      <c r="M23" s="3"/>
      <c r="N23" s="3"/>
      <c r="O23" s="3"/>
      <c r="P23" s="3">
        <v>0.4</v>
      </c>
      <c r="Q23" s="3"/>
      <c r="R23" s="3"/>
      <c r="S23" s="3"/>
      <c r="T23" s="3">
        <v>0.25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customHeight="1" spans="1:33">
      <c r="A24" s="1" t="s">
        <v>472</v>
      </c>
      <c r="B24" s="1" t="s">
        <v>92</v>
      </c>
      <c r="C24" s="8">
        <v>594</v>
      </c>
      <c r="D24" s="3">
        <v>0.25</v>
      </c>
      <c r="E24" s="3"/>
      <c r="F24" s="3"/>
      <c r="G24" s="3"/>
      <c r="H24" s="3"/>
      <c r="I24" s="3"/>
      <c r="J24" s="3"/>
      <c r="K24" s="9" t="s">
        <v>473</v>
      </c>
      <c r="L24" s="3"/>
      <c r="M24" s="3"/>
      <c r="N24" s="3"/>
      <c r="O24" s="3"/>
      <c r="P24" s="3">
        <f>48%*4</f>
        <v>1.92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customHeight="1" spans="1:33">
      <c r="A25" s="1" t="s">
        <v>474</v>
      </c>
      <c r="B25" s="1" t="s">
        <v>92</v>
      </c>
      <c r="C25" s="8">
        <v>594</v>
      </c>
      <c r="D25" s="3"/>
      <c r="E25" s="3"/>
      <c r="F25" s="3"/>
      <c r="G25" s="3"/>
      <c r="H25" s="3">
        <v>0.75</v>
      </c>
      <c r="I25" s="3"/>
      <c r="J25" s="3"/>
      <c r="K25" s="9" t="s">
        <v>475</v>
      </c>
      <c r="L25" s="3">
        <f>4%*10</f>
        <v>0.4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customHeight="1" spans="1:33">
      <c r="A26" s="1" t="s">
        <v>476</v>
      </c>
      <c r="B26" s="1" t="s">
        <v>92</v>
      </c>
      <c r="C26" s="8">
        <v>594</v>
      </c>
      <c r="D26" s="3"/>
      <c r="E26" s="3"/>
      <c r="F26" s="3"/>
      <c r="G26" s="3"/>
      <c r="H26" s="3">
        <v>0.75</v>
      </c>
      <c r="I26" s="3"/>
      <c r="J26" s="3"/>
      <c r="K26" s="9" t="s">
        <v>477</v>
      </c>
      <c r="L26" s="3">
        <v>0.16</v>
      </c>
      <c r="M26" s="3"/>
      <c r="N26" s="3"/>
      <c r="O26" s="3"/>
      <c r="P26" s="3"/>
      <c r="Q26" s="3"/>
      <c r="R26" s="3"/>
      <c r="S26" s="3"/>
      <c r="T26" s="3"/>
      <c r="U26" s="3">
        <v>0.25</v>
      </c>
      <c r="V26" s="3">
        <v>0.25</v>
      </c>
      <c r="W26" s="3">
        <v>0.25</v>
      </c>
      <c r="X26" s="3">
        <v>0.25</v>
      </c>
      <c r="Y26" s="3">
        <v>0.25</v>
      </c>
      <c r="Z26" s="3">
        <v>0.25</v>
      </c>
      <c r="AA26" s="3">
        <v>0.25</v>
      </c>
      <c r="AB26" s="3">
        <v>0.25</v>
      </c>
      <c r="AC26" s="3">
        <v>0.25</v>
      </c>
      <c r="AD26" s="3">
        <v>0.25</v>
      </c>
      <c r="AE26" s="3"/>
      <c r="AF26" s="3"/>
      <c r="AG26" s="3"/>
    </row>
    <row r="27" customHeight="1" spans="1:33">
      <c r="A27" s="1" t="s">
        <v>478</v>
      </c>
      <c r="B27" s="1" t="s">
        <v>92</v>
      </c>
      <c r="C27" s="8">
        <v>475</v>
      </c>
      <c r="D27" s="3"/>
      <c r="E27" s="3"/>
      <c r="F27" s="3"/>
      <c r="G27" s="3"/>
      <c r="H27" s="3">
        <v>0.6</v>
      </c>
      <c r="I27" s="3"/>
      <c r="J27" s="3"/>
      <c r="K27" s="2" t="s">
        <v>479</v>
      </c>
      <c r="L27" s="3"/>
      <c r="M27" s="3"/>
      <c r="N27" s="3"/>
      <c r="O27" s="3"/>
      <c r="P27" s="3">
        <v>0.6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customHeight="1" spans="1:33">
      <c r="A28" s="1" t="s">
        <v>108</v>
      </c>
      <c r="B28" s="1" t="s">
        <v>105</v>
      </c>
      <c r="C28" s="8">
        <v>684</v>
      </c>
      <c r="D28" s="3"/>
      <c r="E28" s="3"/>
      <c r="F28" s="3"/>
      <c r="G28" s="3">
        <v>0.24</v>
      </c>
      <c r="H28" s="3"/>
      <c r="I28" s="3"/>
      <c r="J28" s="3"/>
      <c r="K28" s="2" t="s">
        <v>480</v>
      </c>
      <c r="L28" s="3"/>
      <c r="M28" s="3"/>
      <c r="N28" s="3"/>
      <c r="O28" s="3"/>
      <c r="P28" s="3"/>
      <c r="Q28" s="3"/>
      <c r="R28" s="3">
        <v>0.6</v>
      </c>
      <c r="S28" s="3"/>
      <c r="T28" s="3"/>
      <c r="U28" s="3">
        <v>0.202</v>
      </c>
      <c r="V28" s="3">
        <v>0.202</v>
      </c>
      <c r="W28" s="3">
        <v>0.202</v>
      </c>
      <c r="X28" s="3">
        <v>0.202</v>
      </c>
      <c r="Y28" s="3">
        <v>0.202</v>
      </c>
      <c r="Z28" s="3">
        <v>0.202</v>
      </c>
      <c r="AA28" s="3">
        <v>0.202</v>
      </c>
      <c r="AB28" s="3">
        <v>0.202</v>
      </c>
      <c r="AC28" s="3">
        <v>0.202</v>
      </c>
      <c r="AD28" s="3">
        <v>0.202</v>
      </c>
      <c r="AE28" s="3"/>
      <c r="AF28" s="3"/>
      <c r="AG28" s="3"/>
    </row>
    <row r="29" customHeight="1" spans="1:33">
      <c r="A29" s="1" t="s">
        <v>110</v>
      </c>
      <c r="B29" s="1" t="s">
        <v>105</v>
      </c>
      <c r="C29" s="8">
        <v>625</v>
      </c>
      <c r="D29" s="3"/>
      <c r="E29" s="3"/>
      <c r="F29" s="3"/>
      <c r="G29" s="3"/>
      <c r="H29" s="3"/>
      <c r="I29" s="3"/>
      <c r="J29" s="3">
        <v>0.5</v>
      </c>
      <c r="K29" s="2" t="s">
        <v>481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customHeight="1" spans="1:33">
      <c r="A30" s="1" t="s">
        <v>113</v>
      </c>
      <c r="B30" s="1" t="s">
        <v>105</v>
      </c>
      <c r="C30" s="8">
        <v>625</v>
      </c>
      <c r="D30" s="3"/>
      <c r="E30" s="3"/>
      <c r="F30" s="3"/>
      <c r="G30" s="3"/>
      <c r="H30" s="3"/>
      <c r="I30" s="3"/>
      <c r="J30" s="3">
        <v>0.5</v>
      </c>
      <c r="K30" s="9" t="s">
        <v>482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customHeight="1" spans="1:33">
      <c r="A31" s="1" t="s">
        <v>106</v>
      </c>
      <c r="B31" s="1" t="s">
        <v>105</v>
      </c>
      <c r="C31" s="8">
        <v>625</v>
      </c>
      <c r="D31" s="3">
        <v>0.25</v>
      </c>
      <c r="E31" s="3"/>
      <c r="F31" s="3"/>
      <c r="G31" s="3"/>
      <c r="H31" s="3"/>
      <c r="I31" s="3"/>
      <c r="J31" s="3"/>
      <c r="K31" s="9" t="s">
        <v>483</v>
      </c>
      <c r="L31" s="3">
        <f>2%*3</f>
        <v>0.06</v>
      </c>
      <c r="M31" s="3"/>
      <c r="N31" s="3"/>
      <c r="O31" s="3"/>
      <c r="P31" s="3"/>
      <c r="Q31" s="3"/>
      <c r="R31" s="3"/>
      <c r="S31" s="3"/>
      <c r="T31" s="3"/>
      <c r="U31" s="3">
        <v>0.15</v>
      </c>
      <c r="V31" s="3">
        <v>0.15</v>
      </c>
      <c r="W31" s="3">
        <v>0.15</v>
      </c>
      <c r="X31" s="3">
        <v>0.15</v>
      </c>
      <c r="Y31" s="3">
        <v>0.15</v>
      </c>
      <c r="Z31" s="3">
        <v>0.15</v>
      </c>
      <c r="AA31" s="3">
        <v>0.15</v>
      </c>
      <c r="AB31" s="3">
        <v>0.15</v>
      </c>
      <c r="AC31" s="3">
        <v>0.15</v>
      </c>
      <c r="AD31" s="3">
        <v>0.15</v>
      </c>
      <c r="AE31" s="3"/>
      <c r="AF31" s="3"/>
      <c r="AG31" s="3"/>
    </row>
    <row r="32" customHeight="1" spans="1:33">
      <c r="A32" s="1" t="s">
        <v>484</v>
      </c>
      <c r="B32" s="1" t="s">
        <v>105</v>
      </c>
      <c r="C32" s="8">
        <v>594</v>
      </c>
      <c r="D32" s="3"/>
      <c r="E32" s="3"/>
      <c r="F32" s="3"/>
      <c r="G32" s="3">
        <v>0.2</v>
      </c>
      <c r="H32" s="3"/>
      <c r="I32" s="3"/>
      <c r="J32" s="3"/>
      <c r="K32" s="9" t="s">
        <v>485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customHeight="1" spans="1:33">
      <c r="A33" s="1" t="s">
        <v>486</v>
      </c>
      <c r="B33" s="1" t="s">
        <v>105</v>
      </c>
      <c r="C33" s="8">
        <v>594</v>
      </c>
      <c r="D33" s="3"/>
      <c r="E33" s="3"/>
      <c r="F33" s="3"/>
      <c r="G33" s="3"/>
      <c r="H33" s="3"/>
      <c r="I33" s="3"/>
      <c r="J33" s="3">
        <v>0.5</v>
      </c>
      <c r="K33" s="9" t="s">
        <v>487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customHeight="1" spans="1:33">
      <c r="A34" s="1" t="s">
        <v>488</v>
      </c>
      <c r="B34" s="1" t="s">
        <v>105</v>
      </c>
      <c r="C34" s="8">
        <v>475</v>
      </c>
      <c r="D34" s="3"/>
      <c r="E34" s="3"/>
      <c r="F34" s="3"/>
      <c r="G34" s="3"/>
      <c r="H34" s="3"/>
      <c r="I34" s="3"/>
      <c r="J34" s="3">
        <v>0.4</v>
      </c>
      <c r="K34" s="2" t="s">
        <v>489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customHeight="1" spans="1:33">
      <c r="A35" s="1" t="s">
        <v>117</v>
      </c>
      <c r="B35" s="1" t="s">
        <v>116</v>
      </c>
      <c r="C35" s="8">
        <v>714</v>
      </c>
      <c r="D35" s="3"/>
      <c r="E35" s="3"/>
      <c r="F35" s="3"/>
      <c r="G35" s="3"/>
      <c r="H35" s="3"/>
      <c r="I35" s="3">
        <v>0.18</v>
      </c>
      <c r="J35" s="3"/>
      <c r="K35" s="2" t="s">
        <v>490</v>
      </c>
      <c r="L35" s="3"/>
      <c r="M35" s="3"/>
      <c r="N35" s="3"/>
      <c r="O35" s="3"/>
      <c r="P35" s="3"/>
      <c r="Q35" s="3"/>
      <c r="R35" s="3"/>
      <c r="S35" s="3">
        <v>0.2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customHeight="1" spans="1:33">
      <c r="A36" s="1" t="s">
        <v>491</v>
      </c>
      <c r="B36" s="1" t="s">
        <v>116</v>
      </c>
      <c r="C36" s="8">
        <v>625</v>
      </c>
      <c r="D36" s="3">
        <v>0.25</v>
      </c>
      <c r="E36" s="3"/>
      <c r="F36" s="3"/>
      <c r="G36" s="3"/>
      <c r="H36" s="3"/>
      <c r="I36" s="3"/>
      <c r="J36" s="3"/>
      <c r="K36" s="2" t="s">
        <v>492</v>
      </c>
      <c r="L36" s="3"/>
      <c r="M36" s="3"/>
      <c r="N36" s="3"/>
      <c r="O36" s="3"/>
      <c r="P36" s="3"/>
      <c r="Q36" s="3"/>
      <c r="R36" s="3">
        <v>0.4</v>
      </c>
      <c r="S36" s="3"/>
      <c r="T36" s="3">
        <v>0.36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customHeight="1" spans="1:33">
      <c r="A37" s="1" t="s">
        <v>119</v>
      </c>
      <c r="B37" s="1" t="s">
        <v>116</v>
      </c>
      <c r="C37" s="8">
        <v>595</v>
      </c>
      <c r="D37" s="3"/>
      <c r="E37" s="3"/>
      <c r="F37" s="3"/>
      <c r="G37" s="3"/>
      <c r="H37" s="3"/>
      <c r="I37" s="3"/>
      <c r="J37" s="3"/>
      <c r="K37" s="2" t="s">
        <v>493</v>
      </c>
      <c r="L37" s="3"/>
      <c r="M37" s="3"/>
      <c r="N37" s="3"/>
      <c r="O37" s="3"/>
      <c r="P37" s="3"/>
      <c r="Q37" s="3">
        <v>0.16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43" customHeight="1" spans="21:33"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customHeight="1" spans="21:33"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customHeight="1" spans="21:33"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customHeight="1" spans="21:33"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</sheetData>
  <sheetProtection formatCells="0" insertHyperlinks="0" autoFilter="0"/>
  <conditionalFormatting sqref="C8">
    <cfRule type="cellIs" dxfId="0" priority="14" operator="equal">
      <formula>0</formula>
    </cfRule>
  </conditionalFormatting>
  <conditionalFormatting sqref="C20">
    <cfRule type="cellIs" dxfId="0" priority="11" operator="equal">
      <formula>0</formula>
    </cfRule>
  </conditionalFormatting>
  <conditionalFormatting sqref="D20:H20">
    <cfRule type="cellIs" dxfId="0" priority="13" operator="equal">
      <formula>0</formula>
    </cfRule>
  </conditionalFormatting>
  <conditionalFormatting sqref="I20:J20">
    <cfRule type="cellIs" dxfId="0" priority="12" operator="equal">
      <formula>0</formula>
    </cfRule>
  </conditionalFormatting>
  <conditionalFormatting sqref="L20:P20">
    <cfRule type="cellIs" dxfId="0" priority="10" operator="equal">
      <formula>0</formula>
    </cfRule>
  </conditionalFormatting>
  <conditionalFormatting sqref="Q20:T20">
    <cfRule type="cellIs" dxfId="0" priority="9" operator="equal">
      <formula>0</formula>
    </cfRule>
  </conditionalFormatting>
  <conditionalFormatting sqref="D32:H32">
    <cfRule type="cellIs" dxfId="0" priority="36" operator="equal">
      <formula>0</formula>
    </cfRule>
  </conditionalFormatting>
  <conditionalFormatting sqref="I32:J32">
    <cfRule type="cellIs" dxfId="0" priority="35" operator="equal">
      <formula>0</formula>
    </cfRule>
  </conditionalFormatting>
  <conditionalFormatting sqref="L32:P32">
    <cfRule type="cellIs" dxfId="0" priority="24" operator="equal">
      <formula>0</formula>
    </cfRule>
  </conditionalFormatting>
  <conditionalFormatting sqref="Q32:T32">
    <cfRule type="cellIs" dxfId="0" priority="23" operator="equal">
      <formula>0</formula>
    </cfRule>
  </conditionalFormatting>
  <conditionalFormatting sqref="D33:H33">
    <cfRule type="cellIs" dxfId="0" priority="34" operator="equal">
      <formula>0</formula>
    </cfRule>
  </conditionalFormatting>
  <conditionalFormatting sqref="I33:J33">
    <cfRule type="cellIs" dxfId="0" priority="33" operator="equal">
      <formula>0</formula>
    </cfRule>
  </conditionalFormatting>
  <conditionalFormatting sqref="L33:P33">
    <cfRule type="cellIs" dxfId="0" priority="22" operator="equal">
      <formula>0</formula>
    </cfRule>
  </conditionalFormatting>
  <conditionalFormatting sqref="Q33:T33">
    <cfRule type="cellIs" dxfId="0" priority="21" operator="equal">
      <formula>0</formula>
    </cfRule>
  </conditionalFormatting>
  <conditionalFormatting sqref="D34:H34">
    <cfRule type="cellIs" dxfId="0" priority="18" operator="equal">
      <formula>0</formula>
    </cfRule>
  </conditionalFormatting>
  <conditionalFormatting sqref="I34:J34">
    <cfRule type="cellIs" dxfId="0" priority="17" operator="equal">
      <formula>0</formula>
    </cfRule>
  </conditionalFormatting>
  <conditionalFormatting sqref="L34:P34">
    <cfRule type="cellIs" dxfId="0" priority="16" operator="equal">
      <formula>0</formula>
    </cfRule>
  </conditionalFormatting>
  <conditionalFormatting sqref="Q34:T34">
    <cfRule type="cellIs" dxfId="0" priority="15" operator="equal">
      <formula>0</formula>
    </cfRule>
  </conditionalFormatting>
  <conditionalFormatting sqref="D35:H35">
    <cfRule type="cellIs" dxfId="0" priority="8" operator="equal">
      <formula>0</formula>
    </cfRule>
  </conditionalFormatting>
  <conditionalFormatting sqref="I35:J35">
    <cfRule type="cellIs" dxfId="0" priority="7" operator="equal">
      <formula>0</formula>
    </cfRule>
  </conditionalFormatting>
  <conditionalFormatting sqref="L35:P35">
    <cfRule type="cellIs" dxfId="0" priority="6" operator="equal">
      <formula>0</formula>
    </cfRule>
  </conditionalFormatting>
  <conditionalFormatting sqref="Q35:T35">
    <cfRule type="cellIs" dxfId="0" priority="5" operator="equal">
      <formula>0</formula>
    </cfRule>
  </conditionalFormatting>
  <conditionalFormatting sqref="D36:H36">
    <cfRule type="cellIs" dxfId="0" priority="4" operator="equal">
      <formula>0</formula>
    </cfRule>
  </conditionalFormatting>
  <conditionalFormatting sqref="I36:J36">
    <cfRule type="cellIs" dxfId="0" priority="3" operator="equal">
      <formula>0</formula>
    </cfRule>
  </conditionalFormatting>
  <conditionalFormatting sqref="L36:P36">
    <cfRule type="cellIs" dxfId="0" priority="2" operator="equal">
      <formula>0</formula>
    </cfRule>
  </conditionalFormatting>
  <conditionalFormatting sqref="Q36:T36">
    <cfRule type="cellIs" dxfId="0" priority="1" operator="equal">
      <formula>0</formula>
    </cfRule>
  </conditionalFormatting>
  <conditionalFormatting sqref="D37:H37">
    <cfRule type="cellIs" dxfId="0" priority="32" operator="equal">
      <formula>0</formula>
    </cfRule>
  </conditionalFormatting>
  <conditionalFormatting sqref="I37:J37">
    <cfRule type="cellIs" dxfId="0" priority="31" operator="equal">
      <formula>0</formula>
    </cfRule>
  </conditionalFormatting>
  <conditionalFormatting sqref="L37:P37">
    <cfRule type="cellIs" dxfId="0" priority="20" operator="equal">
      <formula>0</formula>
    </cfRule>
  </conditionalFormatting>
  <conditionalFormatting sqref="Q37:T37">
    <cfRule type="cellIs" dxfId="0" priority="19" operator="equal">
      <formula>0</formula>
    </cfRule>
  </conditionalFormatting>
  <conditionalFormatting sqref="C3:C6">
    <cfRule type="cellIs" dxfId="0" priority="30" operator="equal">
      <formula>0</formula>
    </cfRule>
  </conditionalFormatting>
  <conditionalFormatting sqref="C12:C18">
    <cfRule type="cellIs" dxfId="0" priority="28" operator="equal">
      <formula>0</formula>
    </cfRule>
  </conditionalFormatting>
  <conditionalFormatting sqref="D3:H19 D21:H31">
    <cfRule type="cellIs" dxfId="0" priority="38" operator="equal">
      <formula>0</formula>
    </cfRule>
  </conditionalFormatting>
  <conditionalFormatting sqref="I3:J19 I21:J31">
    <cfRule type="cellIs" dxfId="0" priority="37" operator="equal">
      <formula>0</formula>
    </cfRule>
  </conditionalFormatting>
  <conditionalFormatting sqref="L3:P19 L21:P31">
    <cfRule type="cellIs" dxfId="0" priority="26" operator="equal">
      <formula>0</formula>
    </cfRule>
  </conditionalFormatting>
  <conditionalFormatting sqref="Q3:T19 Q21:T31">
    <cfRule type="cellIs" dxfId="0" priority="25" operator="equal">
      <formula>0</formula>
    </cfRule>
  </conditionalFormatting>
  <conditionalFormatting sqref="C7 C9:C11">
    <cfRule type="cellIs" dxfId="0" priority="29" operator="equal">
      <formula>0</formula>
    </cfRule>
  </conditionalFormatting>
  <conditionalFormatting sqref="C19 C21:C28">
    <cfRule type="cellIs" dxfId="0" priority="27" operator="equal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opLeftCell="A2" workbookViewId="0">
      <pane xSplit="1" ySplit="1" topLeftCell="B3" activePane="bottomRight" state="frozen"/>
      <selection/>
      <selection pane="topRight"/>
      <selection pane="bottomLeft"/>
      <selection pane="bottomRight" activeCell="K14" sqref="K14"/>
    </sheetView>
  </sheetViews>
  <sheetFormatPr defaultColWidth="13.7777777777778" defaultRowHeight="44" customHeight="1"/>
  <cols>
    <col min="1" max="9" width="13.7777777777778" style="1"/>
    <col min="10" max="10" width="30.7777777777778" style="2" customWidth="1"/>
    <col min="11" max="16384" width="13.7777777777778" style="1"/>
  </cols>
  <sheetData>
    <row r="1" customHeight="1" spans="1:25">
      <c r="A1" s="1">
        <f>COLUMN()</f>
        <v>1</v>
      </c>
      <c r="B1" s="1">
        <f>COLUMN()</f>
        <v>2</v>
      </c>
      <c r="C1" s="1">
        <f>COLUMN()</f>
        <v>3</v>
      </c>
      <c r="D1" s="1">
        <f>COLUMN()</f>
        <v>4</v>
      </c>
      <c r="E1" s="1">
        <f t="shared" ref="E1:R1" si="0">COLUMN()</f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ref="N1:Y1" si="1">COLUMN()</f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</row>
    <row r="2" customHeight="1" spans="1:25">
      <c r="A2" s="1" t="s">
        <v>133</v>
      </c>
      <c r="B2" s="1" t="s">
        <v>83</v>
      </c>
      <c r="C2" s="1" t="s">
        <v>62</v>
      </c>
      <c r="D2" s="1" t="s">
        <v>72</v>
      </c>
      <c r="E2" s="1" t="s">
        <v>61</v>
      </c>
      <c r="F2" s="1" t="s">
        <v>67</v>
      </c>
      <c r="G2" s="1" t="s">
        <v>96</v>
      </c>
      <c r="H2" s="1" t="s">
        <v>84</v>
      </c>
      <c r="I2" s="1" t="s">
        <v>111</v>
      </c>
      <c r="J2" s="4" t="s">
        <v>494</v>
      </c>
      <c r="K2" s="1" t="s">
        <v>62</v>
      </c>
      <c r="L2" s="1" t="s">
        <v>72</v>
      </c>
      <c r="M2" s="1" t="s">
        <v>61</v>
      </c>
      <c r="N2" s="5" t="s">
        <v>336</v>
      </c>
      <c r="O2" s="5" t="s">
        <v>337</v>
      </c>
      <c r="P2" s="5" t="s">
        <v>338</v>
      </c>
      <c r="Q2" s="5" t="s">
        <v>339</v>
      </c>
      <c r="R2" s="5" t="s">
        <v>340</v>
      </c>
      <c r="S2" s="5" t="s">
        <v>341</v>
      </c>
      <c r="T2" s="6" t="s">
        <v>342</v>
      </c>
      <c r="U2" s="6" t="s">
        <v>343</v>
      </c>
      <c r="V2" s="6" t="s">
        <v>344</v>
      </c>
      <c r="W2" s="6" t="s">
        <v>345</v>
      </c>
      <c r="X2" s="1" t="s">
        <v>346</v>
      </c>
      <c r="Y2" s="1" t="s">
        <v>439</v>
      </c>
    </row>
    <row r="3" customHeight="1" spans="1:24">
      <c r="A3" s="1" t="s">
        <v>60</v>
      </c>
      <c r="B3" s="3"/>
      <c r="C3" s="3"/>
      <c r="D3" s="3">
        <v>0.08</v>
      </c>
      <c r="E3" s="3"/>
      <c r="F3" s="3"/>
      <c r="G3" s="3"/>
      <c r="H3" s="3"/>
      <c r="I3" s="3"/>
      <c r="J3" s="2" t="s">
        <v>495</v>
      </c>
      <c r="K3" s="3">
        <f>9%*3</f>
        <v>0.27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1:24">
      <c r="A4" s="1" t="s">
        <v>66</v>
      </c>
      <c r="B4" s="3"/>
      <c r="C4" s="3"/>
      <c r="D4" s="3"/>
      <c r="E4" s="3"/>
      <c r="F4" s="3">
        <v>0.08</v>
      </c>
      <c r="G4" s="3"/>
      <c r="H4" s="3"/>
      <c r="I4" s="3"/>
      <c r="J4" s="2" t="s">
        <v>496</v>
      </c>
      <c r="K4" s="3">
        <v>0.05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0.2</v>
      </c>
      <c r="W4" s="3"/>
      <c r="X4" s="3"/>
    </row>
    <row r="5" customHeight="1" spans="1:24">
      <c r="A5" s="1" t="s">
        <v>70</v>
      </c>
      <c r="B5" s="3"/>
      <c r="C5" s="3">
        <v>0.1</v>
      </c>
      <c r="D5" s="3"/>
      <c r="E5" s="3"/>
      <c r="F5" s="3"/>
      <c r="G5" s="3"/>
      <c r="H5" s="3"/>
      <c r="I5" s="3"/>
      <c r="J5" s="2" t="s">
        <v>497</v>
      </c>
      <c r="K5" s="3">
        <v>0.25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1:24">
      <c r="A6" s="1" t="s">
        <v>65</v>
      </c>
      <c r="B6" s="3">
        <v>0.1</v>
      </c>
      <c r="C6" s="3"/>
      <c r="D6" s="3"/>
      <c r="E6" s="3"/>
      <c r="F6" s="3"/>
      <c r="G6" s="3"/>
      <c r="H6" s="3"/>
      <c r="I6" s="3"/>
      <c r="J6" s="2" t="s">
        <v>498</v>
      </c>
      <c r="K6" s="3"/>
      <c r="L6" s="3"/>
      <c r="M6" s="3"/>
      <c r="N6" s="3">
        <v>0.5</v>
      </c>
      <c r="O6" s="3">
        <v>0.5</v>
      </c>
      <c r="P6" s="3">
        <v>0.5</v>
      </c>
      <c r="Q6" s="3">
        <v>0.5</v>
      </c>
      <c r="R6" s="3"/>
      <c r="S6" s="3"/>
      <c r="T6" s="3"/>
      <c r="U6" s="3"/>
      <c r="V6" s="3"/>
      <c r="W6" s="3">
        <v>0.5</v>
      </c>
      <c r="X6" s="3"/>
    </row>
    <row r="7" customHeight="1" spans="1:24">
      <c r="A7" s="1" t="s">
        <v>59</v>
      </c>
      <c r="B7" s="3">
        <v>0.1</v>
      </c>
      <c r="C7" s="3"/>
      <c r="D7" s="3"/>
      <c r="E7" s="3"/>
      <c r="F7" s="3"/>
      <c r="G7" s="3"/>
      <c r="H7" s="3"/>
      <c r="I7" s="3"/>
      <c r="J7" s="2" t="s">
        <v>499</v>
      </c>
      <c r="K7" s="3"/>
      <c r="L7" s="3"/>
      <c r="M7" s="3">
        <f>20%+5.5%*6</f>
        <v>0.53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Height="1" spans="1:24">
      <c r="A8" s="1" t="s">
        <v>74</v>
      </c>
      <c r="B8" s="3">
        <v>0.1</v>
      </c>
      <c r="C8" s="3"/>
      <c r="D8" s="3"/>
      <c r="E8" s="3"/>
      <c r="F8" s="3"/>
      <c r="G8" s="3"/>
      <c r="H8" s="3"/>
      <c r="I8" s="3"/>
      <c r="J8" s="2" t="s">
        <v>500</v>
      </c>
      <c r="K8" s="3"/>
      <c r="L8" s="3">
        <v>0.28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Height="1" spans="1:24">
      <c r="A9" s="1" t="s">
        <v>78</v>
      </c>
      <c r="B9" s="3">
        <v>0.1</v>
      </c>
      <c r="C9" s="3"/>
      <c r="D9" s="3"/>
      <c r="E9" s="3"/>
      <c r="F9" s="3"/>
      <c r="G9" s="3"/>
      <c r="H9" s="3"/>
      <c r="I9" s="3"/>
      <c r="J9" s="2" t="s">
        <v>501</v>
      </c>
      <c r="K9" s="3">
        <v>0.27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Height="1" spans="1:24">
      <c r="A10" s="1" t="s">
        <v>71</v>
      </c>
      <c r="B10" s="3">
        <v>0.1</v>
      </c>
      <c r="C10" s="3"/>
      <c r="D10" s="3"/>
      <c r="E10" s="3"/>
      <c r="F10" s="3"/>
      <c r="G10" s="3"/>
      <c r="H10" s="3"/>
      <c r="I10" s="3"/>
      <c r="J10" s="2" t="s">
        <v>502</v>
      </c>
      <c r="K10" s="3"/>
      <c r="L10" s="3"/>
      <c r="M10" s="3"/>
      <c r="N10" s="3">
        <v>0.35</v>
      </c>
      <c r="O10" s="3">
        <v>0.35</v>
      </c>
      <c r="P10" s="3">
        <v>0.35</v>
      </c>
      <c r="Q10" s="3">
        <v>0.35</v>
      </c>
      <c r="R10" s="3">
        <v>0.35</v>
      </c>
      <c r="S10" s="3">
        <v>0.35</v>
      </c>
      <c r="T10" s="3">
        <v>0.35</v>
      </c>
      <c r="U10" s="3">
        <v>0.35</v>
      </c>
      <c r="V10" s="3">
        <v>0.35</v>
      </c>
      <c r="W10" s="3">
        <v>0.35</v>
      </c>
      <c r="X10" s="3"/>
    </row>
    <row r="11" customHeight="1" spans="1:24">
      <c r="A11" s="1" t="s">
        <v>81</v>
      </c>
      <c r="B11" s="3"/>
      <c r="C11" s="3"/>
      <c r="D11" s="3"/>
      <c r="E11" s="3"/>
      <c r="F11" s="3"/>
      <c r="G11" s="3"/>
      <c r="H11" s="3">
        <v>0.06</v>
      </c>
      <c r="I11" s="3"/>
      <c r="J11" s="2" t="s">
        <v>503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0.2</v>
      </c>
    </row>
    <row r="12" customHeight="1" spans="1:24">
      <c r="A12" s="1" t="s">
        <v>82</v>
      </c>
      <c r="B12" s="3"/>
      <c r="C12" s="3"/>
      <c r="D12" s="3"/>
      <c r="E12" s="3"/>
      <c r="F12" s="3"/>
      <c r="G12" s="3"/>
      <c r="H12" s="3"/>
      <c r="I12" s="3">
        <v>0.2</v>
      </c>
      <c r="J12" s="2" t="s">
        <v>504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Height="1" spans="1:24">
      <c r="A13" s="1" t="s">
        <v>95</v>
      </c>
      <c r="B13" s="3"/>
      <c r="C13" s="3"/>
      <c r="D13" s="3"/>
      <c r="E13" s="3"/>
      <c r="F13" s="3"/>
      <c r="G13" s="3">
        <v>0.3</v>
      </c>
      <c r="H13" s="3"/>
      <c r="I13" s="3"/>
      <c r="J13" s="2" t="s">
        <v>505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Height="1" spans="1:24">
      <c r="A14" s="1" t="s">
        <v>94</v>
      </c>
      <c r="B14" s="3"/>
      <c r="C14" s="3"/>
      <c r="D14" s="3"/>
      <c r="E14" s="3"/>
      <c r="F14" s="3"/>
      <c r="G14" s="3">
        <v>0.3</v>
      </c>
      <c r="H14" s="3"/>
      <c r="I14" s="3"/>
      <c r="J14" s="2" t="s">
        <v>506</v>
      </c>
      <c r="K14" s="3"/>
      <c r="L14" s="3"/>
      <c r="M14" s="3"/>
      <c r="N14" s="3">
        <v>0.15</v>
      </c>
      <c r="O14" s="3">
        <v>0.15</v>
      </c>
      <c r="P14" s="3">
        <v>0.15</v>
      </c>
      <c r="Q14" s="3">
        <v>0.15</v>
      </c>
      <c r="R14" s="3">
        <v>0.15</v>
      </c>
      <c r="S14" s="3">
        <v>0.35</v>
      </c>
      <c r="T14" s="3">
        <v>0.15</v>
      </c>
      <c r="U14" s="3">
        <v>0.15</v>
      </c>
      <c r="V14" s="3">
        <v>0.15</v>
      </c>
      <c r="W14" s="3">
        <v>0.35</v>
      </c>
      <c r="X14" s="3"/>
    </row>
    <row r="15" customHeight="1" spans="1:24">
      <c r="A15" s="1" t="s">
        <v>87</v>
      </c>
      <c r="B15" s="3"/>
      <c r="C15" s="3"/>
      <c r="D15" s="3"/>
      <c r="E15" s="3"/>
      <c r="F15" s="3"/>
      <c r="G15" s="3"/>
      <c r="H15" s="3"/>
      <c r="I15" s="3"/>
      <c r="J15" s="2" t="s">
        <v>507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Height="1" spans="1:24">
      <c r="A16" s="1" t="s">
        <v>508</v>
      </c>
      <c r="B16" s="3"/>
      <c r="C16" s="3"/>
      <c r="D16" s="3"/>
      <c r="E16" s="3"/>
      <c r="F16" s="3"/>
      <c r="G16" s="3"/>
      <c r="H16" s="3"/>
      <c r="I16" s="3"/>
      <c r="J16" s="2" t="s">
        <v>509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Height="1" spans="1:10">
      <c r="A17" s="1" t="str">
        <f>""</f>
        <v/>
      </c>
      <c r="J17" s="2" t="s">
        <v>223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>
    <arrUserId title="区域2" rangeCreator="" othersAccessPermission="edit"/>
    <arrUserId title="区域1" rangeCreator="" othersAccessPermission="edit"/>
  </rangeList>
  <rangeList sheetStid="9" master="" otherUserPermission="visible"/>
  <rangeList sheetStid="11" master="" otherUserPermission="visible"/>
  <rangeList sheetStid="7" master="" otherUserPermission="visible"/>
  <rangeList sheetStid="5" master="" otherUserPermission="visible"/>
  <rangeList sheetStid="4" master="" otherUserPermission="visible">
    <arrUserId title="区域1" rangeCreator="" othersAccessPermission="edit"/>
  </rangeList>
  <rangeList sheetStid="2" master="" otherUserPermission="visible"/>
  <rangeList sheetStid="6" master="" otherUserPermission="visible"/>
  <rangeList sheetStid="10" master="" otherUserPermission="visible"/>
</allowEditUser>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云配队</vt:lpstr>
      <vt:lpstr>配装</vt:lpstr>
      <vt:lpstr>声明</vt:lpstr>
      <vt:lpstr>邦布</vt:lpstr>
      <vt:lpstr>数值</vt:lpstr>
      <vt:lpstr>计算</vt:lpstr>
      <vt:lpstr>角色</vt:lpstr>
      <vt:lpstr>音擎</vt:lpstr>
      <vt:lpstr>驱动盘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14252</dc:creator>
  <cp:lastModifiedBy>静默之光</cp:lastModifiedBy>
  <dcterms:created xsi:type="dcterms:W3CDTF">2024-06-01T19:21:00Z</dcterms:created>
  <dcterms:modified xsi:type="dcterms:W3CDTF">2024-09-08T16:55:12Z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5E65BC9EB8DC4C96A356CD35AA0E7218_13</vt:lpwstr>
  </property>
  <property fmtid="{D5CDD505-2E9C-101B-9397-08002B2CF9AE}" pid="3" name="KSOProductBuildVer">
    <vt:lpwstr>2052-12.1.0.17857</vt:lpwstr>
  </property>
</Properties>
</file>