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7C9" lockStructure="1"/>
  <bookViews>
    <workbookView windowWidth="18528" windowHeight="7140"/>
  </bookViews>
  <sheets>
    <sheet name="云配队" sheetId="1" r:id="rId1"/>
    <sheet name="配装" sheetId="2" r:id="rId2"/>
    <sheet name="声明" sheetId="3" r:id="rId3"/>
    <sheet name="邦布" sheetId="4" r:id="rId4"/>
    <sheet name="数值" sheetId="5" r:id="rId5"/>
    <sheet name="计算" sheetId="6" r:id="rId6"/>
    <sheet name="角色" sheetId="7" r:id="rId7"/>
    <sheet name="音擎" sheetId="8" r:id="rId8"/>
    <sheet name="驱动盘" sheetId="9" r:id="rId9"/>
  </sheets>
  <definedNames>
    <definedName name="_xlnm._FilterDatabase" localSheetId="6" hidden="1">角色!$G$1:$I$32</definedName>
    <definedName name="_xlnm._FilterDatabase" localSheetId="5" hidden="1">数值!#REF!</definedName>
    <definedName name="_xlnm._FilterDatabase" localSheetId="4" hidden="1">数值!#REF!</definedName>
    <definedName name="_xlnm._FilterDatabase" localSheetId="7" hidden="1">音擎!$A$2:$AI$2</definedName>
  </definedNames>
  <calcPr calcId="144525"/>
</workbook>
</file>

<file path=xl/comments1.xml><?xml version="1.0" encoding="utf-8"?>
<comments xmlns="http://schemas.openxmlformats.org/spreadsheetml/2006/main">
  <authors>
    <author>14252</author>
    <author>静默之光</author>
  </authors>
  <commentList>
    <comment ref="N2" authorId="0">
      <text>
        <r>
          <rPr>
            <sz val="9"/>
            <rFont val="宋体"/>
            <charset val="134"/>
          </rPr>
          <t>14252:
词条的个数，并不是加成百分比</t>
        </r>
      </text>
    </comment>
    <comment ref="A25" authorId="1">
      <text>
        <r>
          <rPr>
            <sz val="9"/>
            <rFont val="宋体"/>
            <charset val="134"/>
          </rPr>
          <t>静默之光:
请在配装中保证面板与露西一致，其余尽量不要添加
首页的亲卫小队已经是三只猪的了，无需再乘3</t>
        </r>
      </text>
    </comment>
  </commentList>
</comments>
</file>

<file path=xl/comments2.xml><?xml version="1.0" encoding="utf-8"?>
<comments xmlns="http://schemas.openxmlformats.org/spreadsheetml/2006/main">
  <authors>
    <author>14252</author>
    <author>静默之光</author>
    <author>Unknown User</author>
  </authors>
  <commentList>
    <comment ref="B1" authorId="0">
      <text>
        <r>
          <rPr>
            <sz val="9"/>
            <rFont val="宋体"/>
            <charset val="134"/>
          </rPr>
          <t>14252:
S为1命
A为5命</t>
        </r>
      </text>
    </comment>
    <comment ref="A2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未计入组队被动</t>
        </r>
      </text>
    </comment>
    <comment ref="A3" authorId="1">
      <text>
        <r>
          <rPr>
            <sz val="9"/>
            <rFont val="宋体"/>
            <charset val="134"/>
          </rPr>
          <t>静默之光:
未包含触发击杀减CD</t>
        </r>
      </text>
    </comment>
    <comment ref="A7" authorId="0">
      <text>
        <r>
          <rPr>
            <sz val="9"/>
            <rFont val="宋体"/>
            <charset val="134"/>
          </rPr>
          <t>14252:
连携会额外召唤陷阱，视为额外使用一次主动技，待复测</t>
        </r>
      </text>
    </comment>
    <comment ref="A11" authorId="0">
      <text>
        <r>
          <rPr>
            <sz val="9"/>
            <rFont val="宋体"/>
            <charset val="134"/>
          </rPr>
          <t>批注：
子弹的概率分布为15%-70%-15%</t>
        </r>
      </text>
    </comment>
    <comment ref="F14" authorId="2">
      <text>
        <r>
          <rPr>
            <sz val="9"/>
            <rFont val="宋体"/>
            <charset val="134"/>
          </rPr>
          <t xml:space="preserve">批注:
静默之光:
60%命中率
</t>
        </r>
      </text>
    </comment>
  </commentList>
</comments>
</file>

<file path=xl/comments3.xml><?xml version="1.0" encoding="utf-8"?>
<comments xmlns="http://schemas.openxmlformats.org/spreadsheetml/2006/main">
  <authors>
    <author>静默之光</author>
  </authors>
  <commentList>
    <comment ref="C8" authorId="0">
      <text>
        <r>
          <rPr>
            <sz val="9"/>
            <rFont val="宋体"/>
            <charset val="134"/>
          </rPr>
          <t>增伤14.1%</t>
        </r>
      </text>
    </comment>
  </commentList>
</comments>
</file>

<file path=xl/comments4.xml><?xml version="1.0" encoding="utf-8"?>
<comments xmlns="http://schemas.openxmlformats.org/spreadsheetml/2006/main">
  <authors>
    <author>14252</author>
    <author>Unknown User</author>
    <author>静默之光</author>
  </authors>
  <commentList>
    <comment ref="BW3" authorId="0">
      <text>
        <r>
          <rPr>
            <sz val="9"/>
            <rFont val="宋体"/>
            <charset val="134"/>
          </rPr>
          <t xml:space="preserve">批注:
批注:
批注:
连续3发
</t>
        </r>
      </text>
    </comment>
    <comment ref="CG3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6命附加伤害</t>
        </r>
      </text>
    </comment>
    <comment ref="AX4" authorId="1">
      <text>
        <r>
          <rPr>
            <sz val="9"/>
            <rFont val="宋体"/>
            <charset val="134"/>
          </rPr>
          <t xml:space="preserve">批注:
批注:
批注:
仅第三段强化普攻
</t>
        </r>
      </text>
    </comment>
    <comment ref="AS6" authorId="2">
      <text>
        <r>
          <rPr>
            <sz val="9"/>
            <rFont val="宋体"/>
            <charset val="134"/>
          </rPr>
          <t xml:space="preserve">批注:
批注:
批注:
在恰当的时机发动普攻
</t>
        </r>
      </text>
    </comment>
    <comment ref="AX6" authorId="1">
      <text>
        <r>
          <rPr>
            <sz val="9"/>
            <rFont val="宋体"/>
            <charset val="134"/>
          </rPr>
          <t xml:space="preserve">静默之光:
技能后火刀
</t>
        </r>
      </text>
    </comment>
    <comment ref="AR8" authorId="2">
      <text>
        <r>
          <rPr>
            <sz val="9"/>
            <rFont val="宋体"/>
            <charset val="134"/>
          </rPr>
          <t xml:space="preserve">批注:
批注:
爆发下每套普攻40
</t>
        </r>
      </text>
    </comment>
    <comment ref="AX8" authorId="2">
      <text>
        <r>
          <rPr>
            <sz val="9"/>
            <rFont val="宋体"/>
            <charset val="134"/>
          </rPr>
          <t xml:space="preserve">批注:
批注:
批注:
爆发横扫
</t>
        </r>
      </text>
    </comment>
    <comment ref="BC8" authorId="2">
      <text>
        <r>
          <rPr>
            <sz val="9"/>
            <rFont val="宋体"/>
            <charset val="134"/>
          </rPr>
          <t xml:space="preserve">批注:
批注:
批注:
爆发电钻+打桩
</t>
        </r>
      </text>
    </comment>
    <comment ref="Q9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平均</t>
        </r>
      </text>
    </comment>
    <comment ref="AX9" authorId="0">
      <text>
        <r>
          <rPr>
            <sz val="9"/>
            <rFont val="宋体"/>
            <charset val="134"/>
          </rPr>
          <t>14252:
完整的第五段带终结</t>
        </r>
      </text>
    </comment>
    <comment ref="AR10" authorId="2">
      <text>
        <r>
          <rPr>
            <sz val="9"/>
            <rFont val="宋体"/>
            <charset val="134"/>
          </rPr>
          <t>批注:
点按60
长按80</t>
        </r>
      </text>
    </comment>
    <comment ref="AX10" authorId="2">
      <text>
        <r>
          <rPr>
            <sz val="9"/>
            <rFont val="宋体"/>
            <charset val="134"/>
          </rPr>
          <t>静默之光:
振刀+普攻+闪反正好满能量时的普攻部分</t>
        </r>
      </text>
    </comment>
    <comment ref="AR11" authorId="2">
      <text>
        <r>
          <rPr>
            <sz val="9"/>
            <rFont val="宋体"/>
            <charset val="134"/>
          </rPr>
          <t>批注:
点按40
长按60</t>
        </r>
      </text>
    </comment>
    <comment ref="AS12" authorId="2">
      <text>
        <r>
          <rPr>
            <sz val="9"/>
            <rFont val="宋体"/>
            <charset val="134"/>
          </rPr>
          <t xml:space="preserve">批注:
批注:
批注:
不含衔接的引爆
</t>
        </r>
      </text>
    </comment>
    <comment ref="AX12" authorId="2">
      <text>
        <r>
          <rPr>
            <sz val="9"/>
            <rFont val="宋体"/>
            <charset val="134"/>
          </rPr>
          <t xml:space="preserve">批注:
批注:
批注:
不含衔接的引爆
</t>
        </r>
      </text>
    </comment>
    <comment ref="BW12" authorId="2">
      <text>
        <r>
          <rPr>
            <sz val="9"/>
            <rFont val="宋体"/>
            <charset val="134"/>
          </rPr>
          <t>静默之光:
仅引爆</t>
        </r>
      </text>
    </comment>
    <comment ref="CG12" authorId="0">
      <text>
        <r>
          <rPr>
            <sz val="9"/>
            <rFont val="宋体"/>
            <charset val="134"/>
          </rPr>
          <t>14252:
仅引爆</t>
        </r>
      </text>
    </comment>
    <comment ref="AR13" authorId="2">
      <text>
        <r>
          <rPr>
            <sz val="9"/>
            <rFont val="宋体"/>
            <charset val="134"/>
          </rPr>
          <t xml:space="preserve">批注:
批注:
批注:
仅引爆
</t>
        </r>
      </text>
    </comment>
    <comment ref="AS14" authorId="2">
      <text>
        <r>
          <rPr>
            <sz val="9"/>
            <rFont val="宋体"/>
            <charset val="134"/>
          </rPr>
          <t>静默之光:
前三段物伤</t>
        </r>
      </text>
    </comment>
    <comment ref="AX14" authorId="2">
      <text>
        <r>
          <rPr>
            <sz val="9"/>
            <rFont val="宋体"/>
            <charset val="134"/>
          </rPr>
          <t>静默之光:
落雷</t>
        </r>
      </text>
    </comment>
    <comment ref="BW14" authorId="2">
      <text>
        <r>
          <rPr>
            <sz val="9"/>
            <rFont val="宋体"/>
            <charset val="134"/>
          </rPr>
          <t>静默之光:
在普攻2段之后打出</t>
        </r>
      </text>
    </comment>
    <comment ref="BX14" authorId="0">
      <text>
        <r>
          <rPr>
            <sz val="9"/>
            <rFont val="宋体"/>
            <charset val="134"/>
          </rPr>
          <t>14252:
特殊技没有算到技能失衡效率里</t>
        </r>
      </text>
    </comment>
    <comment ref="CG14" authorId="2">
      <text>
        <r>
          <rPr>
            <sz val="9"/>
            <rFont val="宋体"/>
            <charset val="134"/>
          </rPr>
          <t>静默之光:
在普攻2段之后打出</t>
        </r>
      </text>
    </comment>
    <comment ref="W15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首页buff区的暴击转化此表格吃不到</t>
        </r>
      </text>
    </comment>
    <comment ref="BC15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6命</t>
        </r>
      </text>
    </comment>
    <comment ref="DA15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霜灼·破</t>
        </r>
      </text>
    </comment>
    <comment ref="X16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二命效果加在了模组里</t>
        </r>
      </text>
    </comment>
    <comment ref="AS16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上弦</t>
        </r>
      </text>
    </comment>
    <comment ref="AX16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下弦
</t>
        </r>
      </text>
    </comment>
    <comment ref="BY16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快速流转0.3</t>
        </r>
      </text>
    </comment>
    <comment ref="CG16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二命长E</t>
        </r>
      </text>
    </comment>
    <comment ref="BW17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强化e单喷</t>
        </r>
      </text>
    </comment>
    <comment ref="CB17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强化E双喷</t>
        </r>
      </text>
    </comment>
    <comment ref="CG17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双喷终结</t>
        </r>
      </text>
    </comment>
    <comment ref="AR20" authorId="1">
      <text>
        <r>
          <rPr>
            <sz val="9"/>
            <rFont val="宋体"/>
            <charset val="134"/>
          </rPr>
          <t xml:space="preserve">批注:
批注:
批注:
至多消耗80能量
</t>
        </r>
      </text>
    </comment>
    <comment ref="CG21" authorId="1">
      <text>
        <r>
          <rPr>
            <sz val="9"/>
            <rFont val="宋体"/>
            <charset val="134"/>
          </rPr>
          <t>批注:
e，e，长e，立刻闪</t>
        </r>
      </text>
    </comment>
    <comment ref="CL21" authorId="2">
      <text>
        <r>
          <rPr>
            <sz val="9"/>
            <rFont val="宋体"/>
            <charset val="134"/>
          </rPr>
          <t>静默之光:
待确认</t>
        </r>
      </text>
    </comment>
    <comment ref="CG23" authorId="0">
      <text>
        <r>
          <rPr>
            <sz val="9"/>
            <rFont val="宋体"/>
            <charset val="134"/>
          </rPr>
          <t>14252:
待确认</t>
        </r>
      </text>
    </comment>
    <comment ref="CG24" authorId="2">
      <text>
        <r>
          <rPr>
            <sz val="9"/>
            <rFont val="宋体"/>
            <charset val="134"/>
          </rPr>
          <t>静默之光:
蓄力直到可以切人
不等待支援弹出</t>
        </r>
      </text>
    </comment>
    <comment ref="BR25" authorId="2">
      <text>
        <r>
          <rPr>
            <sz val="9"/>
            <rFont val="宋体"/>
            <charset val="134"/>
          </rPr>
          <t>静默之光:
露西6命效果</t>
        </r>
      </text>
    </comment>
    <comment ref="BA27" authorId="2">
      <text>
        <r>
          <rPr>
            <sz val="9"/>
            <rFont val="宋体"/>
            <charset val="134"/>
          </rPr>
          <t>静默之光:
2命35%</t>
        </r>
      </text>
    </comment>
  </commentList>
</comments>
</file>

<file path=xl/sharedStrings.xml><?xml version="1.0" encoding="utf-8"?>
<sst xmlns="http://schemas.openxmlformats.org/spreadsheetml/2006/main" count="1172" uniqueCount="594">
  <si>
    <t>异常条
基础
长度</t>
  </si>
  <si>
    <t>普通600
精英2250
首领3000</t>
  </si>
  <si>
    <t>注意事项：异常伤害的同纵列可以选择buff，因美观没有加黄底高亮
同一个buff会作用于改纵列的全部动作，包括“艾莲强普暴伤”等有角色名记述的buff
简的紊乱伤害会吃到“简强击”的buff，请使用“简狂热”buff；格丽丝的感电buff同理，计算紊乱时请剔除
安比默认E均触发核心被动</t>
  </si>
  <si>
    <t>角色等级</t>
  </si>
  <si>
    <t>怪物等级</t>
  </si>
  <si>
    <t>怪物类型</t>
  </si>
  <si>
    <t>绝区零云配队 V1.1.0       作者：静默之光</t>
  </si>
  <si>
    <t>精英</t>
  </si>
  <si>
    <t>默认均激活组队天赋；S级0画，A级2画；音擎驱动配置在“配装”页；统一11级技能6级核心；邦布单算，见“邦布”页</t>
  </si>
  <si>
    <t>入场攻击</t>
  </si>
  <si>
    <t>入场暴击</t>
  </si>
  <si>
    <t>入场暴伤</t>
  </si>
  <si>
    <t>入场冲击</t>
  </si>
  <si>
    <t>入场精通</t>
  </si>
  <si>
    <t>角色选择</t>
  </si>
  <si>
    <t>属性</t>
  </si>
  <si>
    <t>阵营</t>
  </si>
  <si>
    <t>音擎</t>
  </si>
  <si>
    <t>异常每跳</t>
  </si>
  <si>
    <t>累计回能</t>
  </si>
  <si>
    <t>动作1</t>
  </si>
  <si>
    <t>动作2</t>
  </si>
  <si>
    <t>动作3</t>
  </si>
  <si>
    <t>动作4</t>
  </si>
  <si>
    <t>动作5</t>
  </si>
  <si>
    <t>紊乱结算
剩余秒数</t>
  </si>
  <si>
    <t>紊乱伤害</t>
  </si>
  <si>
    <t>雅</t>
  </si>
  <si>
    <t>朱鸢</t>
  </si>
  <si>
    <t>柳</t>
  </si>
  <si>
    <t>累计时间</t>
  </si>
  <si>
    <t>紊乱倍率</t>
  </si>
  <si>
    <t>累计伤害</t>
  </si>
  <si>
    <t>紊乱增伤</t>
  </si>
  <si>
    <t>DPS</t>
  </si>
  <si>
    <t>累计失衡</t>
  </si>
  <si>
    <t>累计喧响</t>
  </si>
  <si>
    <t>累计冰火电以物异常</t>
  </si>
  <si>
    <t>秒均失衡</t>
  </si>
  <si>
    <t>秒均喧响</t>
  </si>
  <si>
    <t>秒均冰火电以物异常</t>
  </si>
  <si>
    <t>BUFF 1</t>
  </si>
  <si>
    <t>BUFF 2</t>
  </si>
  <si>
    <t>BUFF 3</t>
  </si>
  <si>
    <t>BUFF 4</t>
  </si>
  <si>
    <t>BUFF 5</t>
  </si>
  <si>
    <t>自身BUFF</t>
  </si>
  <si>
    <t>角色</t>
  </si>
  <si>
    <t>职业</t>
  </si>
  <si>
    <t>影画</t>
  </si>
  <si>
    <t>预设武器</t>
  </si>
  <si>
    <t>被动覆盖率</t>
  </si>
  <si>
    <t>描述</t>
  </si>
  <si>
    <t>驱动4件套</t>
  </si>
  <si>
    <t>驱动2件套</t>
  </si>
  <si>
    <t>四号位</t>
  </si>
  <si>
    <t>五号位</t>
  </si>
  <si>
    <t>六号位</t>
  </si>
  <si>
    <t>副词条
暴击数量</t>
  </si>
  <si>
    <t>副词条
暴伤数量</t>
  </si>
  <si>
    <t>副词条
大攻击数量</t>
  </si>
  <si>
    <t>副词条
小攻击数量</t>
  </si>
  <si>
    <t>副词条
精通数量</t>
  </si>
  <si>
    <t>副词条
穿透值数量</t>
  </si>
  <si>
    <t>备注</t>
  </si>
  <si>
    <t>强攻</t>
  </si>
  <si>
    <t>防爆者VI型</t>
  </si>
  <si>
    <t>混沌重金属</t>
  </si>
  <si>
    <t>啄木鸟电音</t>
  </si>
  <si>
    <t>暴伤</t>
  </si>
  <si>
    <t>攻击</t>
  </si>
  <si>
    <t>6命子弹（特E）失衡和异常缺失</t>
  </si>
  <si>
    <t>艾莲</t>
  </si>
  <si>
    <t>深海访客</t>
  </si>
  <si>
    <t>极地重金属</t>
  </si>
  <si>
    <t>河豚电音</t>
  </si>
  <si>
    <t>穿透</t>
  </si>
  <si>
    <t>未记录4命回能</t>
  </si>
  <si>
    <t>猫又</t>
  </si>
  <si>
    <t>硫磺石</t>
  </si>
  <si>
    <t>激素朋克</t>
  </si>
  <si>
    <t>獠牙重金属</t>
  </si>
  <si>
    <t>暴击</t>
  </si>
  <si>
    <t>未记录2命能量效率</t>
  </si>
  <si>
    <t>11号</t>
  </si>
  <si>
    <t>炎狱重金属</t>
  </si>
  <si>
    <t>2命记为全覆盖</t>
  </si>
  <si>
    <t>可琳</t>
  </si>
  <si>
    <t>家政员</t>
  </si>
  <si>
    <t>未记录4、6命</t>
  </si>
  <si>
    <t>安东</t>
  </si>
  <si>
    <t>雷暴重金属</t>
  </si>
  <si>
    <t>莱特</t>
  </si>
  <si>
    <t>击破</t>
  </si>
  <si>
    <t>人为刀俎</t>
  </si>
  <si>
    <t>震星迪斯科</t>
  </si>
  <si>
    <t>摇摆爵士</t>
  </si>
  <si>
    <t>属伤</t>
  </si>
  <si>
    <t>冲击</t>
  </si>
  <si>
    <t>青衣</t>
  </si>
  <si>
    <t>贵重骨核</t>
  </si>
  <si>
    <t>未记录4命</t>
  </si>
  <si>
    <t>莱卡恩</t>
  </si>
  <si>
    <t>自由蓝调</t>
  </si>
  <si>
    <t>1命均记为22%；未记录2命；6命记为全覆盖</t>
  </si>
  <si>
    <t>柯蕾妲</t>
  </si>
  <si>
    <t>未记录2命4命6命</t>
  </si>
  <si>
    <t>柯蕾妲连携</t>
  </si>
  <si>
    <t>安比</t>
  </si>
  <si>
    <t>原始朋克</t>
  </si>
  <si>
    <t>1命全覆盖
未记录4命</t>
  </si>
  <si>
    <t>异常</t>
  </si>
  <si>
    <t>雅专武</t>
  </si>
  <si>
    <t>时流贤者</t>
  </si>
  <si>
    <t>精通</t>
  </si>
  <si>
    <t>未计算极性紊乱</t>
  </si>
  <si>
    <t>柏妮思</t>
  </si>
  <si>
    <t>触电唇彩</t>
  </si>
  <si>
    <t>未记录4命6命</t>
  </si>
  <si>
    <t>简</t>
  </si>
  <si>
    <t>淬锋钳刺</t>
  </si>
  <si>
    <t>掌控</t>
  </si>
  <si>
    <t>未记录6命</t>
  </si>
  <si>
    <t>格丽丝</t>
  </si>
  <si>
    <t>嵌合编译器</t>
  </si>
  <si>
    <t>未记录1命4命；
eE均视为满电能</t>
  </si>
  <si>
    <t>派派</t>
  </si>
  <si>
    <t>轰鸣座驾</t>
  </si>
  <si>
    <t>未记录2、4、6命
（暂未拆开转圈和下砸）</t>
  </si>
  <si>
    <t>仓角</t>
  </si>
  <si>
    <t>支援</t>
  </si>
  <si>
    <t>含羞恶面</t>
  </si>
  <si>
    <t>未记录2命</t>
  </si>
  <si>
    <t>丽娜</t>
  </si>
  <si>
    <t>啜泣摇篮</t>
  </si>
  <si>
    <t>2命全覆盖；
未记录4命</t>
  </si>
  <si>
    <t>妮可</t>
  </si>
  <si>
    <t>聚宝箱</t>
  </si>
  <si>
    <t>回能</t>
  </si>
  <si>
    <t>露西</t>
  </si>
  <si>
    <t>好斗的阿炮</t>
  </si>
  <si>
    <t>1命均可触发；
未记录6命</t>
  </si>
  <si>
    <t>亲卫小队*</t>
  </si>
  <si>
    <t>凯撒</t>
  </si>
  <si>
    <t>防护</t>
  </si>
  <si>
    <t>奔袭獠牙</t>
  </si>
  <si>
    <t>未记录2命回能、4命</t>
  </si>
  <si>
    <t>赛斯</t>
  </si>
  <si>
    <t>4命未计算稀释；
未记录6命</t>
  </si>
  <si>
    <t>作者：静默之光    数据来源：666bj &amp; 米游社-绳网情报站</t>
  </si>
  <si>
    <t>一键复制，选一下其中之一即可：（推荐使用不带格式粘贴）</t>
  </si>
  <si>
    <t>版权许可证声明
特此免费授予任何获得本文档文件（以下简称“本文档”）副本的人，您可以自由地：
使用、复制、发行并传播本文档；
修改、转换本文档，以及基于本文档创作新的作品；
但必须遵守下列条款：
1，署名： 您必须给出适当的署名，尤其在自媒体平台中引用本文档进行创作时，需要提供指向本文档仓库的链接（https://github.com/AmicBeam/ZzzCloudTeam）或作者的链接（https://space.bilibili.com/9412490），并指明是否对其进行了修改。特别的，如果您并非在正式场合发布，也可以仅包含首页带署名的图片，而无需单独填写文字版的署名。
参考格式：
参考工具：《zzz云配队》V ?.?.?
原作者：静默之光
项目仓库/作者主页：...（有其一即可，如您在bilibili.com中引用，也可以直接@静默之光）
修改声明：是否基于原作品进行了修改
2，非商业性地转卖： 您不得将本文档直接用于商业目的的转售。
3，相同方式共享： 如果您再混合、转换、或基于本文档创作，必须基于与原作相同的许可协议发行进行。
上述版权声明和此许可声明应包含在所有文档副本或其重要部分中。
此外，文档按“原样”提供，不提供任何形式的保证，无论是明示还是暗示，包括但不限于适销性、特定用途的适用性以及非侵权性的保证。在任何情况下，作者均不对任何索赔、损害或其他责任负责，无论是在合同行为、侵权行为或其他行为中，由文档或文档的使用或其他交易引起的。</t>
  </si>
  <si>
    <t>参考工具：</t>
  </si>
  <si>
    <t>原作者：</t>
  </si>
  <si>
    <t>静默之光</t>
  </si>
  <si>
    <t>项目仓库：</t>
  </si>
  <si>
    <t>https://github.com/AmicBeam/ZzzCloudTeam</t>
  </si>
  <si>
    <t>修改声明：</t>
  </si>
  <si>
    <t>作者主页：</t>
  </si>
  <si>
    <t>https://space.bilibili.com/9412490</t>
  </si>
  <si>
    <t>（在bilibili时可采用下面的格式）</t>
  </si>
  <si>
    <t>@静默之光</t>
  </si>
  <si>
    <t>名称</t>
  </si>
  <si>
    <t>星级</t>
  </si>
  <si>
    <t>双暴</t>
  </si>
  <si>
    <t>倍率</t>
  </si>
  <si>
    <t>失衡倍率</t>
  </si>
  <si>
    <t>异常值</t>
  </si>
  <si>
    <t>异常掌控</t>
  </si>
  <si>
    <t>主动技
CD</t>
  </si>
  <si>
    <t>主动技
DPS</t>
  </si>
  <si>
    <t>主动技
秒均失衡</t>
  </si>
  <si>
    <t>主动技
秒均异常</t>
  </si>
  <si>
    <t>连携倍率</t>
  </si>
  <si>
    <t>连携
总伤害</t>
  </si>
  <si>
    <t>连携异常</t>
  </si>
  <si>
    <t>连携
总异常</t>
  </si>
  <si>
    <t>格列佛探员</t>
  </si>
  <si>
    <t>S</t>
  </si>
  <si>
    <t>赤红莫库斯</t>
  </si>
  <si>
    <t>阿崔巡查</t>
  </si>
  <si>
    <t>阿全</t>
  </si>
  <si>
    <t>艾米莉安</t>
  </si>
  <si>
    <t>鲨牙布</t>
  </si>
  <si>
    <t>飚速布</t>
  </si>
  <si>
    <t>插头布</t>
  </si>
  <si>
    <t>共鸣布</t>
  </si>
  <si>
    <t>左轮布</t>
  </si>
  <si>
    <t>骑士布</t>
  </si>
  <si>
    <t>A</t>
  </si>
  <si>
    <t>不良布</t>
  </si>
  <si>
    <t>招财布</t>
  </si>
  <si>
    <t>磁力布</t>
  </si>
  <si>
    <t>扑击布</t>
  </si>
  <si>
    <t>飞靶布</t>
  </si>
  <si>
    <t>企鹅布</t>
  </si>
  <si>
    <t>泪眼布</t>
  </si>
  <si>
    <t>电击布</t>
  </si>
  <si>
    <t>恶魔布</t>
  </si>
  <si>
    <t>驱动盘解释</t>
  </si>
  <si>
    <t>动作列表</t>
  </si>
  <si>
    <t>角色增伤</t>
  </si>
  <si>
    <t>武器增伤</t>
  </si>
  <si>
    <t>驱动增伤</t>
  </si>
  <si>
    <t>角色失衡</t>
  </si>
  <si>
    <t>武器失衡</t>
  </si>
  <si>
    <t>驱动失衡</t>
  </si>
  <si>
    <t>回能效率</t>
  </si>
  <si>
    <t>额外喧响</t>
  </si>
  <si>
    <t>异常效率</t>
  </si>
  <si>
    <t>buff列表</t>
  </si>
  <si>
    <t>易伤</t>
  </si>
  <si>
    <t>抗性</t>
  </si>
  <si>
    <t>异常抗性</t>
  </si>
  <si>
    <t>小攻击</t>
  </si>
  <si>
    <t>大攻击</t>
  </si>
  <si>
    <t>增伤</t>
  </si>
  <si>
    <t>减防</t>
  </si>
  <si>
    <t>失衡</t>
  </si>
  <si>
    <t>异常buff</t>
  </si>
  <si>
    <t>独立</t>
  </si>
  <si>
    <t>类型</t>
  </si>
  <si>
    <t>异常倍率</t>
  </si>
  <si>
    <t>角色动作</t>
  </si>
  <si>
    <t>额外回能</t>
  </si>
  <si>
    <t>主词条</t>
  </si>
  <si>
    <t>物理</t>
  </si>
  <si>
    <t>安比闪反</t>
  </si>
  <si>
    <t>4 | 5 | 6</t>
  </si>
  <si>
    <t>普攻</t>
  </si>
  <si>
    <t>格莉丝单层被动</t>
  </si>
  <si>
    <t>电</t>
  </si>
  <si>
    <t>露西强E</t>
  </si>
  <si>
    <t>暴击率</t>
  </si>
  <si>
    <t>强普</t>
  </si>
  <si>
    <t>青衣失衡</t>
  </si>
  <si>
    <t>格莉丝双层被动</t>
  </si>
  <si>
    <t>冰</t>
  </si>
  <si>
    <t>露西特E</t>
  </si>
  <si>
    <t>蓄力</t>
  </si>
  <si>
    <t>青衣2命失衡</t>
  </si>
  <si>
    <t>妮可减防</t>
  </si>
  <si>
    <t>火</t>
  </si>
  <si>
    <t>妮可强E</t>
  </si>
  <si>
    <t>冲刺</t>
  </si>
  <si>
    <t>狼哥失衡</t>
  </si>
  <si>
    <t>赛斯精通</t>
  </si>
  <si>
    <t>以太</t>
  </si>
  <si>
    <t>妮可特E</t>
  </si>
  <si>
    <t>属性伤害</t>
  </si>
  <si>
    <t>闪反</t>
  </si>
  <si>
    <t>狼哥冰抗</t>
  </si>
  <si>
    <t>丽娜人偶</t>
  </si>
  <si>
    <t>无</t>
  </si>
  <si>
    <t>妮可连携</t>
  </si>
  <si>
    <t>穿透率</t>
  </si>
  <si>
    <t>普E</t>
  </si>
  <si>
    <t>社长连携</t>
  </si>
  <si>
    <t>丽娜1命人偶</t>
  </si>
  <si>
    <t>妮可大招</t>
  </si>
  <si>
    <t>强E</t>
  </si>
  <si>
    <t>莱特减抗增伤</t>
  </si>
  <si>
    <t>丽娜电伤</t>
  </si>
  <si>
    <t>安东强普</t>
  </si>
  <si>
    <t>冲击力</t>
  </si>
  <si>
    <t>特E</t>
  </si>
  <si>
    <t>丽娜6命电伤</t>
  </si>
  <si>
    <t>安东蓄力</t>
  </si>
  <si>
    <t>快支</t>
  </si>
  <si>
    <t>柏妮思2命</t>
  </si>
  <si>
    <t>安东冲刺</t>
  </si>
  <si>
    <t>副词条</t>
  </si>
  <si>
    <t>弹刀</t>
  </si>
  <si>
    <t>露西加油&amp;阿炮</t>
  </si>
  <si>
    <t>安东快支</t>
  </si>
  <si>
    <t>连携</t>
  </si>
  <si>
    <t>简狂热</t>
  </si>
  <si>
    <t>安东连携</t>
  </si>
  <si>
    <t>大招</t>
  </si>
  <si>
    <t>雅异常效率</t>
  </si>
  <si>
    <t>简1命狂热</t>
  </si>
  <si>
    <t>协同</t>
  </si>
  <si>
    <t>柳4命穿透</t>
  </si>
  <si>
    <t>简强击</t>
  </si>
  <si>
    <t>穿透值</t>
  </si>
  <si>
    <t>柏妮思2命穿透</t>
  </si>
  <si>
    <t>简2命强击</t>
  </si>
  <si>
    <t>格丽丝2命</t>
  </si>
  <si>
    <t>简4命增伤</t>
  </si>
  <si>
    <t>1级</t>
  </si>
  <si>
    <t>60级</t>
  </si>
  <si>
    <t>仓角满层展旗</t>
  </si>
  <si>
    <t>派派动力</t>
  </si>
  <si>
    <t>武器主词条</t>
  </si>
  <si>
    <t>A级通用</t>
  </si>
  <si>
    <t>仓角冰队满层展旗</t>
  </si>
  <si>
    <t>凯撒天赋</t>
  </si>
  <si>
    <t>A级专武</t>
  </si>
  <si>
    <t>仓角4命减抗</t>
  </si>
  <si>
    <t>凯撒天赋
奔袭獠牙</t>
  </si>
  <si>
    <t>S级常驻</t>
  </si>
  <si>
    <t>妮可减防&amp;聚宝箱</t>
  </si>
  <si>
    <t>S级限定</t>
  </si>
  <si>
    <t>妮可以太减防&amp;聚宝箱</t>
  </si>
  <si>
    <t>武器副词条</t>
  </si>
  <si>
    <t>A级</t>
  </si>
  <si>
    <t>3.33倍</t>
  </si>
  <si>
    <t>8.33倍</t>
  </si>
  <si>
    <t>妮可6命暴击</t>
  </si>
  <si>
    <t>自定义</t>
  </si>
  <si>
    <t>S级</t>
  </si>
  <si>
    <t>4倍</t>
  </si>
  <si>
    <t>10倍</t>
  </si>
  <si>
    <t>收益</t>
  </si>
  <si>
    <t>露西4命加油&amp;阿炮</t>
  </si>
  <si>
    <t>本暴击</t>
  </si>
  <si>
    <t>可琳2命减抗</t>
  </si>
  <si>
    <t>安东4命暴击</t>
  </si>
  <si>
    <t>凯撒1命减抗</t>
  </si>
  <si>
    <t>凯撒2命天赋奔袭獠牙</t>
  </si>
  <si>
    <t>焰心桂冠</t>
  </si>
  <si>
    <t>玉壶青冰</t>
  </si>
  <si>
    <t>含羞恶面1层</t>
  </si>
  <si>
    <t>以下是自BUFF部分</t>
  </si>
  <si>
    <t>艾莲强普暴伤</t>
  </si>
  <si>
    <t>艾莲2命特E暴伤</t>
  </si>
  <si>
    <t>朱鸢失衡强普</t>
  </si>
  <si>
    <t>朱鸢4命强普</t>
  </si>
  <si>
    <t>朱鸢4命失衡强普</t>
  </si>
  <si>
    <t>猫又1命背刺</t>
  </si>
  <si>
    <t>猫又4命暴击+背刺</t>
  </si>
  <si>
    <t>猫又6命暴伤+暴击+背刺</t>
  </si>
  <si>
    <t>11号失衡火伤</t>
  </si>
  <si>
    <t>11号6命火抗</t>
  </si>
  <si>
    <t>11号6命失衡</t>
  </si>
  <si>
    <t>雅蓄力无视抗性</t>
  </si>
  <si>
    <t>雅1命蓄力无视抗性防御</t>
  </si>
  <si>
    <t>凯撒6命弹刀特E</t>
  </si>
  <si>
    <t>珂蕾妲1命失衡</t>
  </si>
  <si>
    <t>青衣1命暴击</t>
  </si>
  <si>
    <t>青衣2命失衡+暴击</t>
  </si>
  <si>
    <t>青衣6命暴伤+失衡+暴击</t>
  </si>
  <si>
    <t>可琳1命失衡期</t>
  </si>
  <si>
    <t>安东6命增伤</t>
  </si>
  <si>
    <t>安比2命落雷</t>
  </si>
  <si>
    <t>安比2命强E</t>
  </si>
  <si>
    <t>安比6命</t>
  </si>
  <si>
    <t>安比6命落雷</t>
  </si>
  <si>
    <t>角色表行号</t>
  </si>
  <si>
    <t>武器</t>
  </si>
  <si>
    <t>驱动4</t>
  </si>
  <si>
    <t>驱动2</t>
  </si>
  <si>
    <t>驱动4覆盖</t>
  </si>
  <si>
    <t>武器表行号</t>
  </si>
  <si>
    <t>武器覆盖</t>
  </si>
  <si>
    <t>武器攻击</t>
  </si>
  <si>
    <t>驱动4行号</t>
  </si>
  <si>
    <t>驱动2行号</t>
  </si>
  <si>
    <t>武器驱动战前大攻</t>
  </si>
  <si>
    <t>驱动
战前小攻</t>
  </si>
  <si>
    <t>武器驱动暴击</t>
  </si>
  <si>
    <t>武器驱动暴伤</t>
  </si>
  <si>
    <t>武器驱动穿透率</t>
  </si>
  <si>
    <t>驱动
穿透值</t>
  </si>
  <si>
    <t>武器驱动精通</t>
  </si>
  <si>
    <t>武器驱动掌控</t>
  </si>
  <si>
    <t>武器异常效率</t>
  </si>
  <si>
    <t>能量回复</t>
  </si>
  <si>
    <t>后台回能</t>
  </si>
  <si>
    <t>能量效率</t>
  </si>
  <si>
    <t>面板冲击</t>
  </si>
  <si>
    <t>面板攻击</t>
  </si>
  <si>
    <t>战时数攻</t>
  </si>
  <si>
    <t>异常增伤</t>
  </si>
  <si>
    <t>防御区</t>
  </si>
  <si>
    <t>异常基底</t>
  </si>
  <si>
    <t>异常伤害</t>
  </si>
  <si>
    <t>紊乱基底</t>
  </si>
  <si>
    <t>总喧响</t>
  </si>
  <si>
    <t>总回能</t>
  </si>
  <si>
    <t>动作列号</t>
  </si>
  <si>
    <t>动作喧响</t>
  </si>
  <si>
    <t>动作回能</t>
  </si>
  <si>
    <t>武器驱动增伤</t>
  </si>
  <si>
    <t>失衡提升</t>
  </si>
  <si>
    <t>动作异常</t>
  </si>
  <si>
    <t>异常总和</t>
  </si>
  <si>
    <t>战时冲击</t>
  </si>
  <si>
    <t>时间</t>
  </si>
  <si>
    <t>削韧</t>
  </si>
  <si>
    <t>伤害</t>
  </si>
  <si>
    <t>攻击方系数</t>
  </si>
  <si>
    <t>基础防御力</t>
  </si>
  <si>
    <t>buff行号</t>
  </si>
  <si>
    <t>总时间</t>
  </si>
  <si>
    <t>BUFF 6</t>
  </si>
  <si>
    <t>定位</t>
  </si>
  <si>
    <t>基础攻击</t>
  </si>
  <si>
    <t>战时大攻击</t>
  </si>
  <si>
    <t>战时小攻击</t>
  </si>
  <si>
    <t>战前冲击</t>
  </si>
  <si>
    <t>普攻强普异常效率</t>
  </si>
  <si>
    <t>蓄力技能异常效率</t>
  </si>
  <si>
    <t>协同异常效率</t>
  </si>
  <si>
    <t>其他异常效率</t>
  </si>
  <si>
    <t>基础回能</t>
  </si>
  <si>
    <t>普攻增伤</t>
  </si>
  <si>
    <t>强普增伤</t>
  </si>
  <si>
    <t>蓄力增伤</t>
  </si>
  <si>
    <t>冲刺增伤</t>
  </si>
  <si>
    <t>闪反增伤</t>
  </si>
  <si>
    <t>特技增伤</t>
  </si>
  <si>
    <t>技能增伤</t>
  </si>
  <si>
    <t>快支弹刀
增伤</t>
  </si>
  <si>
    <t>连锁增伤</t>
  </si>
  <si>
    <t>大招增伤</t>
  </si>
  <si>
    <t>协同增伤</t>
  </si>
  <si>
    <t>普攻失衡</t>
  </si>
  <si>
    <t>强普失衡</t>
  </si>
  <si>
    <t>技能失衡</t>
  </si>
  <si>
    <t>技能费用</t>
  </si>
  <si>
    <t>普攻倍率</t>
  </si>
  <si>
    <t>普攻耗时</t>
  </si>
  <si>
    <t>普攻异常</t>
  </si>
  <si>
    <t>普攻喧响</t>
  </si>
  <si>
    <t>强普倍率</t>
  </si>
  <si>
    <t>强普耗时</t>
  </si>
  <si>
    <t>强普异常</t>
  </si>
  <si>
    <t>强普喧响</t>
  </si>
  <si>
    <t>蓄力倍率</t>
  </si>
  <si>
    <t>蓄力失衡</t>
  </si>
  <si>
    <t>蓄力耗时</t>
  </si>
  <si>
    <t>蓄力异常</t>
  </si>
  <si>
    <t>蓄力喧响</t>
  </si>
  <si>
    <t>冲刺倍率</t>
  </si>
  <si>
    <t>冲刺失衡</t>
  </si>
  <si>
    <t>冲刺耗时</t>
  </si>
  <si>
    <t>冲刺异常</t>
  </si>
  <si>
    <t>冲刺喧响</t>
  </si>
  <si>
    <t>闪反倍率</t>
  </si>
  <si>
    <t>闪反失衡</t>
  </si>
  <si>
    <t>闪反耗时</t>
  </si>
  <si>
    <t>闪反异常</t>
  </si>
  <si>
    <t>闪反喧响</t>
  </si>
  <si>
    <t>快支倍率</t>
  </si>
  <si>
    <t>快支失衡</t>
  </si>
  <si>
    <t>快支耗时</t>
  </si>
  <si>
    <t>快支异常</t>
  </si>
  <si>
    <t>快支喧响</t>
  </si>
  <si>
    <t>普E倍率</t>
  </si>
  <si>
    <t>普E失衡</t>
  </si>
  <si>
    <t>普E耗时</t>
  </si>
  <si>
    <t>普E异常</t>
  </si>
  <si>
    <t>普E喧响</t>
  </si>
  <si>
    <t>强E倍率</t>
  </si>
  <si>
    <t>强E失衡</t>
  </si>
  <si>
    <t>强E耗时</t>
  </si>
  <si>
    <t>强E异常</t>
  </si>
  <si>
    <t>强E喧响</t>
  </si>
  <si>
    <t>特E倍率</t>
  </si>
  <si>
    <t>特E失衡</t>
  </si>
  <si>
    <t>特E耗时</t>
  </si>
  <si>
    <t>特E异常</t>
  </si>
  <si>
    <t>特E喧响</t>
  </si>
  <si>
    <t>弹刀倍率</t>
  </si>
  <si>
    <t>弹刀失衡</t>
  </si>
  <si>
    <t>弹刀耗时</t>
  </si>
  <si>
    <t>弹刀异常</t>
  </si>
  <si>
    <t>弹刀喧响</t>
  </si>
  <si>
    <t>连携失衡</t>
  </si>
  <si>
    <t>连携耗时</t>
  </si>
  <si>
    <t>连携喧响</t>
  </si>
  <si>
    <t>大招倍率</t>
  </si>
  <si>
    <t>大招失衡</t>
  </si>
  <si>
    <t>大招耗时</t>
  </si>
  <si>
    <t>大招异常</t>
  </si>
  <si>
    <t>大招喧响</t>
  </si>
  <si>
    <t>协同倍率</t>
  </si>
  <si>
    <t>协同失衡</t>
  </si>
  <si>
    <t>协同耗时</t>
  </si>
  <si>
    <t>协同异常</t>
  </si>
  <si>
    <t>协同喧响</t>
  </si>
  <si>
    <t>注释</t>
  </si>
  <si>
    <t>治安局</t>
  </si>
  <si>
    <t>强普40--失衡翻倍
发动技伤后30暴击10秒</t>
  </si>
  <si>
    <t>家政</t>
  </si>
  <si>
    <t>普攻蓄力100暴伤（不含）
30冰伤</t>
  </si>
  <si>
    <t>狡兔屋</t>
  </si>
  <si>
    <t>闪反触发全伤60%6秒（未计）
长轴强E35%-&gt;70%</t>
  </si>
  <si>
    <t>小队</t>
  </si>
  <si>
    <t>附魔刀70%
火伤10%--失衡&gt;&gt;22.5%</t>
  </si>
  <si>
    <t>持续锯37.5
失衡期22.5</t>
  </si>
  <si>
    <t>重工</t>
  </si>
  <si>
    <t>40电钻24打桩
5个暴击送0.45感电（未记）</t>
  </si>
  <si>
    <t>卡吕冬</t>
  </si>
  <si>
    <t>18%冲击；15冰火抗（未记）
20.4增伤（未记）</t>
  </si>
  <si>
    <t>失衡易伤80%（未记）
普攻20失衡，600小攻击</t>
  </si>
  <si>
    <t>蓄力失衡80%（已计）
失衡易伤+35%</t>
  </si>
  <si>
    <t>强普强E失衡60%（已计）
失衡连携+70%（未记）</t>
  </si>
  <si>
    <t>落雷普E强E失衡64%
闪反回能</t>
  </si>
  <si>
    <t>六科</t>
  </si>
  <si>
    <t>15积蓄效率（未记）
50蓄力伤；25蓄力冰抗</t>
  </si>
  <si>
    <t>20电伤；250%紊乱倍率（未记）
45%普攻积蓄</t>
  </si>
  <si>
    <t>30协同伤
65强E协同异常效率</t>
  </si>
  <si>
    <t>强击暴击（未记）
35异常效率</t>
  </si>
  <si>
    <t>加E的异常130%
每次强化E，感电18%2层</t>
  </si>
  <si>
    <t>80物理异常效率
全队20增伤（未计）</t>
  </si>
  <si>
    <t>20%攻击传递（未计）
满层展旗20%冰伤（未计）</t>
  </si>
  <si>
    <t>穿透（未计）
感电时10电伤（未计）</t>
  </si>
  <si>
    <t>40减防3.5秒（未计）
15以太（未计）</t>
  </si>
  <si>
    <t>继承攻击200%
继承双暴</t>
  </si>
  <si>
    <t>护盾
全队增伤25%（未记）</t>
  </si>
  <si>
    <t>100精通护盾（未记）
强普减异常全抗（未记）</t>
  </si>
  <si>
    <t>战时攻击</t>
  </si>
  <si>
    <t>异常协同
增伤</t>
  </si>
  <si>
    <t>空列</t>
  </si>
  <si>
    <t>22%冲击
50冰火爆伤（未记）</t>
  </si>
  <si>
    <t>普攻冲击0.7%，30层
全队20增伤（未记）</t>
  </si>
  <si>
    <t>拘缚者</t>
  </si>
  <si>
    <t>普攻招式伤害失衡6%，5层</t>
  </si>
  <si>
    <t>燃狱齿轮</t>
  </si>
  <si>
    <t>强化E后10冲击，2层
（只算1层）</t>
  </si>
  <si>
    <t>德玛拉电池Ⅱ型</t>
  </si>
  <si>
    <t>电伤15；闪反支援18能效</t>
  </si>
  <si>
    <t>左轮转子</t>
  </si>
  <si>
    <t>18秒充能，38.4强E失衡</t>
  </si>
  <si>
    <t>50%血线和75%血线18%失衡（注意覆盖率）</t>
  </si>
  <si>
    <t>每10能量3.2%冲击，最多8层</t>
  </si>
  <si>
    <t>湍流-矢</t>
  </si>
  <si>
    <t>12%失衡</t>
  </si>
  <si>
    <t>15暴击
强E后8次35增伤的普攻</t>
  </si>
  <si>
    <t>25冰伤，普攻/冲刺攻击后各10暴击8/15秒</t>
  </si>
  <si>
    <t>钢铁肉垫</t>
  </si>
  <si>
    <t>20物伤，背刺25
（1/5覆盖率）</t>
  </si>
  <si>
    <t>普攻冲刺闪反叠层3.5%攻击
8层8秒</t>
  </si>
  <si>
    <t>回能；强E3%物伤叠15层
（逐渐叠）</t>
  </si>
  <si>
    <t>旋钻机-赤轴</t>
  </si>
  <si>
    <t>强化E后50电伤10秒</t>
  </si>
  <si>
    <t>强音热望</t>
  </si>
  <si>
    <t>强E连携后8秒9.6攻；异常翻倍</t>
  </si>
  <si>
    <t>鸢尾秘藏</t>
  </si>
  <si>
    <t>9.6%攻；24强化E伤害</t>
  </si>
  <si>
    <t>星徽引擎</t>
  </si>
  <si>
    <t>闪反快支19.2攻，12秒</t>
  </si>
  <si>
    <t>加农转子</t>
  </si>
  <si>
    <t>12攻；33.3附带倍率（未记）</t>
  </si>
  <si>
    <t>25冰伤，普攻20暴击</t>
  </si>
  <si>
    <t>30电异常效率；75精通
25紊乱伤（未记）</t>
  </si>
  <si>
    <t>灼心摇壶</t>
  </si>
  <si>
    <t>回能；强E协同伤害3.5叠10层6秒;50精通</t>
  </si>
  <si>
    <t>36物伤40异常效率</t>
  </si>
  <si>
    <t>12战时攻击
e和强化e后25精通3层</t>
  </si>
  <si>
    <t>强化E时给攻精效，5秒</t>
  </si>
  <si>
    <t>双生泣星</t>
  </si>
  <si>
    <t>每次异常48精通，最多4层
（注意覆盖率）</t>
  </si>
  <si>
    <t>雨林饕客</t>
  </si>
  <si>
    <t>10能量4攻击10层，10秒独立（注意覆盖率）</t>
  </si>
  <si>
    <t>有异常状态敌人，16攻25伤</t>
  </si>
  <si>
    <t>电磁爆-壹</t>
  </si>
  <si>
    <t>40掌控10秒，cd20秒</t>
  </si>
  <si>
    <t>电磁爆-贰</t>
  </si>
  <si>
    <t>40精通10秒，cd20秒</t>
  </si>
  <si>
    <t>全队增伤10-20.2%（未记）</t>
  </si>
  <si>
    <t>造成以太技伤后，挂15增伤debuff（未记）回能提升（算妮可身上）</t>
  </si>
  <si>
    <t>全队2.5%攻4层（未记）</t>
  </si>
  <si>
    <t>15冰伤，强化e全队2%攻击，叠4层12秒（未记）</t>
  </si>
  <si>
    <t>时光切片</t>
  </si>
  <si>
    <t>额外喧响值回能（目前本计算器不记录）</t>
  </si>
  <si>
    <t>逍遥游球</t>
  </si>
  <si>
    <t>触发克制，全队暴击（未记）</t>
  </si>
  <si>
    <t>残响-II</t>
  </si>
  <si>
    <t>强化E和连携，全队16精通和掌控10秒，cd20秒（未记）</t>
  </si>
  <si>
    <t>20能效；全队18增伤12失衡20秒</t>
  </si>
  <si>
    <t>维序者-特化型</t>
  </si>
  <si>
    <t>有护盾40%回能；强E弹刀异常36%</t>
  </si>
  <si>
    <t>正版变身器</t>
  </si>
  <si>
    <t>生命；受击(含招架)16%冲击</t>
  </si>
  <si>
    <t>4件套效果</t>
  </si>
  <si>
    <t>普攻冲刺强E9%攻击，6秒</t>
  </si>
  <si>
    <t>大招20增伤，大招后15攻（20%覆盖）</t>
  </si>
  <si>
    <t>切前台25%攻击10秒/20秒</t>
  </si>
  <si>
    <t>25%普伤冲伤，异常后翻倍12秒</t>
  </si>
  <si>
    <t>20暴伤，异常后5.5%暴伤6层8秒</t>
  </si>
  <si>
    <t>异常后28%暴击</t>
  </si>
  <si>
    <t>有感电27%攻击</t>
  </si>
  <si>
    <t>异常后35增伤12秒</t>
  </si>
  <si>
    <t>普攻失衡20%</t>
  </si>
  <si>
    <t>连锁后全队15增伤12秒（未记）</t>
  </si>
  <si>
    <t>强E后20%异常减抗（未记）</t>
  </si>
  <si>
    <t>混沌爵士</t>
  </si>
  <si>
    <t>15火电伤；20强E协同伤</t>
  </si>
  <si>
    <t>15护盾；招架后全队15增伤10秒（未记）</t>
  </si>
  <si>
    <t>灵魂摇滚</t>
  </si>
  <si>
    <t>16防御；减伤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</si>
</sst>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_);[Red]\(0.0\)"/>
    <numFmt numFmtId="178" formatCode="0_);[Red]\(0\)"/>
  </numFmts>
  <fonts count="44">
    <font>
      <sz val="11"/>
      <name val="宋体"/>
      <charset val="134"/>
    </font>
    <font>
      <sz val="14"/>
      <color rgb="FF000000"/>
      <name val="阿里巴巴普惠体"/>
      <charset val="134"/>
    </font>
    <font>
      <sz val="11"/>
      <color rgb="FF000000"/>
      <name val="阿里巴巴普惠体"/>
      <charset val="134"/>
    </font>
    <font>
      <sz val="14"/>
      <color rgb="FF00B050"/>
      <name val="阿里巴巴普惠体"/>
      <charset val="134"/>
    </font>
    <font>
      <sz val="14"/>
      <color rgb="FFF6328E"/>
      <name val="阿里巴巴普惠体"/>
      <charset val="134"/>
    </font>
    <font>
      <sz val="14"/>
      <name val="阿里巴巴普惠体"/>
      <charset val="134"/>
    </font>
    <font>
      <sz val="14"/>
      <color rgb="FF7030A0"/>
      <name val="阿里巴巴普惠体"/>
      <charset val="134"/>
    </font>
    <font>
      <sz val="14"/>
      <color rgb="FFED7D31"/>
      <name val="阿里巴巴普惠体"/>
      <charset val="134"/>
    </font>
    <font>
      <sz val="14"/>
      <color theme="0" tint="-0.35"/>
      <name val="阿里巴巴普惠体"/>
      <charset val="134"/>
    </font>
    <font>
      <sz val="14"/>
      <color rgb="FFFF0000"/>
      <name val="阿里巴巴普惠体"/>
      <charset val="134"/>
    </font>
    <font>
      <sz val="14"/>
      <color rgb="FF833C0C"/>
      <name val="阿里巴巴普惠体"/>
      <charset val="134"/>
    </font>
    <font>
      <sz val="14"/>
      <color rgb="FFF4B084"/>
      <name val="阿里巴巴普惠体"/>
      <charset val="134"/>
    </font>
    <font>
      <sz val="14"/>
      <color rgb="FF2F75B5"/>
      <name val="阿里巴巴普惠体"/>
      <charset val="134"/>
    </font>
    <font>
      <sz val="14"/>
      <color rgb="FFF125EF"/>
      <name val="阿里巴巴普惠体"/>
      <charset val="134"/>
    </font>
    <font>
      <sz val="14"/>
      <color rgb="FF548235"/>
      <name val="阿里巴巴普惠体"/>
      <charset val="134"/>
    </font>
    <font>
      <sz val="14"/>
      <color rgb="FFC65911"/>
      <name val="阿里巴巴普惠体"/>
      <charset val="134"/>
    </font>
    <font>
      <sz val="14"/>
      <color rgb="FFC00000"/>
      <name val="阿里巴巴普惠体"/>
      <charset val="134"/>
    </font>
    <font>
      <sz val="12"/>
      <color rgb="FF000000"/>
      <name val="阿里巴巴普惠体"/>
      <charset val="134"/>
    </font>
    <font>
      <sz val="16"/>
      <color rgb="FF000000"/>
      <name val="阿里巴巴普惠体"/>
      <charset val="134"/>
    </font>
    <font>
      <sz val="14"/>
      <color theme="4"/>
      <name val="阿里巴巴普惠体"/>
      <charset val="134"/>
    </font>
    <font>
      <sz val="11"/>
      <color rgb="FFFDFEDD"/>
      <name val="阿里巴巴普惠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DFEDD"/>
        <bgColor indexed="64"/>
      </patternFill>
    </fill>
    <fill>
      <patternFill patternType="solid">
        <fgColor rgb="FFFBFD9E"/>
        <bgColor indexed="64"/>
      </patternFill>
    </fill>
    <fill>
      <patternFill patternType="solid">
        <fgColor rgb="FFE5FEEC"/>
        <bgColor indexed="64"/>
      </patternFill>
    </fill>
    <fill>
      <patternFill patternType="solid">
        <fgColor rgb="FFFEDAC4"/>
        <bgColor indexed="64"/>
      </patternFill>
    </fill>
    <fill>
      <patternFill patternType="solid">
        <fgColor rgb="FFD0DDFE"/>
        <bgColor indexed="64"/>
      </patternFill>
    </fill>
    <fill>
      <patternFill patternType="solid">
        <fgColor rgb="FFF5B4FE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11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2" fillId="0" borderId="0" applyBorder="0">
      <alignment vertical="top"/>
      <protection locked="0"/>
    </xf>
    <xf numFmtId="9" fontId="2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14" borderId="12" applyNumberFormat="0" applyFont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5" fillId="18" borderId="15" applyNumberFormat="0" applyAlignment="0" applyProtection="0">
      <alignment vertical="center"/>
    </xf>
    <xf numFmtId="0" fontId="36" fillId="18" borderId="11" applyNumberFormat="0" applyAlignment="0" applyProtection="0">
      <alignment vertical="center"/>
    </xf>
    <xf numFmtId="0" fontId="37" fillId="19" borderId="16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77" fontId="9" fillId="2" borderId="0" xfId="0" applyNumberFormat="1" applyFont="1" applyFill="1" applyAlignment="1">
      <alignment horizontal="center" vertical="center"/>
    </xf>
    <xf numFmtId="177" fontId="10" fillId="2" borderId="0" xfId="0" applyNumberFormat="1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10" fillId="2" borderId="0" xfId="0" applyNumberFormat="1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177" fontId="12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77" fontId="13" fillId="2" borderId="0" xfId="0" applyNumberFormat="1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177" fontId="14" fillId="2" borderId="0" xfId="0" applyNumberFormat="1" applyFont="1" applyFill="1" applyAlignment="1">
      <alignment horizontal="center" vertical="center"/>
    </xf>
    <xf numFmtId="177" fontId="15" fillId="2" borderId="0" xfId="0" applyNumberFormat="1" applyFont="1" applyFill="1" applyAlignment="1">
      <alignment horizontal="center" vertical="center"/>
    </xf>
    <xf numFmtId="177" fontId="14" fillId="2" borderId="0" xfId="0" applyNumberFormat="1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177" fontId="16" fillId="2" borderId="0" xfId="0" applyNumberFormat="1" applyFont="1" applyFill="1" applyAlignment="1">
      <alignment horizontal="center" vertical="center"/>
    </xf>
    <xf numFmtId="177" fontId="15" fillId="2" borderId="0" xfId="0" applyNumberFormat="1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18" fillId="2" borderId="0" xfId="0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 wrapText="1"/>
    </xf>
    <xf numFmtId="178" fontId="5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0" fillId="2" borderId="0" xfId="0" applyFont="1" applyFill="1">
      <alignment vertical="center"/>
    </xf>
    <xf numFmtId="0" fontId="2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Protection="1">
      <alignment vertical="center"/>
      <protection locked="0"/>
    </xf>
    <xf numFmtId="0" fontId="21" fillId="2" borderId="0" xfId="10" applyFont="1" applyFill="1" applyAlignment="1">
      <alignment vertical="center"/>
      <protection locked="0"/>
    </xf>
    <xf numFmtId="0" fontId="22" fillId="2" borderId="0" xfId="10" applyFill="1" applyAlignment="1">
      <alignment vertic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9" fontId="1" fillId="3" borderId="0" xfId="0" applyNumberFormat="1" applyFont="1" applyFill="1" applyAlignment="1" applyProtection="1">
      <alignment horizontal="center" vertical="center"/>
      <protection locked="0"/>
    </xf>
    <xf numFmtId="0" fontId="9" fillId="3" borderId="0" xfId="0" applyFont="1" applyFill="1" applyAlignment="1" applyProtection="1">
      <alignment horizontal="center" vertical="center" wrapText="1"/>
      <protection locked="0"/>
    </xf>
    <xf numFmtId="178" fontId="1" fillId="2" borderId="0" xfId="0" applyNumberFormat="1" applyFont="1" applyFill="1" applyAlignment="1" applyProtection="1">
      <alignment horizontal="center" vertical="center"/>
      <protection locked="0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78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77" fontId="1" fillId="4" borderId="3" xfId="0" applyNumberFormat="1" applyFont="1" applyFill="1" applyBorder="1" applyAlignment="1">
      <alignment horizontal="center" vertical="center"/>
    </xf>
    <xf numFmtId="177" fontId="1" fillId="5" borderId="3" xfId="0" applyNumberFormat="1" applyFont="1" applyFill="1" applyBorder="1" applyAlignment="1">
      <alignment horizontal="center" vertical="center"/>
    </xf>
    <xf numFmtId="177" fontId="1" fillId="6" borderId="3" xfId="0" applyNumberFormat="1" applyFont="1" applyFill="1" applyBorder="1" applyAlignment="1">
      <alignment horizontal="center" vertical="center"/>
    </xf>
    <xf numFmtId="177" fontId="1" fillId="7" borderId="3" xfId="0" applyNumberFormat="1" applyFont="1" applyFill="1" applyBorder="1" applyAlignment="1">
      <alignment horizontal="center" vertical="center"/>
    </xf>
    <xf numFmtId="177" fontId="1" fillId="8" borderId="3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 wrapText="1"/>
    </xf>
    <xf numFmtId="177" fontId="1" fillId="3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2">
    <dxf>
      <font>
        <color rgb="FFFDFEDD"/>
      </font>
    </dxf>
    <dxf>
      <font>
        <color rgb="FFE5FEEC"/>
      </font>
    </dxf>
    <dxf>
      <font>
        <color rgb="FFFEDAC4"/>
      </font>
    </dxf>
    <dxf>
      <font>
        <color rgb="FFD0DDFE"/>
      </font>
    </dxf>
    <dxf>
      <font>
        <color rgb="FFF5B4FE"/>
      </font>
    </dxf>
    <dxf>
      <font>
        <color rgb="FFF9FCFE"/>
      </font>
    </dxf>
    <dxf>
      <font>
        <strike val="0"/>
        <color rgb="FFC00000"/>
      </font>
    </dxf>
    <dxf>
      <font>
        <strike val="0"/>
        <color rgb="FF5B9BD5"/>
      </font>
    </dxf>
    <dxf>
      <font>
        <strike val="0"/>
        <color rgb="FFA9D08E"/>
      </font>
    </dxf>
    <dxf>
      <font>
        <strike val="0"/>
        <color rgb="FFFE76C4"/>
      </font>
    </dxf>
    <dxf>
      <font>
        <strike val="0"/>
        <color rgb="FF7030A0"/>
      </font>
    </dxf>
    <dxf>
      <font>
        <strike val="0"/>
        <color rgb="FF548235"/>
      </font>
    </dxf>
    <dxf>
      <fill>
        <patternFill patternType="solid">
          <fgColor rgb="FFDDEBF7"/>
          <bgColor rgb="FFDDEBF7"/>
        </patternFill>
      </fill>
      <border>
        <left/>
        <right/>
        <top/>
        <bottom style="thin">
          <color rgb="FF9BC2E6"/>
        </bottom>
      </border>
    </dxf>
    <dxf>
      <font>
        <b val="1"/>
      </font>
      <fill>
        <patternFill patternType="solid">
          <fgColor rgb="FFDDEBF7"/>
          <bgColor rgb="FFDDEBF7"/>
        </patternFill>
      </fill>
      <border>
        <left/>
        <right/>
        <top/>
        <bottom style="thin">
          <color rgb="FF9BC2E6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BC2E6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5B9BD5"/>
        </top>
        <bottom style="thin">
          <color rgb="FF5B9BD5"/>
        </bottom>
      </border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 val="1"/>
        <color rgb="FF000000"/>
      </font>
      <fill>
        <patternFill patternType="solid">
          <fgColor rgb="FFDDEBF7"/>
          <bgColor rgb="FFDDEBF7"/>
        </patternFill>
      </fill>
      <border>
        <left/>
        <right/>
        <top style="thin">
          <color rgb="FF9BC2E6"/>
        </top>
        <bottom style="thin">
          <color rgb="FF9BC2E6"/>
        </bottom>
      </border>
    </dxf>
    <dxf>
      <font>
        <b val="1"/>
        <color rgb="FF000000"/>
      </font>
      <fill>
        <patternFill patternType="solid">
          <fgColor rgb="FFDDEBF7"/>
          <bgColor rgb="FFDDEBF7"/>
        </patternFill>
      </fill>
      <border>
        <left/>
        <right/>
        <top/>
        <bottom style="thin">
          <color rgb="FF9BC2E6"/>
        </bottom>
      </border>
    </dxf>
  </dxfs>
  <tableStyles count="1" defaultTableStyle="TableStyleMedium2" defaultPivotStyle="PivotStylePreset2_Accent1 1">
    <tableStyle name="PivotStylePreset2_Accent1 1" table="0" count="10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colors>
    <mruColors>
      <color rgb="00FBFD9E"/>
      <color rgb="00FBFD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5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56</xdr:col>
      <xdr:colOff>57656</xdr:colOff>
      <xdr:row>6</xdr:row>
      <xdr:rowOff>74215</xdr:rowOff>
    </xdr:from>
    <xdr:to>
      <xdr:col>69</xdr:col>
      <xdr:colOff>24557</xdr:colOff>
      <xdr:row>7</xdr:row>
      <xdr:rowOff>0</xdr:rowOff>
    </xdr:to>
    <xdr:pic>
      <xdr:nvPicPr>
        <xdr:cNvPr id="2" name="图片 6" descr=" "/>
        <xdr:cNvPicPr/>
      </xdr:nvPicPr>
      <xdr:blipFill>
        <a:blip r:embed="rId1"/>
        <a:srcRect/>
        <a:stretch>
          <a:fillRect/>
        </a:stretch>
      </xdr:blipFill>
      <xdr:spPr>
        <a:xfrm>
          <a:off x="52970430" y="3426460"/>
          <a:ext cx="12250420" cy="48514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77</xdr:col>
      <xdr:colOff>57656</xdr:colOff>
      <xdr:row>6</xdr:row>
      <xdr:rowOff>74215</xdr:rowOff>
    </xdr:from>
    <xdr:to>
      <xdr:col>90</xdr:col>
      <xdr:colOff>24557</xdr:colOff>
      <xdr:row>7</xdr:row>
      <xdr:rowOff>0</xdr:rowOff>
    </xdr:to>
    <xdr:pic>
      <xdr:nvPicPr>
        <xdr:cNvPr id="4" name="图片 1" descr=" "/>
        <xdr:cNvPicPr/>
      </xdr:nvPicPr>
      <xdr:blipFill>
        <a:blip r:embed="rId1"/>
        <a:srcRect/>
        <a:stretch>
          <a:fillRect/>
        </a:stretch>
      </xdr:blipFill>
      <xdr:spPr>
        <a:xfrm>
          <a:off x="72812910" y="3426460"/>
          <a:ext cx="12250420" cy="48514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98</xdr:col>
      <xdr:colOff>57656</xdr:colOff>
      <xdr:row>6</xdr:row>
      <xdr:rowOff>74215</xdr:rowOff>
    </xdr:from>
    <xdr:to>
      <xdr:col>111</xdr:col>
      <xdr:colOff>24557</xdr:colOff>
      <xdr:row>7</xdr:row>
      <xdr:rowOff>0</xdr:rowOff>
    </xdr:to>
    <xdr:pic>
      <xdr:nvPicPr>
        <xdr:cNvPr id="5" name="图片 2" descr=" "/>
        <xdr:cNvPicPr/>
      </xdr:nvPicPr>
      <xdr:blipFill>
        <a:blip r:embed="rId1"/>
        <a:srcRect/>
        <a:stretch>
          <a:fillRect/>
        </a:stretch>
      </xdr:blipFill>
      <xdr:spPr>
        <a:xfrm>
          <a:off x="92655390" y="3426460"/>
          <a:ext cx="12250420" cy="48514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119</xdr:col>
      <xdr:colOff>57656</xdr:colOff>
      <xdr:row>6</xdr:row>
      <xdr:rowOff>74215</xdr:rowOff>
    </xdr:from>
    <xdr:to>
      <xdr:col>132</xdr:col>
      <xdr:colOff>24557</xdr:colOff>
      <xdr:row>7</xdr:row>
      <xdr:rowOff>0</xdr:rowOff>
    </xdr:to>
    <xdr:pic>
      <xdr:nvPicPr>
        <xdr:cNvPr id="6" name="图片 3" descr=" "/>
        <xdr:cNvPicPr/>
      </xdr:nvPicPr>
      <xdr:blipFill>
        <a:blip r:embed="rId1"/>
        <a:srcRect/>
        <a:stretch>
          <a:fillRect/>
        </a:stretch>
      </xdr:blipFill>
      <xdr:spPr>
        <a:xfrm>
          <a:off x="112497870" y="3426460"/>
          <a:ext cx="12250420" cy="48514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140</xdr:col>
      <xdr:colOff>57656</xdr:colOff>
      <xdr:row>6</xdr:row>
      <xdr:rowOff>74215</xdr:rowOff>
    </xdr:from>
    <xdr:to>
      <xdr:col>153</xdr:col>
      <xdr:colOff>24557</xdr:colOff>
      <xdr:row>7</xdr:row>
      <xdr:rowOff>0</xdr:rowOff>
    </xdr:to>
    <xdr:pic>
      <xdr:nvPicPr>
        <xdr:cNvPr id="7" name="图片 4" descr=" "/>
        <xdr:cNvPicPr/>
      </xdr:nvPicPr>
      <xdr:blipFill>
        <a:blip r:embed="rId1"/>
        <a:srcRect/>
        <a:stretch>
          <a:fillRect/>
        </a:stretch>
      </xdr:blipFill>
      <xdr:spPr>
        <a:xfrm>
          <a:off x="132340350" y="3426460"/>
          <a:ext cx="12250420" cy="48514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 editAs="oneCell">
    <xdr:from>
      <xdr:col>35</xdr:col>
      <xdr:colOff>15875</xdr:colOff>
      <xdr:row>6</xdr:row>
      <xdr:rowOff>30480</xdr:rowOff>
    </xdr:from>
    <xdr:to>
      <xdr:col>44</xdr:col>
      <xdr:colOff>56515</xdr:colOff>
      <xdr:row>6</xdr:row>
      <xdr:rowOff>483870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086675" y="3383280"/>
          <a:ext cx="8544560" cy="453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pace.bilibili.com/9412490" TargetMode="External"/><Relationship Id="rId1" Type="http://schemas.openxmlformats.org/officeDocument/2006/relationships/hyperlink" Target="https://github.com/AmicBeam/ZzzCloudTea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zoomScale="70" zoomScaleNormal="70" workbookViewId="0">
      <selection activeCell="J14" sqref="J14"/>
    </sheetView>
  </sheetViews>
  <sheetFormatPr defaultColWidth="9.90740740740741" defaultRowHeight="44" customHeight="1"/>
  <cols>
    <col min="1" max="5" width="11.4814814814815" style="1" customWidth="1"/>
    <col min="6" max="16" width="13.7777777777778" style="1" customWidth="1"/>
    <col min="17" max="18" width="11.4814814814815" style="1" customWidth="1"/>
    <col min="19" max="16384" width="13.7777777777778" style="1"/>
  </cols>
  <sheetData>
    <row r="1" ht="79" customHeight="1" spans="3:6">
      <c r="C1" s="4" t="s">
        <v>0</v>
      </c>
      <c r="D1" s="4" t="s">
        <v>1</v>
      </c>
      <c r="E1" s="4"/>
      <c r="F1" s="4" t="s">
        <v>2</v>
      </c>
    </row>
    <row r="2" ht="21" customHeight="1"/>
    <row r="3" s="63" customFormat="1" ht="58" customHeight="1" spans="3:16">
      <c r="C3" s="1" t="s">
        <v>3</v>
      </c>
      <c r="D3" s="1" t="s">
        <v>4</v>
      </c>
      <c r="E3" s="1" t="s">
        <v>5</v>
      </c>
      <c r="F3" s="81" t="s">
        <v>6</v>
      </c>
      <c r="G3" s="82"/>
      <c r="H3" s="82"/>
      <c r="I3" s="82"/>
      <c r="J3" s="82"/>
      <c r="K3" s="82"/>
      <c r="L3" s="82"/>
      <c r="M3" s="82"/>
      <c r="N3" s="82"/>
      <c r="O3" s="82"/>
      <c r="P3" s="87"/>
    </row>
    <row r="4" ht="42" customHeight="1" spans="3:16">
      <c r="C4" s="1">
        <v>60</v>
      </c>
      <c r="D4" s="1">
        <v>70</v>
      </c>
      <c r="E4" s="1" t="s">
        <v>7</v>
      </c>
      <c r="F4" s="83" t="s">
        <v>8</v>
      </c>
      <c r="G4" s="84"/>
      <c r="H4" s="84"/>
      <c r="I4" s="84"/>
      <c r="J4" s="84"/>
      <c r="K4" s="84"/>
      <c r="L4" s="84"/>
      <c r="M4" s="84"/>
      <c r="N4" s="84"/>
      <c r="O4" s="84"/>
      <c r="P4" s="88"/>
    </row>
    <row r="5" customHeight="1" spans="1:18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44" t="s">
        <v>14</v>
      </c>
      <c r="G5" s="44" t="s">
        <v>15</v>
      </c>
      <c r="H5" s="44" t="s">
        <v>16</v>
      </c>
      <c r="I5" s="44" t="s">
        <v>17</v>
      </c>
      <c r="J5" s="44" t="s">
        <v>18</v>
      </c>
      <c r="K5" s="44" t="s">
        <v>19</v>
      </c>
      <c r="L5" s="44" t="s">
        <v>20</v>
      </c>
      <c r="M5" s="44" t="s">
        <v>21</v>
      </c>
      <c r="N5" s="44" t="s">
        <v>22</v>
      </c>
      <c r="O5" s="44" t="s">
        <v>23</v>
      </c>
      <c r="P5" s="44" t="s">
        <v>24</v>
      </c>
      <c r="Q5" s="4" t="s">
        <v>25</v>
      </c>
      <c r="R5" s="1" t="s">
        <v>26</v>
      </c>
    </row>
    <row r="6" customHeight="1" spans="1:18">
      <c r="A6" s="85">
        <f>计算!AJ4</f>
        <v>3250.8</v>
      </c>
      <c r="B6" s="3">
        <f>计算!AH4</f>
        <v>0.81</v>
      </c>
      <c r="C6" s="3">
        <f>计算!AI4</f>
        <v>1.46</v>
      </c>
      <c r="D6" s="85">
        <f>计算!AG4</f>
        <v>86</v>
      </c>
      <c r="E6" s="1">
        <f>FLOOR(计算!AM4*100+100,1)</f>
        <v>118</v>
      </c>
      <c r="F6" s="45" t="s">
        <v>27</v>
      </c>
      <c r="G6" s="46" t="str">
        <f>计算!E4</f>
        <v>冰</v>
      </c>
      <c r="H6" s="46" t="str">
        <f>计算!F4</f>
        <v>六科</v>
      </c>
      <c r="I6" s="89" t="str">
        <f>计算!H4</f>
        <v>雅专武</v>
      </c>
      <c r="J6" s="90">
        <f>计算!AR4</f>
        <v>35482.482</v>
      </c>
      <c r="K6" s="56">
        <f>计算!AW4</f>
        <v>0</v>
      </c>
      <c r="L6" s="45"/>
      <c r="M6" s="45"/>
      <c r="N6" s="45"/>
      <c r="O6" s="45"/>
      <c r="P6" s="45"/>
      <c r="R6" s="85">
        <f>计算!AU4</f>
        <v>31934.2338</v>
      </c>
    </row>
    <row r="7" customHeight="1" spans="1:18">
      <c r="A7" s="85">
        <f>计算!AJ5</f>
        <v>3304.16</v>
      </c>
      <c r="B7" s="3">
        <f>计算!AH5</f>
        <v>0.82</v>
      </c>
      <c r="C7" s="3">
        <f>计算!AI5</f>
        <v>2.546</v>
      </c>
      <c r="D7" s="85">
        <f>计算!AG5</f>
        <v>90</v>
      </c>
      <c r="E7" s="1">
        <f>FLOOR(计算!AM5*100+100,1)</f>
        <v>102</v>
      </c>
      <c r="F7" s="45" t="s">
        <v>28</v>
      </c>
      <c r="G7" s="46" t="str">
        <f>计算!E5</f>
        <v>以太</v>
      </c>
      <c r="H7" s="46" t="str">
        <f>计算!F5</f>
        <v>治安局</v>
      </c>
      <c r="I7" s="89" t="str">
        <f>计算!H5</f>
        <v>防爆者VI型</v>
      </c>
      <c r="J7" s="90">
        <f>计算!AR5</f>
        <v>3665.13948</v>
      </c>
      <c r="K7" s="56">
        <f>计算!AW5</f>
        <v>0</v>
      </c>
      <c r="L7" s="45"/>
      <c r="M7" s="45"/>
      <c r="N7" s="45"/>
      <c r="O7" s="45"/>
      <c r="P7" s="45"/>
      <c r="R7" s="85">
        <f>计算!AU5</f>
        <v>22749.1416</v>
      </c>
    </row>
    <row r="8" customHeight="1" spans="1:18">
      <c r="A8" s="85">
        <f>计算!AJ6</f>
        <v>3505.4</v>
      </c>
      <c r="B8" s="3">
        <f>计算!AH6</f>
        <v>0.05</v>
      </c>
      <c r="C8" s="3">
        <f>计算!AI6</f>
        <v>0.5</v>
      </c>
      <c r="D8" s="85">
        <f>计算!AG6</f>
        <v>86</v>
      </c>
      <c r="E8" s="1">
        <f>FLOOR(计算!AM6*100+100,1)</f>
        <v>401</v>
      </c>
      <c r="F8" s="45" t="s">
        <v>29</v>
      </c>
      <c r="G8" s="86" t="str">
        <f>计算!E6</f>
        <v>电</v>
      </c>
      <c r="H8" s="86" t="str">
        <f>计算!F6</f>
        <v>六科</v>
      </c>
      <c r="I8" s="91" t="str">
        <f>计算!H6</f>
        <v>时流贤者</v>
      </c>
      <c r="J8" s="90">
        <f>计算!AR6</f>
        <v>37385.1509607895</v>
      </c>
      <c r="K8" s="56">
        <f>计算!AW6</f>
        <v>0</v>
      </c>
      <c r="L8" s="45"/>
      <c r="M8" s="45"/>
      <c r="N8" s="45"/>
      <c r="O8" s="45"/>
      <c r="P8" s="45"/>
      <c r="R8" s="85">
        <f>计算!AU6</f>
        <v>134586.543458842</v>
      </c>
    </row>
    <row r="9" customHeight="1" spans="6:18">
      <c r="F9" s="50" t="s">
        <v>30</v>
      </c>
      <c r="G9" s="49"/>
      <c r="H9" s="51"/>
      <c r="I9" s="51"/>
      <c r="J9" s="51"/>
      <c r="K9" s="51"/>
      <c r="L9" s="56">
        <f>计算!AX16</f>
        <v>0</v>
      </c>
      <c r="M9" s="56">
        <f>计算!BS16</f>
        <v>0</v>
      </c>
      <c r="N9" s="56">
        <f>计算!CN16</f>
        <v>0</v>
      </c>
      <c r="O9" s="56">
        <f>计算!DI16</f>
        <v>0</v>
      </c>
      <c r="P9" s="56">
        <f>计算!ED16</f>
        <v>0</v>
      </c>
      <c r="Q9" s="52">
        <v>0</v>
      </c>
      <c r="R9" s="1" t="s">
        <v>31</v>
      </c>
    </row>
    <row r="10" customHeight="1" spans="6:18">
      <c r="F10" s="50" t="s">
        <v>32</v>
      </c>
      <c r="G10" s="49"/>
      <c r="H10" s="51"/>
      <c r="I10" s="51"/>
      <c r="J10" s="51"/>
      <c r="K10" s="51"/>
      <c r="L10" s="56">
        <f>计算!AX17</f>
        <v>0</v>
      </c>
      <c r="M10" s="56">
        <f>计算!BS17</f>
        <v>0</v>
      </c>
      <c r="N10" s="56">
        <f>计算!CN17</f>
        <v>0</v>
      </c>
      <c r="O10" s="56">
        <f>计算!DI17</f>
        <v>0</v>
      </c>
      <c r="P10" s="56">
        <f>计算!ED17</f>
        <v>0</v>
      </c>
      <c r="Q10" s="52">
        <v>0</v>
      </c>
      <c r="R10" s="1" t="s">
        <v>33</v>
      </c>
    </row>
    <row r="11" customHeight="1" spans="6:16">
      <c r="F11" s="50" t="s">
        <v>34</v>
      </c>
      <c r="G11" s="49"/>
      <c r="H11" s="51"/>
      <c r="I11" s="51"/>
      <c r="J11" s="51"/>
      <c r="K11" s="51"/>
      <c r="L11" s="56">
        <f>计算!AX18</f>
        <v>0</v>
      </c>
      <c r="M11" s="56">
        <f>计算!BS18</f>
        <v>0</v>
      </c>
      <c r="N11" s="56">
        <f>计算!CN18</f>
        <v>0</v>
      </c>
      <c r="O11" s="56">
        <f>计算!DI18</f>
        <v>0</v>
      </c>
      <c r="P11" s="56">
        <f>计算!ED18</f>
        <v>0</v>
      </c>
    </row>
    <row r="12" customHeight="1" spans="6:16">
      <c r="F12" s="44" t="s">
        <v>35</v>
      </c>
      <c r="G12" s="56">
        <f>ROUND(计算!ED19,0)</f>
        <v>0</v>
      </c>
      <c r="H12" s="44" t="s">
        <v>36</v>
      </c>
      <c r="I12" s="56">
        <f>计算!AV4+计算!AV5+计算!AV6</f>
        <v>0</v>
      </c>
      <c r="J12" s="44" t="s">
        <v>37</v>
      </c>
      <c r="K12" s="44"/>
      <c r="L12" s="92">
        <f>计算!BK15+计算!CF15+计算!DA15+计算!DV15+计算!EQ15</f>
        <v>0</v>
      </c>
      <c r="M12" s="93">
        <f>计算!BL15+计算!CG15+计算!DB15+计算!DW15+计算!ER15</f>
        <v>0</v>
      </c>
      <c r="N12" s="94">
        <f>计算!BM15+计算!CH15+计算!DC15+计算!DX15+计算!ES15</f>
        <v>0</v>
      </c>
      <c r="O12" s="95">
        <f>计算!BN15+计算!CI15+计算!DD15+计算!DY15+计算!ET15</f>
        <v>0</v>
      </c>
      <c r="P12" s="96">
        <f>计算!BO15+计算!CJ15+计算!DE15+计算!DZ15+计算!EU15</f>
        <v>0</v>
      </c>
    </row>
    <row r="13" customHeight="1" spans="6:16">
      <c r="F13" s="44" t="s">
        <v>38</v>
      </c>
      <c r="G13" s="56">
        <f t="shared" ref="G13:P13" si="0">IF($P$9&lt;&gt;0,ROUND(G12/$P$9,0),0)</f>
        <v>0</v>
      </c>
      <c r="H13" s="44" t="s">
        <v>39</v>
      </c>
      <c r="I13" s="56">
        <f t="shared" si="0"/>
        <v>0</v>
      </c>
      <c r="J13" s="44" t="s">
        <v>40</v>
      </c>
      <c r="K13" s="44"/>
      <c r="L13" s="92">
        <f t="shared" si="0"/>
        <v>0</v>
      </c>
      <c r="M13" s="93">
        <f t="shared" si="0"/>
        <v>0</v>
      </c>
      <c r="N13" s="94">
        <f t="shared" si="0"/>
        <v>0</v>
      </c>
      <c r="O13" s="95">
        <f t="shared" si="0"/>
        <v>0</v>
      </c>
      <c r="P13" s="96">
        <f t="shared" si="0"/>
        <v>0</v>
      </c>
    </row>
    <row r="14" customHeight="1" spans="6:16">
      <c r="F14" s="50"/>
      <c r="G14" s="43"/>
      <c r="H14" s="49" t="s">
        <v>41</v>
      </c>
      <c r="I14" s="49"/>
      <c r="J14" s="97"/>
      <c r="K14" s="43"/>
      <c r="L14" s="98"/>
      <c r="M14" s="98"/>
      <c r="N14" s="98"/>
      <c r="O14" s="98"/>
      <c r="P14" s="98"/>
    </row>
    <row r="15" customHeight="1" spans="6:16">
      <c r="F15" s="50"/>
      <c r="G15" s="43"/>
      <c r="H15" s="49" t="s">
        <v>42</v>
      </c>
      <c r="I15" s="49"/>
      <c r="J15" s="97"/>
      <c r="K15" s="43"/>
      <c r="L15" s="98"/>
      <c r="M15" s="98"/>
      <c r="N15" s="98"/>
      <c r="O15" s="98"/>
      <c r="P15" s="98"/>
    </row>
    <row r="16" customHeight="1" spans="6:16">
      <c r="F16" s="50"/>
      <c r="G16" s="43"/>
      <c r="H16" s="49" t="s">
        <v>43</v>
      </c>
      <c r="I16" s="49"/>
      <c r="J16" s="97"/>
      <c r="K16" s="43"/>
      <c r="L16" s="98"/>
      <c r="M16" s="98"/>
      <c r="N16" s="98"/>
      <c r="O16" s="98"/>
      <c r="P16" s="98"/>
    </row>
    <row r="17" customHeight="1" spans="6:16">
      <c r="F17" s="50"/>
      <c r="G17" s="43"/>
      <c r="H17" s="49" t="s">
        <v>44</v>
      </c>
      <c r="I17" s="49"/>
      <c r="J17" s="97"/>
      <c r="K17" s="43"/>
      <c r="L17" s="98"/>
      <c r="M17" s="98"/>
      <c r="N17" s="98"/>
      <c r="O17" s="98"/>
      <c r="P17" s="98"/>
    </row>
    <row r="18" customHeight="1" spans="6:16">
      <c r="F18" s="50"/>
      <c r="G18" s="43"/>
      <c r="H18" s="49" t="s">
        <v>45</v>
      </c>
      <c r="I18" s="49"/>
      <c r="J18" s="97"/>
      <c r="K18" s="43"/>
      <c r="L18" s="98"/>
      <c r="M18" s="98"/>
      <c r="N18" s="98"/>
      <c r="O18" s="98"/>
      <c r="P18" s="98"/>
    </row>
    <row r="19" customHeight="1" spans="6:16">
      <c r="F19" s="50"/>
      <c r="G19" s="43"/>
      <c r="H19" s="49" t="s">
        <v>46</v>
      </c>
      <c r="I19" s="49"/>
      <c r="J19" s="97"/>
      <c r="K19" s="43"/>
      <c r="L19" s="98"/>
      <c r="M19" s="98"/>
      <c r="N19" s="98"/>
      <c r="O19" s="98"/>
      <c r="P19" s="98"/>
    </row>
  </sheetData>
  <sheetProtection selectLockedCells="1" formatCells="0" formatColumns="0" insertHyperlinks="0" autoFilter="0"/>
  <protectedRanges>
    <protectedRange sqref="L9:P13" name="区域2"/>
    <protectedRange sqref="F7 F8 A6:D6 F6" name="区域1"/>
  </protectedRanges>
  <mergeCells count="15">
    <mergeCell ref="D1:E1"/>
    <mergeCell ref="F1:P1"/>
    <mergeCell ref="F3:P3"/>
    <mergeCell ref="F4:P4"/>
    <mergeCell ref="F9:K9"/>
    <mergeCell ref="F10:K10"/>
    <mergeCell ref="F11:K11"/>
    <mergeCell ref="J12:K12"/>
    <mergeCell ref="J13:K13"/>
    <mergeCell ref="H14:I14"/>
    <mergeCell ref="H15:I15"/>
    <mergeCell ref="H16:I16"/>
    <mergeCell ref="H17:I17"/>
    <mergeCell ref="H18:I18"/>
    <mergeCell ref="H19:I19"/>
  </mergeCells>
  <conditionalFormatting sqref="G12">
    <cfRule type="cellIs" dxfId="0" priority="18" operator="equal">
      <formula>0</formula>
    </cfRule>
  </conditionalFormatting>
  <conditionalFormatting sqref="I12">
    <cfRule type="cellIs" dxfId="0" priority="7" operator="equal">
      <formula>0</formula>
    </cfRule>
  </conditionalFormatting>
  <conditionalFormatting sqref="L12">
    <cfRule type="cellIs" dxfId="1" priority="16" operator="equal">
      <formula>0</formula>
    </cfRule>
  </conditionalFormatting>
  <conditionalFormatting sqref="G13">
    <cfRule type="cellIs" dxfId="0" priority="17" operator="equal">
      <formula>0</formula>
    </cfRule>
  </conditionalFormatting>
  <conditionalFormatting sqref="I13">
    <cfRule type="cellIs" dxfId="0" priority="6" operator="equal">
      <formula>0</formula>
    </cfRule>
  </conditionalFormatting>
  <conditionalFormatting sqref="L13">
    <cfRule type="cellIs" dxfId="1" priority="15" operator="equal">
      <formula>0</formula>
    </cfRule>
  </conditionalFormatting>
  <conditionalFormatting sqref="A6:A8">
    <cfRule type="cellIs" dxfId="0" priority="3" operator="equal">
      <formula>0</formula>
    </cfRule>
  </conditionalFormatting>
  <conditionalFormatting sqref="D6:D8">
    <cfRule type="cellIs" dxfId="0" priority="2" operator="equal">
      <formula>0</formula>
    </cfRule>
  </conditionalFormatting>
  <conditionalFormatting sqref="J6:J8">
    <cfRule type="cellIs" dxfId="0" priority="19" operator="equal">
      <formula>0</formula>
    </cfRule>
  </conditionalFormatting>
  <conditionalFormatting sqref="K6:K8">
    <cfRule type="cellIs" dxfId="0" priority="10" operator="equal">
      <formula>0</formula>
    </cfRule>
  </conditionalFormatting>
  <conditionalFormatting sqref="L9:L11">
    <cfRule type="cellIs" dxfId="0" priority="52" operator="equal">
      <formula>0</formula>
    </cfRule>
  </conditionalFormatting>
  <conditionalFormatting sqref="M9:M11">
    <cfRule type="cellIs" dxfId="0" priority="48" operator="equal">
      <formula>0</formula>
    </cfRule>
  </conditionalFormatting>
  <conditionalFormatting sqref="M12:M13">
    <cfRule type="cellIs" dxfId="2" priority="14" operator="equal">
      <formula>0</formula>
    </cfRule>
  </conditionalFormatting>
  <conditionalFormatting sqref="N9:N11">
    <cfRule type="cellIs" dxfId="0" priority="40" operator="equal">
      <formula>0</formula>
    </cfRule>
  </conditionalFormatting>
  <conditionalFormatting sqref="N12:N13">
    <cfRule type="cellIs" dxfId="3" priority="13" operator="equal">
      <formula>0</formula>
    </cfRule>
  </conditionalFormatting>
  <conditionalFormatting sqref="O9:O11">
    <cfRule type="cellIs" dxfId="0" priority="32" operator="equal">
      <formula>0</formula>
    </cfRule>
  </conditionalFormatting>
  <conditionalFormatting sqref="O12:O13">
    <cfRule type="cellIs" dxfId="4" priority="12" operator="equal">
      <formula>0</formula>
    </cfRule>
  </conditionalFormatting>
  <conditionalFormatting sqref="P9:P11">
    <cfRule type="cellIs" dxfId="0" priority="24" operator="equal">
      <formula>0</formula>
    </cfRule>
  </conditionalFormatting>
  <conditionalFormatting sqref="P12:P13">
    <cfRule type="cellIs" dxfId="5" priority="11" operator="equal">
      <formula>0</formula>
    </cfRule>
  </conditionalFormatting>
  <conditionalFormatting sqref="R6:R8">
    <cfRule type="cellIs" dxfId="0" priority="5" operator="equal">
      <formula>0</formula>
    </cfRule>
  </conditionalFormatting>
  <dataValidations count="11">
    <dataValidation type="whole" operator="between" showInputMessage="1" showErrorMessage="1" sqref="C4">
      <formula1>0</formula1>
      <formula2>60</formula2>
    </dataValidation>
    <dataValidation type="list" allowBlank="1" showInputMessage="1" showErrorMessage="1" sqref="E4">
      <formula1>"普通,精英,首领"</formula1>
    </dataValidation>
    <dataValidation type="whole" operator="between" showInputMessage="1" showErrorMessage="1" sqref="D4">
      <formula1>0</formula1>
      <formula2>70</formula2>
    </dataValidation>
    <dataValidation type="list" allowBlank="1" showInputMessage="1" showErrorMessage="1" sqref="Q9">
      <formula1>"0,250%"</formula1>
    </dataValidation>
    <dataValidation type="list" allowBlank="1" showInputMessage="1" showErrorMessage="1" sqref="Q10">
      <formula1>"0%,25%,50%"</formula1>
    </dataValidation>
    <dataValidation type="list" allowBlank="1" showInputMessage="1" showErrorMessage="1" sqref="L19:P19">
      <formula1>数值!$R$43:$R$70</formula1>
    </dataValidation>
    <dataValidation type="list" allowBlank="1" showInputMessage="1" showErrorMessage="1" sqref="J14:J19">
      <formula1>数值!$AG$2:$AG$23</formula1>
    </dataValidation>
    <dataValidation type="list" allowBlank="1" showErrorMessage="1" errorTitle="错误提示" error="请输入下拉列表中的值" sqref="F6:F8" errorStyle="information">
      <formula1>角色!$F$3:$F$27</formula1>
    </dataValidation>
    <dataValidation type="whole" operator="between" allowBlank="1" showInputMessage="1" showErrorMessage="1" sqref="Q6:Q8">
      <formula1>0</formula1>
      <formula2>15</formula2>
    </dataValidation>
    <dataValidation type="list" allowBlank="1" showErrorMessage="1" errorTitle="错误提示" error="请输入下拉列表中的值" sqref="L6:P8" errorStyle="information">
      <formula1>数值!$F$2:$F$15</formula1>
    </dataValidation>
    <dataValidation type="list" allowBlank="1" showInputMessage="1" showErrorMessage="1" sqref="L14:P18">
      <formula1>数值!$R$2:$R$42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zoomScale="70" zoomScaleNormal="70" topLeftCell="A2" workbookViewId="0">
      <pane xSplit="1" ySplit="1" topLeftCell="B13" activePane="bottomRight" state="frozen"/>
      <selection/>
      <selection pane="topRight"/>
      <selection pane="bottomLeft"/>
      <selection pane="bottomRight" activeCell="M15" sqref="M15"/>
    </sheetView>
  </sheetViews>
  <sheetFormatPr defaultColWidth="9.90740740740741" defaultRowHeight="44" customHeight="1"/>
  <cols>
    <col min="1" max="2" width="13.7777777777778" style="1" customWidth="1"/>
    <col min="3" max="3" width="11.7777777777778" style="4" customWidth="1"/>
    <col min="4" max="4" width="13.7777777777778" style="4" customWidth="1"/>
    <col min="5" max="5" width="11.7777777777778" style="1" customWidth="1"/>
    <col min="6" max="6" width="35.2222222222222" style="5" customWidth="1"/>
    <col min="7" max="7" width="13.7777777777778" style="1" customWidth="1"/>
    <col min="8" max="8" width="11.7777777777778" style="1" customWidth="1"/>
    <col min="9" max="9" width="30.2222222222222" style="4" customWidth="1"/>
    <col min="10" max="10" width="13.7777777777778" style="1" customWidth="1"/>
    <col min="11" max="19" width="11.7777777777778" style="1" customWidth="1"/>
    <col min="20" max="20" width="26.3425925925926" style="41" customWidth="1"/>
    <col min="21" max="22" width="13.7777777777778" style="1" customWidth="1"/>
  </cols>
  <sheetData>
    <row r="1" customHeight="1" spans="1:19">
      <c r="A1" s="1">
        <f>COLUMN()</f>
        <v>1</v>
      </c>
      <c r="B1" s="1">
        <v>2</v>
      </c>
      <c r="D1" s="4">
        <f t="shared" ref="D1:S1" si="0">COLUMN()</f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  <c r="S1" s="1">
        <f t="shared" si="0"/>
        <v>19</v>
      </c>
    </row>
    <row r="2" customHeight="1" spans="1:20">
      <c r="A2" s="1" t="s">
        <v>47</v>
      </c>
      <c r="B2" s="1" t="s">
        <v>48</v>
      </c>
      <c r="C2" s="4" t="s">
        <v>49</v>
      </c>
      <c r="D2" s="4" t="s">
        <v>50</v>
      </c>
      <c r="E2" s="1" t="s">
        <v>51</v>
      </c>
      <c r="F2" s="1" t="s">
        <v>52</v>
      </c>
      <c r="G2" s="1" t="s">
        <v>53</v>
      </c>
      <c r="H2" s="1" t="s">
        <v>51</v>
      </c>
      <c r="I2" s="4" t="s">
        <v>52</v>
      </c>
      <c r="J2" s="1" t="s">
        <v>54</v>
      </c>
      <c r="K2" s="1" t="s">
        <v>55</v>
      </c>
      <c r="L2" s="1" t="s">
        <v>56</v>
      </c>
      <c r="M2" s="1" t="s">
        <v>57</v>
      </c>
      <c r="N2" s="4" t="s">
        <v>58</v>
      </c>
      <c r="O2" s="4" t="s">
        <v>59</v>
      </c>
      <c r="P2" s="4" t="s">
        <v>60</v>
      </c>
      <c r="Q2" s="4" t="s">
        <v>61</v>
      </c>
      <c r="R2" s="4" t="s">
        <v>62</v>
      </c>
      <c r="S2" s="4" t="s">
        <v>63</v>
      </c>
      <c r="T2" s="4" t="s">
        <v>64</v>
      </c>
    </row>
    <row r="3" customHeight="1" spans="1:20">
      <c r="A3" s="1" t="s">
        <v>28</v>
      </c>
      <c r="B3" s="1" t="s">
        <v>65</v>
      </c>
      <c r="C3" s="77">
        <v>0</v>
      </c>
      <c r="D3" s="77" t="s">
        <v>66</v>
      </c>
      <c r="E3" s="78">
        <v>1</v>
      </c>
      <c r="F3" s="2" t="str">
        <f>VLOOKUP(D3,音擎!$A$2:$K$42,音擎!$K$1,FALSE)</f>
        <v>15暴击
强E后8次35增伤的普攻</v>
      </c>
      <c r="G3" s="78" t="s">
        <v>67</v>
      </c>
      <c r="H3" s="78">
        <v>0.6</v>
      </c>
      <c r="I3" s="2" t="str">
        <f>VLOOKUP(G3,驱动盘!$A$2:$Y$17,驱动盘!$J$1,FALSE)</f>
        <v>20暴伤，异常后5.5%暴伤6层8秒</v>
      </c>
      <c r="J3" s="78" t="s">
        <v>68</v>
      </c>
      <c r="K3" s="78" t="s">
        <v>69</v>
      </c>
      <c r="L3" s="78" t="s">
        <v>70</v>
      </c>
      <c r="M3" s="78" t="s">
        <v>70</v>
      </c>
      <c r="N3" s="80">
        <v>10</v>
      </c>
      <c r="O3" s="80">
        <v>10</v>
      </c>
      <c r="P3" s="80">
        <v>8</v>
      </c>
      <c r="Q3" s="80">
        <v>0</v>
      </c>
      <c r="R3" s="80">
        <v>0</v>
      </c>
      <c r="S3" s="80">
        <v>0</v>
      </c>
      <c r="T3" s="41" t="s">
        <v>71</v>
      </c>
    </row>
    <row r="4" customHeight="1" spans="1:20">
      <c r="A4" s="1" t="s">
        <v>72</v>
      </c>
      <c r="B4" s="1" t="s">
        <v>65</v>
      </c>
      <c r="C4" s="77">
        <v>0</v>
      </c>
      <c r="D4" s="77" t="s">
        <v>73</v>
      </c>
      <c r="E4" s="78">
        <v>1</v>
      </c>
      <c r="F4" s="2" t="str">
        <f>VLOOKUP(D4,音擎!$A$2:$K$42,音擎!$K$1,FALSE)</f>
        <v>25冰伤，普攻/冲刺攻击后各10暴击8/15秒</v>
      </c>
      <c r="G4" s="78" t="s">
        <v>74</v>
      </c>
      <c r="H4" s="78">
        <v>0.75</v>
      </c>
      <c r="I4" s="2" t="str">
        <f>VLOOKUP(G4,驱动盘!$A$2:$Y$17,驱动盘!$J$1,FALSE)</f>
        <v>25%普伤冲伤，异常后翻倍12秒</v>
      </c>
      <c r="J4" s="78" t="s">
        <v>75</v>
      </c>
      <c r="K4" s="78" t="s">
        <v>69</v>
      </c>
      <c r="L4" s="78" t="s">
        <v>76</v>
      </c>
      <c r="M4" s="78" t="s">
        <v>70</v>
      </c>
      <c r="N4" s="80">
        <v>10</v>
      </c>
      <c r="O4" s="80">
        <v>10</v>
      </c>
      <c r="P4" s="80">
        <v>8</v>
      </c>
      <c r="Q4" s="80">
        <v>0</v>
      </c>
      <c r="R4" s="80">
        <v>0</v>
      </c>
      <c r="S4" s="80">
        <v>0</v>
      </c>
      <c r="T4" s="41" t="s">
        <v>77</v>
      </c>
    </row>
    <row r="5" customHeight="1" spans="1:20">
      <c r="A5" s="1" t="s">
        <v>78</v>
      </c>
      <c r="B5" s="1" t="s">
        <v>65</v>
      </c>
      <c r="C5" s="77">
        <v>0</v>
      </c>
      <c r="D5" s="77" t="s">
        <v>79</v>
      </c>
      <c r="E5" s="78">
        <v>1</v>
      </c>
      <c r="F5" s="2" t="str">
        <f>VLOOKUP(D5,音擎!$A$2:$K$42,音擎!$K$1,FALSE)</f>
        <v>普攻冲刺闪反叠层3.5%攻击
8层8秒</v>
      </c>
      <c r="G5" s="78" t="s">
        <v>80</v>
      </c>
      <c r="H5" s="78">
        <v>0.5</v>
      </c>
      <c r="I5" s="2" t="str">
        <f>VLOOKUP(G5,驱动盘!$A$2:$Y$17,驱动盘!$J$1,FALSE)</f>
        <v>切前台25%攻击10秒/20秒</v>
      </c>
      <c r="J5" s="78" t="s">
        <v>81</v>
      </c>
      <c r="K5" s="78" t="s">
        <v>82</v>
      </c>
      <c r="L5" s="78" t="s">
        <v>76</v>
      </c>
      <c r="M5" s="78" t="s">
        <v>70</v>
      </c>
      <c r="N5" s="80">
        <v>10</v>
      </c>
      <c r="O5" s="80">
        <v>10</v>
      </c>
      <c r="P5" s="80">
        <v>8</v>
      </c>
      <c r="Q5" s="80">
        <v>0</v>
      </c>
      <c r="R5" s="80">
        <v>0</v>
      </c>
      <c r="S5" s="80">
        <v>0</v>
      </c>
      <c r="T5" s="41" t="s">
        <v>83</v>
      </c>
    </row>
    <row r="6" customHeight="1" spans="1:20">
      <c r="A6" s="1" t="s">
        <v>84</v>
      </c>
      <c r="B6" s="1" t="s">
        <v>65</v>
      </c>
      <c r="C6" s="77">
        <v>0</v>
      </c>
      <c r="D6" s="77" t="s">
        <v>79</v>
      </c>
      <c r="E6" s="78">
        <v>1</v>
      </c>
      <c r="F6" s="2" t="str">
        <f>VLOOKUP(D6,音擎!$A$2:$K$42,音擎!$K$1,FALSE)</f>
        <v>普攻冲刺闪反叠层3.5%攻击
8层8秒</v>
      </c>
      <c r="G6" s="78" t="s">
        <v>85</v>
      </c>
      <c r="H6" s="78">
        <v>1</v>
      </c>
      <c r="I6" s="2" t="str">
        <f>VLOOKUP(G6,驱动盘!$A$2:$Y$17,驱动盘!$J$1,FALSE)</f>
        <v>异常后28%暴击</v>
      </c>
      <c r="J6" s="78" t="s">
        <v>68</v>
      </c>
      <c r="K6" s="78" t="s">
        <v>69</v>
      </c>
      <c r="L6" s="78" t="s">
        <v>76</v>
      </c>
      <c r="M6" s="78" t="s">
        <v>70</v>
      </c>
      <c r="N6" s="80">
        <v>10</v>
      </c>
      <c r="O6" s="80">
        <v>10</v>
      </c>
      <c r="P6" s="80">
        <v>8</v>
      </c>
      <c r="Q6" s="80">
        <v>0</v>
      </c>
      <c r="R6" s="80">
        <v>0</v>
      </c>
      <c r="S6" s="80">
        <v>0</v>
      </c>
      <c r="T6" s="41" t="s">
        <v>86</v>
      </c>
    </row>
    <row r="7" customHeight="1" spans="1:20">
      <c r="A7" s="1" t="s">
        <v>87</v>
      </c>
      <c r="B7" s="1" t="s">
        <v>65</v>
      </c>
      <c r="C7" s="77">
        <v>2</v>
      </c>
      <c r="D7" s="77" t="s">
        <v>88</v>
      </c>
      <c r="E7" s="78">
        <v>0.9</v>
      </c>
      <c r="F7" s="2" t="str">
        <f>VLOOKUP(D7,音擎!$A$2:$K$42,音擎!$K$1,FALSE)</f>
        <v>回能；强E3%物伤叠15层
（逐渐叠）</v>
      </c>
      <c r="G7" s="78" t="s">
        <v>80</v>
      </c>
      <c r="H7" s="78">
        <v>1</v>
      </c>
      <c r="I7" s="2" t="str">
        <f>VLOOKUP(G7,驱动盘!$A$2:$Y$17,驱动盘!$J$1,FALSE)</f>
        <v>切前台25%攻击10秒/20秒</v>
      </c>
      <c r="J7" s="78" t="s">
        <v>68</v>
      </c>
      <c r="K7" s="78" t="s">
        <v>82</v>
      </c>
      <c r="L7" s="78" t="s">
        <v>76</v>
      </c>
      <c r="M7" s="78" t="s">
        <v>70</v>
      </c>
      <c r="N7" s="80">
        <v>10</v>
      </c>
      <c r="O7" s="80">
        <v>10</v>
      </c>
      <c r="P7" s="80">
        <v>8</v>
      </c>
      <c r="Q7" s="80">
        <v>0</v>
      </c>
      <c r="R7" s="80">
        <v>0</v>
      </c>
      <c r="S7" s="80">
        <v>0</v>
      </c>
      <c r="T7" s="41" t="s">
        <v>89</v>
      </c>
    </row>
    <row r="8" customHeight="1" spans="1:19">
      <c r="A8" s="1" t="s">
        <v>90</v>
      </c>
      <c r="B8" s="1" t="s">
        <v>65</v>
      </c>
      <c r="C8" s="77">
        <v>2</v>
      </c>
      <c r="D8" s="77" t="s">
        <v>79</v>
      </c>
      <c r="E8" s="78">
        <v>1</v>
      </c>
      <c r="F8" s="2" t="str">
        <f>VLOOKUP(D8,音擎!$A$2:$K$42,音擎!$K$1,FALSE)</f>
        <v>普攻冲刺闪反叠层3.5%攻击
8层8秒</v>
      </c>
      <c r="G8" s="78" t="s">
        <v>91</v>
      </c>
      <c r="H8" s="78">
        <v>1</v>
      </c>
      <c r="I8" s="2" t="str">
        <f>VLOOKUP(G8,驱动盘!$A$2:$Y$17,驱动盘!$J$1,FALSE)</f>
        <v>有感电27%攻击</v>
      </c>
      <c r="J8" s="78" t="s">
        <v>68</v>
      </c>
      <c r="K8" s="78" t="s">
        <v>82</v>
      </c>
      <c r="L8" s="78" t="s">
        <v>76</v>
      </c>
      <c r="M8" s="78" t="s">
        <v>70</v>
      </c>
      <c r="N8" s="80">
        <v>10</v>
      </c>
      <c r="O8" s="80">
        <v>10</v>
      </c>
      <c r="P8" s="80">
        <v>8</v>
      </c>
      <c r="Q8" s="80">
        <v>0</v>
      </c>
      <c r="R8" s="80">
        <v>0</v>
      </c>
      <c r="S8" s="80">
        <v>0</v>
      </c>
    </row>
    <row r="9" customHeight="1" spans="1:19">
      <c r="A9" s="1" t="s">
        <v>92</v>
      </c>
      <c r="B9" s="1" t="s">
        <v>93</v>
      </c>
      <c r="C9" s="79">
        <v>0</v>
      </c>
      <c r="D9" s="77" t="s">
        <v>94</v>
      </c>
      <c r="E9" s="78">
        <v>1</v>
      </c>
      <c r="F9" s="2" t="str">
        <f>VLOOKUP(D9,音擎!$A$2:$K$42,音擎!$K$1,FALSE)</f>
        <v>每10能量3.2%冲击，最多8层</v>
      </c>
      <c r="G9" s="78" t="s">
        <v>95</v>
      </c>
      <c r="H9" s="78">
        <v>1</v>
      </c>
      <c r="I9" s="2" t="str">
        <f>VLOOKUP(G9,驱动盘!$A$2:$Y$17,驱动盘!$J$1,FALSE)</f>
        <v>普攻失衡20%</v>
      </c>
      <c r="J9" s="78" t="s">
        <v>96</v>
      </c>
      <c r="K9" s="78" t="s">
        <v>82</v>
      </c>
      <c r="L9" s="78" t="s">
        <v>97</v>
      </c>
      <c r="M9" s="78" t="s">
        <v>98</v>
      </c>
      <c r="N9" s="80">
        <v>10</v>
      </c>
      <c r="O9" s="80">
        <v>10</v>
      </c>
      <c r="P9" s="80">
        <v>8</v>
      </c>
      <c r="Q9" s="80"/>
      <c r="R9" s="80"/>
      <c r="S9" s="80"/>
    </row>
    <row r="10" customHeight="1" spans="1:20">
      <c r="A10" s="1" t="s">
        <v>99</v>
      </c>
      <c r="B10" s="1" t="s">
        <v>93</v>
      </c>
      <c r="C10" s="77">
        <v>0</v>
      </c>
      <c r="D10" s="77" t="s">
        <v>100</v>
      </c>
      <c r="E10" s="78">
        <v>1</v>
      </c>
      <c r="F10" s="2" t="str">
        <f>VLOOKUP(D10,音擎!$A$2:$K$42,音擎!$K$1,FALSE)</f>
        <v>50%血线和75%血线18%失衡（注意覆盖率）</v>
      </c>
      <c r="G10" s="78" t="s">
        <v>95</v>
      </c>
      <c r="H10" s="78">
        <v>1</v>
      </c>
      <c r="I10" s="2" t="str">
        <f>VLOOKUP(G10,驱动盘!$A$2:$Y$17,驱动盘!$J$1,FALSE)</f>
        <v>普攻失衡20%</v>
      </c>
      <c r="J10" s="78" t="s">
        <v>96</v>
      </c>
      <c r="K10" s="78" t="s">
        <v>82</v>
      </c>
      <c r="L10" s="78" t="s">
        <v>97</v>
      </c>
      <c r="M10" s="78" t="s">
        <v>98</v>
      </c>
      <c r="N10" s="80">
        <v>10</v>
      </c>
      <c r="O10" s="80">
        <v>10</v>
      </c>
      <c r="P10" s="80">
        <v>8</v>
      </c>
      <c r="Q10" s="80">
        <v>0</v>
      </c>
      <c r="R10" s="80">
        <v>0</v>
      </c>
      <c r="S10" s="80">
        <v>0</v>
      </c>
      <c r="T10" s="41" t="s">
        <v>101</v>
      </c>
    </row>
    <row r="11" customHeight="1" spans="1:20">
      <c r="A11" s="1" t="s">
        <v>102</v>
      </c>
      <c r="B11" s="1" t="s">
        <v>93</v>
      </c>
      <c r="C11" s="77">
        <v>0</v>
      </c>
      <c r="D11" s="77" t="s">
        <v>94</v>
      </c>
      <c r="E11" s="78">
        <v>1</v>
      </c>
      <c r="F11" s="2" t="str">
        <f>VLOOKUP(D11,音擎!$A$2:$K$42,音擎!$K$1,FALSE)</f>
        <v>每10能量3.2%冲击，最多8层</v>
      </c>
      <c r="G11" s="78" t="s">
        <v>103</v>
      </c>
      <c r="H11" s="78">
        <v>1</v>
      </c>
      <c r="I11" s="2" t="str">
        <f>VLOOKUP(G11,驱动盘!$A$2:$Y$17,驱动盘!$J$1,FALSE)</f>
        <v>强E后20%异常减抗（未记）</v>
      </c>
      <c r="J11" s="78" t="s">
        <v>95</v>
      </c>
      <c r="K11" s="78" t="s">
        <v>82</v>
      </c>
      <c r="L11" s="78" t="s">
        <v>97</v>
      </c>
      <c r="M11" s="78" t="s">
        <v>98</v>
      </c>
      <c r="N11" s="80">
        <v>10</v>
      </c>
      <c r="O11" s="80">
        <v>10</v>
      </c>
      <c r="P11" s="80">
        <v>8</v>
      </c>
      <c r="Q11" s="80">
        <v>0</v>
      </c>
      <c r="R11" s="80">
        <v>0</v>
      </c>
      <c r="S11" s="80">
        <v>0</v>
      </c>
      <c r="T11" s="41" t="s">
        <v>104</v>
      </c>
    </row>
    <row r="12" customHeight="1" spans="1:20">
      <c r="A12" s="1" t="s">
        <v>105</v>
      </c>
      <c r="B12" s="1" t="s">
        <v>93</v>
      </c>
      <c r="C12" s="77">
        <v>0</v>
      </c>
      <c r="D12" s="77" t="s">
        <v>94</v>
      </c>
      <c r="E12" s="78">
        <v>1</v>
      </c>
      <c r="F12" s="2" t="str">
        <f>VLOOKUP(D12,音擎!$A$2:$K$42,音擎!$K$1,FALSE)</f>
        <v>每10能量3.2%冲击，最多8层</v>
      </c>
      <c r="G12" s="78" t="s">
        <v>103</v>
      </c>
      <c r="H12" s="78">
        <v>1</v>
      </c>
      <c r="I12" s="2" t="str">
        <f>VLOOKUP(G12,驱动盘!$A$2:$Y$17,驱动盘!$J$1,FALSE)</f>
        <v>强E后20%异常减抗（未记）</v>
      </c>
      <c r="J12" s="78" t="s">
        <v>95</v>
      </c>
      <c r="K12" s="78" t="s">
        <v>82</v>
      </c>
      <c r="L12" s="78" t="s">
        <v>97</v>
      </c>
      <c r="M12" s="78" t="s">
        <v>98</v>
      </c>
      <c r="N12" s="80">
        <v>10</v>
      </c>
      <c r="O12" s="80">
        <v>10</v>
      </c>
      <c r="P12" s="80">
        <v>8</v>
      </c>
      <c r="Q12" s="80">
        <v>0</v>
      </c>
      <c r="R12" s="80">
        <v>0</v>
      </c>
      <c r="S12" s="80">
        <v>0</v>
      </c>
      <c r="T12" s="41" t="s">
        <v>106</v>
      </c>
    </row>
    <row r="13" customHeight="1" spans="1:20">
      <c r="A13" s="1" t="s">
        <v>107</v>
      </c>
      <c r="B13" s="1" t="s">
        <v>93</v>
      </c>
      <c r="C13" s="77">
        <v>0</v>
      </c>
      <c r="D13" s="77" t="s">
        <v>94</v>
      </c>
      <c r="E13" s="78">
        <v>1</v>
      </c>
      <c r="F13" s="2" t="str">
        <f>VLOOKUP(D13,音擎!$A$2:$K$42,音擎!$K$1,FALSE)</f>
        <v>每10能量3.2%冲击，最多8层</v>
      </c>
      <c r="G13" s="78" t="s">
        <v>103</v>
      </c>
      <c r="H13" s="78">
        <v>1</v>
      </c>
      <c r="I13" s="2" t="str">
        <f>VLOOKUP(G13,驱动盘!$A$2:$Y$17,驱动盘!$J$1,FALSE)</f>
        <v>强E后20%异常减抗（未记）</v>
      </c>
      <c r="J13" s="78" t="s">
        <v>95</v>
      </c>
      <c r="K13" s="78" t="s">
        <v>82</v>
      </c>
      <c r="L13" s="78" t="s">
        <v>97</v>
      </c>
      <c r="M13" s="78" t="s">
        <v>98</v>
      </c>
      <c r="N13" s="80">
        <v>10</v>
      </c>
      <c r="O13" s="80">
        <v>10</v>
      </c>
      <c r="P13" s="80">
        <v>8</v>
      </c>
      <c r="Q13" s="80">
        <v>0</v>
      </c>
      <c r="R13" s="80">
        <v>0</v>
      </c>
      <c r="S13" s="80">
        <v>0</v>
      </c>
      <c r="T13" s="41" t="s">
        <v>106</v>
      </c>
    </row>
    <row r="14" customHeight="1" spans="1:20">
      <c r="A14" s="1" t="s">
        <v>108</v>
      </c>
      <c r="B14" s="1" t="s">
        <v>93</v>
      </c>
      <c r="C14" s="77">
        <v>2</v>
      </c>
      <c r="D14" s="77" t="s">
        <v>94</v>
      </c>
      <c r="E14" s="78">
        <v>1</v>
      </c>
      <c r="F14" s="2" t="str">
        <f>VLOOKUP(D14,音擎!$A$2:$K$42,音擎!$K$1,FALSE)</f>
        <v>每10能量3.2%冲击，最多8层</v>
      </c>
      <c r="G14" s="78" t="s">
        <v>109</v>
      </c>
      <c r="H14" s="78">
        <v>1</v>
      </c>
      <c r="I14" s="2" t="str">
        <f>VLOOKUP(G14,驱动盘!$A$2:$Y$17,驱动盘!$J$1,FALSE)</f>
        <v>15护盾；招架后全队15增伤10秒（未记）</v>
      </c>
      <c r="J14" s="78" t="s">
        <v>95</v>
      </c>
      <c r="K14" s="78" t="s">
        <v>82</v>
      </c>
      <c r="L14" s="78" t="s">
        <v>97</v>
      </c>
      <c r="M14" s="78" t="s">
        <v>98</v>
      </c>
      <c r="N14" s="80">
        <v>10</v>
      </c>
      <c r="O14" s="80">
        <v>10</v>
      </c>
      <c r="P14" s="80">
        <v>8</v>
      </c>
      <c r="Q14" s="80">
        <v>0</v>
      </c>
      <c r="R14" s="80">
        <v>0</v>
      </c>
      <c r="S14" s="80">
        <v>0</v>
      </c>
      <c r="T14" s="41" t="s">
        <v>110</v>
      </c>
    </row>
    <row r="15" customHeight="1" spans="1:19">
      <c r="A15" s="1" t="s">
        <v>27</v>
      </c>
      <c r="B15" s="1" t="s">
        <v>111</v>
      </c>
      <c r="C15" s="77">
        <v>0</v>
      </c>
      <c r="D15" s="77" t="s">
        <v>112</v>
      </c>
      <c r="E15" s="78">
        <v>1</v>
      </c>
      <c r="F15" s="2" t="str">
        <f>VLOOKUP(D15,音擎!$A$2:$K$42,音擎!$K$1,FALSE)</f>
        <v>25冰伤，普攻20暴击</v>
      </c>
      <c r="G15" s="78" t="s">
        <v>74</v>
      </c>
      <c r="H15" s="78">
        <v>1</v>
      </c>
      <c r="I15" s="2" t="str">
        <f>VLOOKUP(G15,驱动盘!$A$2:$Y$17,驱动盘!$J$1,FALSE)</f>
        <v>25%普伤冲伤，异常后翻倍12秒</v>
      </c>
      <c r="J15" s="78" t="s">
        <v>68</v>
      </c>
      <c r="K15" s="78" t="s">
        <v>69</v>
      </c>
      <c r="L15" s="78" t="s">
        <v>70</v>
      </c>
      <c r="M15" s="78" t="s">
        <v>70</v>
      </c>
      <c r="N15" s="80">
        <v>10</v>
      </c>
      <c r="O15" s="80">
        <v>10</v>
      </c>
      <c r="P15" s="80">
        <v>8</v>
      </c>
      <c r="Q15" s="80">
        <v>0</v>
      </c>
      <c r="R15" s="80">
        <v>0</v>
      </c>
      <c r="S15" s="80">
        <v>0</v>
      </c>
    </row>
    <row r="16" customHeight="1" spans="1:20">
      <c r="A16" s="1" t="s">
        <v>29</v>
      </c>
      <c r="B16" s="1" t="s">
        <v>111</v>
      </c>
      <c r="C16" s="77">
        <v>0</v>
      </c>
      <c r="D16" s="77" t="s">
        <v>113</v>
      </c>
      <c r="E16" s="78">
        <v>1</v>
      </c>
      <c r="F16" s="2" t="str">
        <f>VLOOKUP(D16,音擎!$A$2:$K$42,音擎!$K$1,FALSE)</f>
        <v>30电异常效率；75精通
25紊乱伤（未记）</v>
      </c>
      <c r="G16" s="78" t="s">
        <v>91</v>
      </c>
      <c r="H16" s="78">
        <v>0.7</v>
      </c>
      <c r="I16" s="2" t="str">
        <f>VLOOKUP(G16,驱动盘!$A$2:$Y$17,驱动盘!$J$1,FALSE)</f>
        <v>有感电27%攻击</v>
      </c>
      <c r="J16" s="78" t="s">
        <v>103</v>
      </c>
      <c r="K16" s="78" t="s">
        <v>114</v>
      </c>
      <c r="L16" s="78" t="s">
        <v>97</v>
      </c>
      <c r="M16" s="78" t="s">
        <v>70</v>
      </c>
      <c r="N16" s="80"/>
      <c r="O16" s="80"/>
      <c r="P16" s="80">
        <v>10</v>
      </c>
      <c r="Q16" s="80">
        <v>8</v>
      </c>
      <c r="R16" s="80">
        <v>10</v>
      </c>
      <c r="S16" s="80"/>
      <c r="T16" s="41" t="s">
        <v>115</v>
      </c>
    </row>
    <row r="17" customHeight="1" spans="1:20">
      <c r="A17" s="1" t="s">
        <v>116</v>
      </c>
      <c r="B17" s="1" t="s">
        <v>111</v>
      </c>
      <c r="C17" s="77">
        <v>0</v>
      </c>
      <c r="D17" s="77" t="s">
        <v>117</v>
      </c>
      <c r="E17" s="78">
        <v>1</v>
      </c>
      <c r="F17" s="2" t="str">
        <f>VLOOKUP(D17,音擎!$A$2:$K$42,音擎!$K$1,FALSE)</f>
        <v>有异常状态敌人，16攻25伤</v>
      </c>
      <c r="G17" s="78" t="s">
        <v>67</v>
      </c>
      <c r="H17" s="78">
        <v>1</v>
      </c>
      <c r="I17" s="2" t="str">
        <f>VLOOKUP(G17,驱动盘!$A$2:$Y$17,驱动盘!$J$1,FALSE)</f>
        <v>20暴伤，异常后5.5%暴伤6层8秒</v>
      </c>
      <c r="J17" s="78" t="s">
        <v>96</v>
      </c>
      <c r="K17" s="78" t="s">
        <v>114</v>
      </c>
      <c r="L17" s="78" t="s">
        <v>97</v>
      </c>
      <c r="M17" s="78" t="s">
        <v>70</v>
      </c>
      <c r="N17" s="80"/>
      <c r="O17" s="80"/>
      <c r="P17" s="80">
        <v>10</v>
      </c>
      <c r="Q17" s="80">
        <v>8</v>
      </c>
      <c r="R17" s="80">
        <v>10</v>
      </c>
      <c r="S17" s="80"/>
      <c r="T17" s="41" t="s">
        <v>118</v>
      </c>
    </row>
    <row r="18" customHeight="1" spans="1:20">
      <c r="A18" s="1" t="s">
        <v>119</v>
      </c>
      <c r="B18" s="1" t="s">
        <v>111</v>
      </c>
      <c r="C18" s="77">
        <v>0</v>
      </c>
      <c r="D18" s="77" t="s">
        <v>120</v>
      </c>
      <c r="E18" s="78">
        <v>1</v>
      </c>
      <c r="F18" s="2" t="str">
        <f>VLOOKUP(D18,音擎!$A$2:$K$42,音擎!$K$1,FALSE)</f>
        <v>36物伤40异常效率</v>
      </c>
      <c r="G18" s="78" t="s">
        <v>81</v>
      </c>
      <c r="H18" s="78">
        <v>1</v>
      </c>
      <c r="I18" s="2" t="str">
        <f>VLOOKUP(G18,驱动盘!$A$2:$Y$17,驱动盘!$J$1,FALSE)</f>
        <v>异常后35增伤12秒</v>
      </c>
      <c r="J18" s="78" t="s">
        <v>103</v>
      </c>
      <c r="K18" s="78" t="s">
        <v>114</v>
      </c>
      <c r="L18" s="78" t="s">
        <v>76</v>
      </c>
      <c r="M18" s="78" t="s">
        <v>121</v>
      </c>
      <c r="N18" s="80"/>
      <c r="O18" s="80"/>
      <c r="P18" s="80">
        <v>10</v>
      </c>
      <c r="Q18" s="80">
        <v>8</v>
      </c>
      <c r="R18" s="80">
        <v>10</v>
      </c>
      <c r="S18" s="80"/>
      <c r="T18" s="41" t="s">
        <v>122</v>
      </c>
    </row>
    <row r="19" customHeight="1" spans="1:20">
      <c r="A19" s="1" t="s">
        <v>123</v>
      </c>
      <c r="B19" s="1" t="s">
        <v>111</v>
      </c>
      <c r="C19" s="77">
        <v>0</v>
      </c>
      <c r="D19" s="77" t="s">
        <v>124</v>
      </c>
      <c r="E19" s="78">
        <v>1</v>
      </c>
      <c r="F19" s="2" t="str">
        <f>VLOOKUP(D19,音擎!$A$2:$K$42,音擎!$K$1,FALSE)</f>
        <v>12战时攻击
e和强化e后25精通3层</v>
      </c>
      <c r="G19" s="78" t="s">
        <v>91</v>
      </c>
      <c r="H19" s="78">
        <v>1</v>
      </c>
      <c r="I19" s="2" t="str">
        <f>VLOOKUP(G19,驱动盘!$A$2:$Y$17,驱动盘!$J$1,FALSE)</f>
        <v>有感电27%攻击</v>
      </c>
      <c r="J19" s="78" t="s">
        <v>103</v>
      </c>
      <c r="K19" s="78" t="s">
        <v>114</v>
      </c>
      <c r="L19" s="78" t="s">
        <v>76</v>
      </c>
      <c r="M19" s="78" t="s">
        <v>121</v>
      </c>
      <c r="N19" s="80">
        <v>0</v>
      </c>
      <c r="O19" s="80"/>
      <c r="P19" s="80">
        <v>10</v>
      </c>
      <c r="Q19" s="80">
        <v>8</v>
      </c>
      <c r="R19" s="80">
        <v>10</v>
      </c>
      <c r="S19" s="80"/>
      <c r="T19" s="41" t="s">
        <v>125</v>
      </c>
    </row>
    <row r="20" customHeight="1" spans="1:20">
      <c r="A20" s="1" t="s">
        <v>126</v>
      </c>
      <c r="B20" s="1" t="s">
        <v>111</v>
      </c>
      <c r="C20" s="77">
        <v>2</v>
      </c>
      <c r="D20" s="77" t="s">
        <v>127</v>
      </c>
      <c r="E20" s="78">
        <v>0.7</v>
      </c>
      <c r="F20" s="2" t="str">
        <f>VLOOKUP(D20,音擎!$A$2:$K$42,音擎!$K$1,FALSE)</f>
        <v>强化E时给攻精效，5秒</v>
      </c>
      <c r="G20" s="78" t="s">
        <v>81</v>
      </c>
      <c r="H20" s="78">
        <v>1</v>
      </c>
      <c r="I20" s="2" t="str">
        <f>VLOOKUP(G20,驱动盘!$A$2:$Y$17,驱动盘!$J$1,FALSE)</f>
        <v>异常后35增伤12秒</v>
      </c>
      <c r="J20" s="78" t="s">
        <v>103</v>
      </c>
      <c r="K20" s="78" t="s">
        <v>114</v>
      </c>
      <c r="L20" s="78" t="s">
        <v>97</v>
      </c>
      <c r="M20" s="78" t="s">
        <v>70</v>
      </c>
      <c r="N20" s="80">
        <v>0</v>
      </c>
      <c r="O20" s="80"/>
      <c r="P20" s="80">
        <v>10</v>
      </c>
      <c r="Q20" s="80">
        <v>8</v>
      </c>
      <c r="R20" s="80">
        <v>10</v>
      </c>
      <c r="S20" s="80"/>
      <c r="T20" s="41" t="s">
        <v>128</v>
      </c>
    </row>
    <row r="21" customHeight="1" spans="1:20">
      <c r="A21" s="1" t="s">
        <v>129</v>
      </c>
      <c r="B21" s="1" t="s">
        <v>130</v>
      </c>
      <c r="C21" s="77">
        <v>2</v>
      </c>
      <c r="D21" s="77" t="s">
        <v>131</v>
      </c>
      <c r="E21" s="78">
        <v>1</v>
      </c>
      <c r="F21" s="2" t="str">
        <f>VLOOKUP(D21,音擎!$A$2:$K$42,音擎!$K$1,FALSE)</f>
        <v>15冰伤，强化e全队2%攻击，叠4层12秒（未记）</v>
      </c>
      <c r="G21" s="78" t="s">
        <v>96</v>
      </c>
      <c r="H21" s="78">
        <v>1</v>
      </c>
      <c r="I21" s="2" t="str">
        <f>VLOOKUP(G21,驱动盘!$A$2:$Y$17,驱动盘!$J$1,FALSE)</f>
        <v>连锁后全队15增伤12秒（未记）</v>
      </c>
      <c r="J21" s="78" t="s">
        <v>95</v>
      </c>
      <c r="K21" s="78" t="s">
        <v>82</v>
      </c>
      <c r="L21" s="78" t="s">
        <v>70</v>
      </c>
      <c r="M21" s="78" t="s">
        <v>70</v>
      </c>
      <c r="N21" s="80">
        <v>10</v>
      </c>
      <c r="O21" s="80">
        <v>10</v>
      </c>
      <c r="P21" s="80">
        <v>8</v>
      </c>
      <c r="Q21" s="80">
        <v>0</v>
      </c>
      <c r="R21" s="80">
        <v>0</v>
      </c>
      <c r="S21" s="80">
        <v>0</v>
      </c>
      <c r="T21" s="41" t="s">
        <v>132</v>
      </c>
    </row>
    <row r="22" customHeight="1" spans="1:20">
      <c r="A22" s="1" t="s">
        <v>133</v>
      </c>
      <c r="B22" s="1" t="s">
        <v>130</v>
      </c>
      <c r="C22" s="77">
        <v>0</v>
      </c>
      <c r="D22" s="77" t="s">
        <v>134</v>
      </c>
      <c r="E22" s="78">
        <v>1</v>
      </c>
      <c r="F22" s="2" t="str">
        <f>VLOOKUP(D22,音擎!$A$2:$K$42,音擎!$K$1,FALSE)</f>
        <v>全队增伤10-20.2%（未记）</v>
      </c>
      <c r="G22" s="78" t="s">
        <v>91</v>
      </c>
      <c r="H22" s="78">
        <v>1</v>
      </c>
      <c r="I22" s="2" t="str">
        <f>VLOOKUP(G22,驱动盘!$A$2:$Y$17,驱动盘!$J$1,FALSE)</f>
        <v>有感电27%攻击</v>
      </c>
      <c r="J22" s="78" t="s">
        <v>75</v>
      </c>
      <c r="K22" s="78" t="s">
        <v>114</v>
      </c>
      <c r="L22" s="78" t="s">
        <v>76</v>
      </c>
      <c r="M22" s="78" t="s">
        <v>70</v>
      </c>
      <c r="N22" s="80">
        <v>0</v>
      </c>
      <c r="O22" s="80"/>
      <c r="P22" s="80">
        <v>10</v>
      </c>
      <c r="Q22" s="80">
        <v>8</v>
      </c>
      <c r="R22" s="80">
        <v>10</v>
      </c>
      <c r="S22" s="80"/>
      <c r="T22" s="41" t="s">
        <v>135</v>
      </c>
    </row>
    <row r="23" customHeight="1" spans="1:20">
      <c r="A23" s="1" t="s">
        <v>136</v>
      </c>
      <c r="B23" s="1" t="s">
        <v>130</v>
      </c>
      <c r="C23" s="77">
        <v>2</v>
      </c>
      <c r="D23" s="77" t="s">
        <v>137</v>
      </c>
      <c r="E23" s="78">
        <v>1</v>
      </c>
      <c r="F23" s="2" t="str">
        <f>VLOOKUP(D23,音擎!$A$2:$K$42,音擎!$K$1,FALSE)</f>
        <v>造成以太技伤后，挂15增伤debuff（未记）回能提升（算妮可身上）</v>
      </c>
      <c r="G23" s="78" t="s">
        <v>96</v>
      </c>
      <c r="H23" s="78">
        <v>1</v>
      </c>
      <c r="I23" s="2" t="str">
        <f>VLOOKUP(G23,驱动盘!$A$2:$Y$17,驱动盘!$J$1,FALSE)</f>
        <v>连锁后全队15增伤12秒（未记）</v>
      </c>
      <c r="J23" s="78" t="s">
        <v>103</v>
      </c>
      <c r="K23" s="78" t="s">
        <v>82</v>
      </c>
      <c r="L23" s="78" t="s">
        <v>70</v>
      </c>
      <c r="M23" s="78" t="s">
        <v>138</v>
      </c>
      <c r="N23" s="80">
        <v>10</v>
      </c>
      <c r="O23" s="80">
        <v>10</v>
      </c>
      <c r="P23" s="80">
        <v>8</v>
      </c>
      <c r="Q23" s="80">
        <v>0</v>
      </c>
      <c r="R23" s="80">
        <v>0</v>
      </c>
      <c r="S23" s="80">
        <v>0</v>
      </c>
      <c r="T23" s="41" t="s">
        <v>132</v>
      </c>
    </row>
    <row r="24" customHeight="1" spans="1:20">
      <c r="A24" s="1" t="s">
        <v>139</v>
      </c>
      <c r="B24" s="1" t="s">
        <v>130</v>
      </c>
      <c r="C24" s="77">
        <v>2</v>
      </c>
      <c r="D24" s="77" t="s">
        <v>140</v>
      </c>
      <c r="E24" s="78">
        <v>1</v>
      </c>
      <c r="F24" s="2" t="str">
        <f>VLOOKUP(D24,音擎!$A$2:$K$42,音擎!$K$1,FALSE)</f>
        <v>全队2.5%攻4层（未记）</v>
      </c>
      <c r="G24" s="78" t="s">
        <v>96</v>
      </c>
      <c r="H24" s="78">
        <v>1</v>
      </c>
      <c r="I24" s="2" t="str">
        <f>VLOOKUP(G24,驱动盘!$A$2:$Y$17,驱动盘!$J$1,FALSE)</f>
        <v>连锁后全队15增伤12秒（未记）</v>
      </c>
      <c r="J24" s="78" t="s">
        <v>80</v>
      </c>
      <c r="K24" s="78" t="s">
        <v>70</v>
      </c>
      <c r="L24" s="78" t="s">
        <v>70</v>
      </c>
      <c r="M24" s="78" t="s">
        <v>138</v>
      </c>
      <c r="N24" s="80">
        <v>10</v>
      </c>
      <c r="O24" s="80">
        <v>10</v>
      </c>
      <c r="P24" s="80">
        <v>8</v>
      </c>
      <c r="Q24" s="80">
        <v>0</v>
      </c>
      <c r="R24" s="80">
        <v>0</v>
      </c>
      <c r="S24" s="80">
        <v>0</v>
      </c>
      <c r="T24" s="41" t="s">
        <v>141</v>
      </c>
    </row>
    <row r="25" hidden="1" customHeight="1" spans="1:19">
      <c r="A25" s="1" t="s">
        <v>142</v>
      </c>
      <c r="B25" s="1" t="s">
        <v>130</v>
      </c>
      <c r="C25" s="77">
        <f>C24</f>
        <v>2</v>
      </c>
      <c r="D25" s="77" t="str">
        <f>D24</f>
        <v>好斗的阿炮</v>
      </c>
      <c r="E25" s="78">
        <f>E24</f>
        <v>1</v>
      </c>
      <c r="F25" s="2" t="str">
        <f>VLOOKUP(D25,音擎!$A$2:$K$42,音擎!$K$1,FALSE)</f>
        <v>全队2.5%攻4层（未记）</v>
      </c>
      <c r="G25" s="78" t="str">
        <f>G24</f>
        <v>摇摆爵士</v>
      </c>
      <c r="H25" s="78">
        <f>H24</f>
        <v>1</v>
      </c>
      <c r="I25" s="2" t="str">
        <f>VLOOKUP(G25,驱动盘!$A$2:$Y$17,驱动盘!$J$1,FALSE)</f>
        <v>连锁后全队15增伤12秒（未记）</v>
      </c>
      <c r="J25" s="78" t="str">
        <f t="shared" ref="J25:S25" si="1">J24</f>
        <v>激素朋克</v>
      </c>
      <c r="K25" s="78" t="str">
        <f t="shared" si="1"/>
        <v>攻击</v>
      </c>
      <c r="L25" s="78" t="str">
        <f t="shared" si="1"/>
        <v>攻击</v>
      </c>
      <c r="M25" s="78" t="str">
        <f t="shared" si="1"/>
        <v>回能</v>
      </c>
      <c r="N25" s="80">
        <f t="shared" si="1"/>
        <v>10</v>
      </c>
      <c r="O25" s="80">
        <f t="shared" si="1"/>
        <v>10</v>
      </c>
      <c r="P25" s="80">
        <f t="shared" si="1"/>
        <v>8</v>
      </c>
      <c r="Q25" s="80">
        <f t="shared" si="1"/>
        <v>0</v>
      </c>
      <c r="R25" s="80">
        <f t="shared" si="1"/>
        <v>0</v>
      </c>
      <c r="S25" s="80">
        <f t="shared" si="1"/>
        <v>0</v>
      </c>
    </row>
    <row r="26" customHeight="1" spans="1:20">
      <c r="A26" s="1" t="s">
        <v>143</v>
      </c>
      <c r="B26" s="1" t="s">
        <v>144</v>
      </c>
      <c r="C26" s="77">
        <v>0</v>
      </c>
      <c r="D26" s="77" t="s">
        <v>145</v>
      </c>
      <c r="E26" s="78">
        <v>1</v>
      </c>
      <c r="F26" s="2" t="str">
        <f>VLOOKUP(D26,音擎!$A$2:$K$42,音擎!$K$1,FALSE)</f>
        <v>20能效；全队18增伤12失衡20秒</v>
      </c>
      <c r="G26" s="78" t="s">
        <v>109</v>
      </c>
      <c r="H26" s="78">
        <v>1</v>
      </c>
      <c r="I26" s="2" t="str">
        <f>VLOOKUP(G26,驱动盘!$A$2:$Y$17,驱动盘!$J$1,FALSE)</f>
        <v>15护盾；招架后全队15增伤10秒（未记）</v>
      </c>
      <c r="J26" s="78" t="s">
        <v>95</v>
      </c>
      <c r="K26" s="78" t="s">
        <v>82</v>
      </c>
      <c r="L26" s="78" t="s">
        <v>70</v>
      </c>
      <c r="M26" s="78" t="s">
        <v>98</v>
      </c>
      <c r="N26" s="80">
        <v>10</v>
      </c>
      <c r="O26" s="80">
        <v>10</v>
      </c>
      <c r="P26" s="80">
        <v>8</v>
      </c>
      <c r="Q26" s="80">
        <v>0</v>
      </c>
      <c r="R26" s="80">
        <v>0</v>
      </c>
      <c r="S26" s="80">
        <v>0</v>
      </c>
      <c r="T26" s="41" t="s">
        <v>146</v>
      </c>
    </row>
    <row r="27" customHeight="1" spans="1:20">
      <c r="A27" s="1" t="s">
        <v>147</v>
      </c>
      <c r="B27" s="1" t="s">
        <v>144</v>
      </c>
      <c r="C27" s="77">
        <v>2</v>
      </c>
      <c r="D27" s="77" t="s">
        <v>145</v>
      </c>
      <c r="E27" s="78">
        <v>1</v>
      </c>
      <c r="F27" s="2" t="str">
        <f>VLOOKUP(D27,音擎!$A$2:$K$42,音擎!$K$1,FALSE)</f>
        <v>20能效；全队18增伤12失衡20秒</v>
      </c>
      <c r="G27" s="78" t="s">
        <v>109</v>
      </c>
      <c r="H27" s="78">
        <v>1</v>
      </c>
      <c r="I27" s="2" t="str">
        <f>VLOOKUP(G27,驱动盘!$A$2:$Y$17,驱动盘!$J$1,FALSE)</f>
        <v>15护盾；招架后全队15增伤10秒（未记）</v>
      </c>
      <c r="J27" s="78" t="s">
        <v>95</v>
      </c>
      <c r="K27" s="78" t="s">
        <v>70</v>
      </c>
      <c r="L27" s="78" t="s">
        <v>70</v>
      </c>
      <c r="M27" s="78" t="s">
        <v>98</v>
      </c>
      <c r="N27" s="80">
        <v>0</v>
      </c>
      <c r="O27" s="80"/>
      <c r="P27" s="80">
        <v>10</v>
      </c>
      <c r="Q27" s="80">
        <v>8</v>
      </c>
      <c r="R27" s="80">
        <v>10</v>
      </c>
      <c r="S27" s="80"/>
      <c r="T27" s="41" t="s">
        <v>148</v>
      </c>
    </row>
    <row r="28" customHeight="1" spans="6:6">
      <c r="F28" s="2"/>
    </row>
    <row r="29" customHeight="1" spans="6:6">
      <c r="F29" s="2"/>
    </row>
    <row r="30" customHeight="1" spans="6:6">
      <c r="F30" s="2"/>
    </row>
    <row r="31" customHeight="1" spans="6:6">
      <c r="F31" s="2"/>
    </row>
    <row r="32" customHeight="1" spans="6:6">
      <c r="F32" s="2"/>
    </row>
    <row r="33" customHeight="1" spans="6:6">
      <c r="F33" s="2"/>
    </row>
    <row r="34" customHeight="1" spans="6:6">
      <c r="F34" s="2"/>
    </row>
    <row r="35" customHeight="1" spans="6:6">
      <c r="F35" s="2"/>
    </row>
    <row r="36" customHeight="1" spans="6:6">
      <c r="F36" s="2"/>
    </row>
    <row r="37" customHeight="1" spans="6:6">
      <c r="F37" s="2"/>
    </row>
    <row r="38" customHeight="1" spans="6:6">
      <c r="F38" s="2"/>
    </row>
    <row r="39" customHeight="1" spans="6:6">
      <c r="F39" s="2"/>
    </row>
    <row r="40" customHeight="1" spans="6:6">
      <c r="F40" s="2"/>
    </row>
    <row r="41" customHeight="1" spans="6:6">
      <c r="F41" s="2"/>
    </row>
    <row r="42" customHeight="1" spans="6:6">
      <c r="F42" s="2"/>
    </row>
  </sheetData>
  <sheetProtection selectLockedCells="1" formatCells="0" insertHyperlinks="0" autoFilter="0"/>
  <conditionalFormatting sqref="Q9:S9">
    <cfRule type="cellIs" dxfId="0" priority="31" operator="equal">
      <formula>0</formula>
    </cfRule>
  </conditionalFormatting>
  <conditionalFormatting sqref="K15:M15">
    <cfRule type="cellIs" dxfId="6" priority="8" operator="equal">
      <formula>"攻击"</formula>
    </cfRule>
    <cfRule type="cellIs" dxfId="7" priority="7" operator="equal">
      <formula>"冲击"</formula>
    </cfRule>
    <cfRule type="cellIs" dxfId="8" priority="6" operator="equal">
      <formula>"穿透"</formula>
    </cfRule>
    <cfRule type="cellIs" dxfId="9" priority="5" operator="equal">
      <formula>"暴击"</formula>
    </cfRule>
    <cfRule type="cellIs" dxfId="10" priority="4" operator="equal">
      <formula>"暴伤"</formula>
    </cfRule>
    <cfRule type="cellIs" dxfId="11" priority="3" operator="equal">
      <formula>"回能"</formula>
    </cfRule>
  </conditionalFormatting>
  <conditionalFormatting sqref="O15">
    <cfRule type="cellIs" dxfId="0" priority="1" operator="equal">
      <formula>0</formula>
    </cfRule>
  </conditionalFormatting>
  <conditionalFormatting sqref="K16:M16">
    <cfRule type="cellIs" dxfId="11" priority="41" operator="equal">
      <formula>"回能"</formula>
    </cfRule>
    <cfRule type="cellIs" dxfId="10" priority="42" operator="equal">
      <formula>"暴伤"</formula>
    </cfRule>
    <cfRule type="cellIs" dxfId="9" priority="43" operator="equal">
      <formula>"暴击"</formula>
    </cfRule>
    <cfRule type="cellIs" dxfId="8" priority="44" operator="equal">
      <formula>"穿透"</formula>
    </cfRule>
    <cfRule type="cellIs" dxfId="7" priority="45" operator="equal">
      <formula>"冲击"</formula>
    </cfRule>
    <cfRule type="cellIs" dxfId="6" priority="46" operator="equal">
      <formula>"攻击"</formula>
    </cfRule>
  </conditionalFormatting>
  <conditionalFormatting sqref="N16">
    <cfRule type="cellIs" dxfId="0" priority="37" operator="equal">
      <formula>0</formula>
    </cfRule>
  </conditionalFormatting>
  <conditionalFormatting sqref="O16">
    <cfRule type="cellIs" dxfId="0" priority="33" operator="equal">
      <formula>0</formula>
    </cfRule>
  </conditionalFormatting>
  <conditionalFormatting sqref="P16:R16">
    <cfRule type="cellIs" dxfId="0" priority="35" operator="equal">
      <formula>0</formula>
    </cfRule>
  </conditionalFormatting>
  <conditionalFormatting sqref="S16">
    <cfRule type="cellIs" dxfId="0" priority="47" operator="equal">
      <formula>0</formula>
    </cfRule>
  </conditionalFormatting>
  <conditionalFormatting sqref="N17">
    <cfRule type="cellIs" dxfId="0" priority="36" operator="equal">
      <formula>0</formula>
    </cfRule>
  </conditionalFormatting>
  <conditionalFormatting sqref="O17">
    <cfRule type="cellIs" dxfId="0" priority="32" operator="equal">
      <formula>0</formula>
    </cfRule>
  </conditionalFormatting>
  <conditionalFormatting sqref="P17:R17">
    <cfRule type="cellIs" dxfId="0" priority="21" operator="equal">
      <formula>0</formula>
    </cfRule>
  </conditionalFormatting>
  <conditionalFormatting sqref="S17">
    <cfRule type="cellIs" dxfId="0" priority="22" operator="equal">
      <formula>0</formula>
    </cfRule>
  </conditionalFormatting>
  <conditionalFormatting sqref="O18">
    <cfRule type="cellIs" dxfId="0" priority="52" operator="equal">
      <formula>0</formula>
    </cfRule>
  </conditionalFormatting>
  <conditionalFormatting sqref="P18:R18">
    <cfRule type="cellIs" dxfId="0" priority="19" operator="equal">
      <formula>0</formula>
    </cfRule>
  </conditionalFormatting>
  <conditionalFormatting sqref="S18">
    <cfRule type="cellIs" dxfId="0" priority="20" operator="equal">
      <formula>0</formula>
    </cfRule>
  </conditionalFormatting>
  <conditionalFormatting sqref="N21">
    <cfRule type="cellIs" dxfId="0" priority="73" operator="equal">
      <formula>0</formula>
    </cfRule>
  </conditionalFormatting>
  <conditionalFormatting sqref="O21">
    <cfRule type="cellIs" dxfId="0" priority="72" operator="equal">
      <formula>0</formula>
    </cfRule>
  </conditionalFormatting>
  <conditionalFormatting sqref="P22:S22">
    <cfRule type="cellIs" dxfId="0" priority="49" operator="equal">
      <formula>0</formula>
    </cfRule>
  </conditionalFormatting>
  <conditionalFormatting sqref="N23">
    <cfRule type="cellIs" dxfId="0" priority="69" operator="equal">
      <formula>0</formula>
    </cfRule>
  </conditionalFormatting>
  <conditionalFormatting sqref="O23">
    <cfRule type="cellIs" dxfId="0" priority="66" operator="equal">
      <formula>0</formula>
    </cfRule>
  </conditionalFormatting>
  <conditionalFormatting sqref="N26">
    <cfRule type="cellIs" dxfId="0" priority="67" operator="equal">
      <formula>0</formula>
    </cfRule>
  </conditionalFormatting>
  <conditionalFormatting sqref="O26">
    <cfRule type="cellIs" dxfId="0" priority="64" operator="equal">
      <formula>0</formula>
    </cfRule>
  </conditionalFormatting>
  <conditionalFormatting sqref="P27:S27">
    <cfRule type="cellIs" dxfId="0" priority="48" operator="equal">
      <formula>0</formula>
    </cfRule>
  </conditionalFormatting>
  <conditionalFormatting sqref="N24:N25">
    <cfRule type="cellIs" dxfId="0" priority="68" operator="equal">
      <formula>0</formula>
    </cfRule>
  </conditionalFormatting>
  <conditionalFormatting sqref="O24:O25">
    <cfRule type="cellIs" dxfId="0" priority="65" operator="equal">
      <formula>0</formula>
    </cfRule>
  </conditionalFormatting>
  <conditionalFormatting sqref="K3:M14 K17:M27">
    <cfRule type="cellIs" dxfId="11" priority="58" operator="equal">
      <formula>"回能"</formula>
    </cfRule>
    <cfRule type="cellIs" dxfId="10" priority="59" operator="equal">
      <formula>"暴伤"</formula>
    </cfRule>
    <cfRule type="cellIs" dxfId="9" priority="60" operator="equal">
      <formula>"暴击"</formula>
    </cfRule>
    <cfRule type="cellIs" dxfId="8" priority="61" operator="equal">
      <formula>"穿透"</formula>
    </cfRule>
    <cfRule type="cellIs" dxfId="7" priority="62" operator="equal">
      <formula>"冲击"</formula>
    </cfRule>
    <cfRule type="cellIs" dxfId="6" priority="63" operator="equal">
      <formula>"攻击"</formula>
    </cfRule>
  </conditionalFormatting>
  <conditionalFormatting sqref="N3:N14 P9 P10:S14 P3:S8 N18:N20 N22 P23:S26 N27 P21:S21">
    <cfRule type="cellIs" dxfId="0" priority="75" operator="equal">
      <formula>0</formula>
    </cfRule>
  </conditionalFormatting>
  <conditionalFormatting sqref="O3:O14 O19:O20 O22 O27">
    <cfRule type="cellIs" dxfId="0" priority="74" operator="equal">
      <formula>0</formula>
    </cfRule>
  </conditionalFormatting>
  <conditionalFormatting sqref="N15 P15:S15">
    <cfRule type="cellIs" dxfId="0" priority="2" operator="equal">
      <formula>0</formula>
    </cfRule>
  </conditionalFormatting>
  <conditionalFormatting sqref="P19:S20">
    <cfRule type="cellIs" dxfId="0" priority="53" operator="equal">
      <formula>0</formula>
    </cfRule>
  </conditionalFormatting>
  <dataValidations count="14">
    <dataValidation type="list" allowBlank="1" showInputMessage="1" showErrorMessage="1" sqref="G3:G27 J3:J27">
      <formula1>驱动盘!$A$3:$A$17</formula1>
    </dataValidation>
    <dataValidation type="list" allowBlank="1" showErrorMessage="1" errorTitle="错误提示" error="请输入下拉列表中的值" sqref="D9:D14">
      <formula1>音擎!$A$3:$A$11</formula1>
    </dataValidation>
    <dataValidation type="whole" operator="between" allowBlank="1" showInputMessage="1" showErrorMessage="1" sqref="C9">
      <formula1>0</formula1>
      <formula2>0</formula2>
    </dataValidation>
    <dataValidation type="list" allowBlank="1" showErrorMessage="1" errorTitle="错误提示" error="请输入下拉列表中的值" sqref="D15:D20">
      <formula1>音擎!$A$22:$A$32</formula1>
    </dataValidation>
    <dataValidation type="whole" operator="between" allowBlank="1" showInputMessage="1" showErrorMessage="1" sqref="C3:C8 C10:C27">
      <formula1>0</formula1>
      <formula2>6</formula2>
    </dataValidation>
    <dataValidation type="decimal" operator="between" showInputMessage="1" showErrorMessage="1" sqref="E3:E27">
      <formula1>0</formula1>
      <formula2>2</formula2>
    </dataValidation>
    <dataValidation type="list" allowBlank="1" showErrorMessage="1" errorTitle="错误提示" error="请输入下拉列表中的值" sqref="D3:D8">
      <formula1>音擎!$A$12:$A$21</formula1>
    </dataValidation>
    <dataValidation type="list" allowBlank="1" showErrorMessage="1" errorTitle="错误提示" error="请输入下拉列表中的值" sqref="D21:D25">
      <formula1>音擎!$A$33:$A$39</formula1>
    </dataValidation>
    <dataValidation type="list" allowBlank="1" showErrorMessage="1" errorTitle="错误提示" error="请输入下拉列表中的值" sqref="D26:D27">
      <formula1>音擎!$A$40:$A$42</formula1>
    </dataValidation>
    <dataValidation type="decimal" operator="between" showInputMessage="1" showErrorMessage="1" sqref="H3:H27">
      <formula1>0</formula1>
      <formula2>1</formula2>
    </dataValidation>
    <dataValidation type="list" allowBlank="1" showInputMessage="1" showErrorMessage="1" sqref="K3:K27">
      <formula1>"暴击,暴伤,精通,攻击"</formula1>
    </dataValidation>
    <dataValidation type="list" allowBlank="1" showInputMessage="1" showErrorMessage="1" sqref="L3:L27">
      <formula1>"攻击,属伤,穿透"</formula1>
    </dataValidation>
    <dataValidation type="list" allowBlank="1" showInputMessage="1" showErrorMessage="1" sqref="M3:M27">
      <formula1>"攻击,冲击,回能,掌控"</formula1>
    </dataValidation>
    <dataValidation type="whole" operator="between" allowBlank="1" showInputMessage="1" showErrorMessage="1" sqref="N17:S18 N3:S16 N19:S27">
      <formula1>0</formula1>
      <formula2>40</formula2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J6" sqref="J6"/>
    </sheetView>
  </sheetViews>
  <sheetFormatPr defaultColWidth="9.90740740740741" defaultRowHeight="34" customHeight="1"/>
  <cols>
    <col min="1" max="16382" width="11.8888888888889" style="69" customWidth="1"/>
    <col min="16383" max="16384" width="11.8888888888889" style="69"/>
  </cols>
  <sheetData>
    <row r="1" customHeight="1" spans="1:15">
      <c r="A1" s="70" t="s">
        <v>149</v>
      </c>
      <c r="B1" s="70"/>
      <c r="C1" s="70"/>
      <c r="D1" s="70"/>
      <c r="E1" s="70"/>
      <c r="F1" s="70"/>
      <c r="G1" s="70"/>
      <c r="H1" s="70"/>
      <c r="I1" s="70"/>
      <c r="J1" s="69" t="s">
        <v>150</v>
      </c>
      <c r="O1" s="72" t="str">
        <f>RIGHT(LEFT(云配队!F3,13),6)</f>
        <v>V1.1.0</v>
      </c>
    </row>
    <row r="2" customHeight="1" spans="1:13">
      <c r="A2" s="71" t="s">
        <v>151</v>
      </c>
      <c r="B2" s="71"/>
      <c r="C2" s="71"/>
      <c r="D2" s="71"/>
      <c r="E2" s="71"/>
      <c r="F2" s="71"/>
      <c r="G2" s="71"/>
      <c r="H2" s="71"/>
      <c r="I2" s="71"/>
      <c r="J2" s="73" t="s">
        <v>152</v>
      </c>
      <c r="K2" s="74" t="str">
        <f>"《zzz云配队》"&amp;$O$1</f>
        <v>《zzz云配队》V1.1.0</v>
      </c>
      <c r="L2" s="74"/>
      <c r="M2" s="74"/>
    </row>
    <row r="3" customHeight="1" spans="1:14">
      <c r="A3" s="71"/>
      <c r="B3" s="71"/>
      <c r="C3" s="71"/>
      <c r="D3" s="71"/>
      <c r="E3" s="71"/>
      <c r="F3" s="71"/>
      <c r="G3" s="71"/>
      <c r="H3" s="71"/>
      <c r="I3" s="71"/>
      <c r="J3" s="73" t="s">
        <v>153</v>
      </c>
      <c r="K3" s="73" t="s">
        <v>154</v>
      </c>
      <c r="L3" s="74"/>
      <c r="M3" s="74"/>
      <c r="N3" s="74"/>
    </row>
    <row r="4" customHeight="1" spans="1:14">
      <c r="A4" s="71"/>
      <c r="B4" s="71"/>
      <c r="C4" s="71"/>
      <c r="D4" s="71"/>
      <c r="E4" s="71"/>
      <c r="F4" s="71"/>
      <c r="G4" s="71"/>
      <c r="H4" s="71"/>
      <c r="I4" s="71"/>
      <c r="J4" s="73" t="s">
        <v>155</v>
      </c>
      <c r="K4" s="75" t="s">
        <v>156</v>
      </c>
      <c r="L4" s="74"/>
      <c r="M4" s="74"/>
      <c r="N4" s="74"/>
    </row>
    <row r="5" customHeight="1" spans="1:14">
      <c r="A5" s="71"/>
      <c r="B5" s="71"/>
      <c r="C5" s="71"/>
      <c r="D5" s="71"/>
      <c r="E5" s="71"/>
      <c r="F5" s="71"/>
      <c r="G5" s="71"/>
      <c r="H5" s="71"/>
      <c r="I5" s="71"/>
      <c r="J5" s="74" t="s">
        <v>157</v>
      </c>
      <c r="K5" s="74"/>
      <c r="L5" s="74"/>
      <c r="M5" s="74"/>
      <c r="N5" s="74"/>
    </row>
    <row r="6" customHeight="1" spans="1:14">
      <c r="A6" s="71"/>
      <c r="B6" s="71"/>
      <c r="C6" s="71"/>
      <c r="D6" s="71"/>
      <c r="E6" s="71"/>
      <c r="F6" s="71"/>
      <c r="G6" s="71"/>
      <c r="H6" s="71"/>
      <c r="I6" s="71"/>
      <c r="J6" s="74"/>
      <c r="K6" s="74"/>
      <c r="L6" s="74"/>
      <c r="M6" s="73"/>
      <c r="N6" s="73"/>
    </row>
    <row r="7" customHeight="1" spans="1:14">
      <c r="A7" s="71"/>
      <c r="B7" s="71"/>
      <c r="C7" s="71"/>
      <c r="D7" s="71"/>
      <c r="E7" s="71"/>
      <c r="F7" s="71"/>
      <c r="G7" s="71"/>
      <c r="H7" s="71"/>
      <c r="I7" s="71"/>
      <c r="J7" s="73" t="s">
        <v>152</v>
      </c>
      <c r="K7" s="74" t="str">
        <f>"《zzz云配队》"&amp;$O$1</f>
        <v>《zzz云配队》V1.1.0</v>
      </c>
      <c r="L7" s="73"/>
      <c r="M7" s="73"/>
      <c r="N7" s="73"/>
    </row>
    <row r="8" customHeight="1" spans="1:14">
      <c r="A8" s="71"/>
      <c r="B8" s="71"/>
      <c r="C8" s="71"/>
      <c r="D8" s="71"/>
      <c r="E8" s="71"/>
      <c r="F8" s="71"/>
      <c r="G8" s="71"/>
      <c r="H8" s="71"/>
      <c r="I8" s="71"/>
      <c r="J8" s="73" t="s">
        <v>153</v>
      </c>
      <c r="K8" s="73" t="s">
        <v>154</v>
      </c>
      <c r="L8" s="74"/>
      <c r="M8" s="74"/>
      <c r="N8" s="74"/>
    </row>
    <row r="9" customHeight="1" spans="1:14">
      <c r="A9" s="71"/>
      <c r="B9" s="71"/>
      <c r="C9" s="71"/>
      <c r="D9" s="71"/>
      <c r="E9" s="71"/>
      <c r="F9" s="71"/>
      <c r="G9" s="71"/>
      <c r="H9" s="71"/>
      <c r="I9" s="71"/>
      <c r="J9" s="73" t="s">
        <v>158</v>
      </c>
      <c r="K9" s="75" t="s">
        <v>159</v>
      </c>
      <c r="L9" s="74"/>
      <c r="M9" s="74"/>
      <c r="N9" s="74"/>
    </row>
    <row r="10" customHeight="1" spans="1:14">
      <c r="A10" s="71"/>
      <c r="B10" s="71"/>
      <c r="C10" s="71"/>
      <c r="D10" s="71"/>
      <c r="E10" s="71"/>
      <c r="F10" s="71"/>
      <c r="G10" s="71"/>
      <c r="H10" s="71"/>
      <c r="I10" s="71"/>
      <c r="J10" s="74" t="s">
        <v>157</v>
      </c>
      <c r="K10" s="74"/>
      <c r="L10" s="74"/>
      <c r="M10" s="74"/>
      <c r="N10" s="74"/>
    </row>
    <row r="11" customHeight="1" spans="1:14">
      <c r="A11" s="71"/>
      <c r="B11" s="71"/>
      <c r="C11" s="71"/>
      <c r="D11" s="71"/>
      <c r="E11" s="71"/>
      <c r="F11" s="71"/>
      <c r="G11" s="71"/>
      <c r="H11" s="71"/>
      <c r="I11" s="71"/>
      <c r="J11" s="74" t="s">
        <v>160</v>
      </c>
      <c r="K11" s="74"/>
      <c r="L11" s="74"/>
      <c r="M11" s="74"/>
      <c r="N11" s="74"/>
    </row>
    <row r="12" customHeight="1" spans="1:14">
      <c r="A12" s="71"/>
      <c r="B12" s="71"/>
      <c r="C12" s="71"/>
      <c r="D12" s="71"/>
      <c r="E12" s="71"/>
      <c r="F12" s="71"/>
      <c r="G12" s="71"/>
      <c r="H12" s="71"/>
      <c r="I12" s="71"/>
      <c r="J12" s="73" t="s">
        <v>152</v>
      </c>
      <c r="K12" s="74" t="str">
        <f>"《zzz云配队》"&amp;$O$1</f>
        <v>《zzz云配队》V1.1.0</v>
      </c>
      <c r="L12" s="74"/>
      <c r="M12" s="74"/>
      <c r="N12" s="74"/>
    </row>
    <row r="13" customHeight="1" spans="1:14">
      <c r="A13" s="71"/>
      <c r="B13" s="71"/>
      <c r="C13" s="71"/>
      <c r="D13" s="71"/>
      <c r="E13" s="71"/>
      <c r="F13" s="71"/>
      <c r="G13" s="71"/>
      <c r="H13" s="71"/>
      <c r="I13" s="71"/>
      <c r="J13" s="73" t="s">
        <v>153</v>
      </c>
      <c r="K13" s="73" t="s">
        <v>161</v>
      </c>
      <c r="L13" s="74"/>
      <c r="M13" s="74"/>
      <c r="N13" s="74"/>
    </row>
    <row r="14" customHeight="1" spans="1:14">
      <c r="A14" s="71"/>
      <c r="B14" s="71"/>
      <c r="C14" s="71"/>
      <c r="D14" s="71"/>
      <c r="E14" s="71"/>
      <c r="F14" s="71"/>
      <c r="G14" s="71"/>
      <c r="H14" s="71"/>
      <c r="I14" s="71"/>
      <c r="J14" s="73" t="s">
        <v>157</v>
      </c>
      <c r="K14" s="76"/>
      <c r="L14" s="74"/>
      <c r="M14" s="74"/>
      <c r="N14" s="74"/>
    </row>
  </sheetData>
  <sheetProtection password="C7C9" sheet="1" selectLockedCells="1" objects="1"/>
  <mergeCells count="2">
    <mergeCell ref="A1:I1"/>
    <mergeCell ref="A2:I14"/>
  </mergeCells>
  <hyperlinks>
    <hyperlink ref="K4" r:id="rId1" display="https://github.com/AmicBeam/ZzzCloudTeam"/>
    <hyperlink ref="K9" r:id="rId2" display="https://space.bilibili.com/9412490" tooltip="https://space.bilibili.com/9412490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22" sqref="R22"/>
    </sheetView>
  </sheetViews>
  <sheetFormatPr defaultColWidth="9.90740740740741" defaultRowHeight="44" customHeight="1"/>
  <cols>
    <col min="1" max="13" width="13.7777777777778" style="40" customWidth="1"/>
    <col min="14" max="14" width="13.7777777777778" style="40" hidden="1" customWidth="1"/>
    <col min="15" max="15" width="13.7777777777778" style="40" customWidth="1"/>
    <col min="16" max="16" width="13.7777777777778" style="40" hidden="1" customWidth="1"/>
    <col min="17" max="16384" width="13.7777777777778" style="40" customWidth="1"/>
  </cols>
  <sheetData>
    <row r="1" customHeight="1" spans="1:17">
      <c r="A1" s="40" t="s">
        <v>162</v>
      </c>
      <c r="B1" s="40" t="s">
        <v>163</v>
      </c>
      <c r="C1" s="40" t="s">
        <v>70</v>
      </c>
      <c r="D1" s="40" t="s">
        <v>98</v>
      </c>
      <c r="E1" s="40" t="s">
        <v>164</v>
      </c>
      <c r="F1" s="40" t="s">
        <v>165</v>
      </c>
      <c r="G1" s="40" t="s">
        <v>166</v>
      </c>
      <c r="H1" s="40" t="s">
        <v>167</v>
      </c>
      <c r="I1" s="40" t="s">
        <v>168</v>
      </c>
      <c r="J1" s="67" t="s">
        <v>169</v>
      </c>
      <c r="K1" s="67" t="s">
        <v>170</v>
      </c>
      <c r="L1" s="67" t="s">
        <v>171</v>
      </c>
      <c r="M1" s="67" t="s">
        <v>172</v>
      </c>
      <c r="N1" s="40" t="s">
        <v>173</v>
      </c>
      <c r="O1" s="67" t="s">
        <v>174</v>
      </c>
      <c r="P1" s="40" t="s">
        <v>175</v>
      </c>
      <c r="Q1" s="67" t="s">
        <v>176</v>
      </c>
    </row>
    <row r="2" customHeight="1" spans="1:17">
      <c r="A2" s="40" t="s">
        <v>177</v>
      </c>
      <c r="B2" s="40" t="s">
        <v>178</v>
      </c>
      <c r="C2" s="40">
        <v>8380</v>
      </c>
      <c r="D2" s="40">
        <v>103</v>
      </c>
      <c r="E2" s="3">
        <v>0.5</v>
      </c>
      <c r="F2" s="40">
        <v>960</v>
      </c>
      <c r="G2" s="40">
        <v>351</v>
      </c>
      <c r="H2" s="40">
        <v>300</v>
      </c>
      <c r="I2" s="3">
        <v>0.23</v>
      </c>
      <c r="J2" s="40">
        <v>20</v>
      </c>
      <c r="K2" s="40">
        <f>C2*(1+E2)*F2%*0.48/J2</f>
        <v>2896.128</v>
      </c>
      <c r="L2" s="40">
        <f>D2*G2%/J2</f>
        <v>18.0765</v>
      </c>
      <c r="M2" s="40">
        <f>H2*(1+I2)/J2</f>
        <v>18.45</v>
      </c>
      <c r="N2" s="40">
        <v>1198.5</v>
      </c>
      <c r="O2" s="68">
        <f>C2*(1+E2)*N2%*0.48</f>
        <v>72312.696</v>
      </c>
      <c r="P2" s="40">
        <v>343</v>
      </c>
      <c r="Q2" s="40">
        <f>P2*(1+I2)</f>
        <v>421.89</v>
      </c>
    </row>
    <row r="3" customHeight="1" spans="1:17">
      <c r="A3" s="40" t="s">
        <v>179</v>
      </c>
      <c r="B3" s="40" t="s">
        <v>178</v>
      </c>
      <c r="C3" s="40">
        <v>8863</v>
      </c>
      <c r="D3" s="40">
        <v>103</v>
      </c>
      <c r="E3" s="3">
        <v>0.5</v>
      </c>
      <c r="F3" s="40">
        <f>1440*1.36</f>
        <v>1958.4</v>
      </c>
      <c r="G3" s="40">
        <v>526.5</v>
      </c>
      <c r="H3" s="40">
        <v>450</v>
      </c>
      <c r="I3" s="3">
        <v>0.1</v>
      </c>
      <c r="J3" s="40">
        <v>30</v>
      </c>
      <c r="K3" s="40">
        <f>C3*(1+E3)*F3%*0.48/J3</f>
        <v>4165.751808</v>
      </c>
      <c r="L3" s="40">
        <f t="shared" ref="L3:L13" si="0">D3*G3%/J3</f>
        <v>18.0765</v>
      </c>
      <c r="M3" s="40">
        <f t="shared" ref="M3:M13" si="1">H3*(1+I3)/J3</f>
        <v>16.5</v>
      </c>
      <c r="N3" s="40">
        <v>1129.5</v>
      </c>
      <c r="O3" s="68">
        <f>C3*(1+E3)*N3%*0.48</f>
        <v>72077.4612</v>
      </c>
      <c r="P3" s="40">
        <v>323</v>
      </c>
      <c r="Q3" s="40">
        <f t="shared" ref="Q3:Q13" si="2">P3*(1+I3)</f>
        <v>355.3</v>
      </c>
    </row>
    <row r="4" customHeight="1" spans="1:17">
      <c r="A4" s="40" t="s">
        <v>180</v>
      </c>
      <c r="B4" s="40" t="s">
        <v>178</v>
      </c>
      <c r="C4" s="40">
        <v>8863</v>
      </c>
      <c r="D4" s="40">
        <v>103</v>
      </c>
      <c r="E4" s="3">
        <v>0.5</v>
      </c>
      <c r="F4" s="40">
        <f>277*3.75</f>
        <v>1038.75</v>
      </c>
      <c r="G4" s="40">
        <f>101*2.875</f>
        <v>290.375</v>
      </c>
      <c r="H4" s="40">
        <f>130*2.875</f>
        <v>373.75</v>
      </c>
      <c r="I4" s="3">
        <v>0.1</v>
      </c>
      <c r="J4" s="40">
        <v>26</v>
      </c>
      <c r="K4" s="40">
        <f t="shared" ref="K4:K19" si="3">C4*(1+E4)*F4%*0.48/J4</f>
        <v>2549.47603846154</v>
      </c>
      <c r="L4" s="40">
        <f t="shared" si="0"/>
        <v>11.5033173076923</v>
      </c>
      <c r="M4" s="40">
        <f t="shared" si="1"/>
        <v>15.8125</v>
      </c>
      <c r="N4" s="40">
        <f>1251*1.35</f>
        <v>1688.85</v>
      </c>
      <c r="O4" s="68">
        <f t="shared" ref="O4:O19" si="4">C4*(1+E4)*N4%*0.48</f>
        <v>107771.59836</v>
      </c>
      <c r="P4" s="40">
        <v>358</v>
      </c>
      <c r="Q4" s="40">
        <f t="shared" si="2"/>
        <v>393.8</v>
      </c>
    </row>
    <row r="5" customHeight="1" spans="1:17">
      <c r="A5" s="40" t="s">
        <v>181</v>
      </c>
      <c r="B5" s="40" t="s">
        <v>178</v>
      </c>
      <c r="C5" s="40">
        <v>8863</v>
      </c>
      <c r="D5" s="40">
        <v>103</v>
      </c>
      <c r="E5" s="3">
        <v>0.5</v>
      </c>
      <c r="F5" s="40">
        <v>864</v>
      </c>
      <c r="G5" s="40">
        <v>316.5</v>
      </c>
      <c r="H5" s="40">
        <v>270</v>
      </c>
      <c r="I5" s="3">
        <v>0.1</v>
      </c>
      <c r="J5" s="40">
        <v>18</v>
      </c>
      <c r="K5" s="40">
        <f t="shared" si="3"/>
        <v>3063.0528</v>
      </c>
      <c r="L5" s="40">
        <f t="shared" si="0"/>
        <v>18.1108333333333</v>
      </c>
      <c r="M5" s="40">
        <f t="shared" si="1"/>
        <v>16.5</v>
      </c>
      <c r="N5" s="40">
        <f>997.5*1.4</f>
        <v>1396.5</v>
      </c>
      <c r="O5" s="68">
        <f t="shared" si="4"/>
        <v>89115.6924</v>
      </c>
      <c r="P5" s="40">
        <v>285</v>
      </c>
      <c r="Q5" s="40">
        <f t="shared" si="2"/>
        <v>313.5</v>
      </c>
    </row>
    <row r="6" customHeight="1" spans="1:17">
      <c r="A6" s="40" t="s">
        <v>182</v>
      </c>
      <c r="B6" s="40" t="s">
        <v>178</v>
      </c>
      <c r="C6" s="40">
        <v>8863</v>
      </c>
      <c r="D6" s="40">
        <v>103</v>
      </c>
      <c r="E6" s="3">
        <v>0.5</v>
      </c>
      <c r="F6" s="40">
        <v>1215</v>
      </c>
      <c r="G6" s="40">
        <v>0</v>
      </c>
      <c r="H6" s="40">
        <v>330</v>
      </c>
      <c r="I6" s="3">
        <v>0.1</v>
      </c>
      <c r="J6" s="40">
        <v>22</v>
      </c>
      <c r="K6" s="40">
        <f t="shared" si="3"/>
        <v>3524.25109090909</v>
      </c>
      <c r="L6" s="40">
        <f t="shared" si="0"/>
        <v>0</v>
      </c>
      <c r="M6" s="40">
        <f t="shared" si="1"/>
        <v>16.5</v>
      </c>
      <c r="N6" s="40">
        <f>1260*1.45</f>
        <v>1827</v>
      </c>
      <c r="O6" s="68">
        <f t="shared" si="4"/>
        <v>116587.4472</v>
      </c>
      <c r="P6" s="40">
        <v>360</v>
      </c>
      <c r="Q6" s="40">
        <f t="shared" si="2"/>
        <v>396</v>
      </c>
    </row>
    <row r="7" customHeight="1" spans="1:17">
      <c r="A7" s="40" t="s">
        <v>183</v>
      </c>
      <c r="B7" s="40" t="s">
        <v>178</v>
      </c>
      <c r="C7" s="40">
        <v>8057</v>
      </c>
      <c r="D7" s="40">
        <v>99</v>
      </c>
      <c r="E7" s="3">
        <v>0.5</v>
      </c>
      <c r="F7" s="40">
        <f>192+384</f>
        <v>576</v>
      </c>
      <c r="G7" s="40">
        <f>70+140</f>
        <v>210</v>
      </c>
      <c r="H7" s="40">
        <v>180</v>
      </c>
      <c r="I7" s="3">
        <v>0.32</v>
      </c>
      <c r="J7" s="40">
        <v>12</v>
      </c>
      <c r="K7" s="40">
        <f t="shared" si="3"/>
        <v>2784.4992</v>
      </c>
      <c r="L7" s="40">
        <f t="shared" si="0"/>
        <v>17.325</v>
      </c>
      <c r="M7" s="40">
        <f t="shared" si="1"/>
        <v>19.8</v>
      </c>
      <c r="N7" s="40">
        <f>691.5+192+384</f>
        <v>1267.5</v>
      </c>
      <c r="O7" s="68">
        <f t="shared" si="4"/>
        <v>73528.182</v>
      </c>
      <c r="P7" s="40">
        <f>190*2+180</f>
        <v>560</v>
      </c>
      <c r="Q7" s="40">
        <f t="shared" si="2"/>
        <v>739.2</v>
      </c>
    </row>
    <row r="8" customHeight="1" spans="1:17">
      <c r="A8" s="40" t="s">
        <v>184</v>
      </c>
      <c r="B8" s="40" t="s">
        <v>178</v>
      </c>
      <c r="C8" s="40">
        <v>8541</v>
      </c>
      <c r="D8" s="40">
        <v>99</v>
      </c>
      <c r="E8" s="3">
        <v>0.5</v>
      </c>
      <c r="F8" s="40">
        <v>864</v>
      </c>
      <c r="G8" s="40">
        <v>316.5</v>
      </c>
      <c r="H8" s="40">
        <v>270</v>
      </c>
      <c r="I8" s="3">
        <v>0.19</v>
      </c>
      <c r="J8" s="40">
        <v>18</v>
      </c>
      <c r="K8" s="40">
        <f t="shared" si="3"/>
        <v>2951.7696</v>
      </c>
      <c r="L8" s="40">
        <f t="shared" si="0"/>
        <v>17.4075</v>
      </c>
      <c r="M8" s="40">
        <f t="shared" si="1"/>
        <v>17.85</v>
      </c>
      <c r="N8" s="40">
        <v>814.5</v>
      </c>
      <c r="O8" s="68">
        <f t="shared" si="4"/>
        <v>50087.8404</v>
      </c>
      <c r="P8" s="40">
        <f>233*2</f>
        <v>466</v>
      </c>
      <c r="Q8" s="40">
        <f t="shared" si="2"/>
        <v>554.54</v>
      </c>
    </row>
    <row r="9" customHeight="1" spans="1:17">
      <c r="A9" s="40" t="s">
        <v>185</v>
      </c>
      <c r="B9" s="40" t="s">
        <v>178</v>
      </c>
      <c r="C9" s="40">
        <v>8057</v>
      </c>
      <c r="D9" s="40">
        <v>99</v>
      </c>
      <c r="E9" s="3">
        <v>0.5</v>
      </c>
      <c r="F9" s="40">
        <v>768</v>
      </c>
      <c r="G9" s="40">
        <v>280.5</v>
      </c>
      <c r="H9" s="40">
        <v>240</v>
      </c>
      <c r="I9" s="3">
        <v>0.32</v>
      </c>
      <c r="J9" s="40">
        <v>16</v>
      </c>
      <c r="K9" s="40">
        <f t="shared" si="3"/>
        <v>2784.4992</v>
      </c>
      <c r="L9" s="40">
        <f t="shared" si="0"/>
        <v>17.3559375</v>
      </c>
      <c r="M9" s="40">
        <f t="shared" si="1"/>
        <v>19.8</v>
      </c>
      <c r="N9" s="40">
        <v>1032</v>
      </c>
      <c r="O9" s="68">
        <f t="shared" si="4"/>
        <v>59866.7328</v>
      </c>
      <c r="P9" s="40">
        <f>295*2</f>
        <v>590</v>
      </c>
      <c r="Q9" s="40">
        <f t="shared" si="2"/>
        <v>778.8</v>
      </c>
    </row>
    <row r="10" customHeight="1" spans="1:17">
      <c r="A10" s="40" t="s">
        <v>186</v>
      </c>
      <c r="B10" s="40" t="s">
        <v>178</v>
      </c>
      <c r="C10" s="40">
        <v>8057</v>
      </c>
      <c r="D10" s="40">
        <v>99</v>
      </c>
      <c r="E10" s="3">
        <v>0.5</v>
      </c>
      <c r="F10" s="40">
        <v>1344</v>
      </c>
      <c r="G10" s="40">
        <v>492</v>
      </c>
      <c r="H10" s="40">
        <v>420</v>
      </c>
      <c r="I10" s="3">
        <v>0.32</v>
      </c>
      <c r="J10" s="40">
        <v>28</v>
      </c>
      <c r="K10" s="40">
        <f t="shared" si="3"/>
        <v>2784.4992</v>
      </c>
      <c r="L10" s="40">
        <f t="shared" si="0"/>
        <v>17.3957142857143</v>
      </c>
      <c r="M10" s="40">
        <f t="shared" si="1"/>
        <v>19.8</v>
      </c>
      <c r="N10" s="40">
        <v>979.5</v>
      </c>
      <c r="O10" s="68">
        <f t="shared" si="4"/>
        <v>56821.1868</v>
      </c>
      <c r="P10" s="40">
        <f>280*2</f>
        <v>560</v>
      </c>
      <c r="Q10" s="40">
        <f t="shared" si="2"/>
        <v>739.2</v>
      </c>
    </row>
    <row r="11" customHeight="1" spans="1:17">
      <c r="A11" s="40" t="s">
        <v>187</v>
      </c>
      <c r="B11" s="40" t="s">
        <v>178</v>
      </c>
      <c r="C11" s="40">
        <v>8057</v>
      </c>
      <c r="D11" s="40">
        <v>103</v>
      </c>
      <c r="E11" s="3">
        <v>0.5</v>
      </c>
      <c r="F11" s="40">
        <f>864*0.7+1728*0.15</f>
        <v>864</v>
      </c>
      <c r="G11" s="40">
        <f>316.5*0.7+631.5*0.15</f>
        <v>316.275</v>
      </c>
      <c r="H11" s="40">
        <f>270*0.7+333*0.15</f>
        <v>238.95</v>
      </c>
      <c r="I11" s="3">
        <v>0.23</v>
      </c>
      <c r="J11" s="40">
        <v>18</v>
      </c>
      <c r="K11" s="40">
        <f t="shared" si="3"/>
        <v>2784.4992</v>
      </c>
      <c r="L11" s="40">
        <f t="shared" si="0"/>
        <v>18.0979583333333</v>
      </c>
      <c r="M11" s="40">
        <f t="shared" si="1"/>
        <v>16.32825</v>
      </c>
      <c r="N11" s="40">
        <v>1164</v>
      </c>
      <c r="O11" s="68">
        <f t="shared" si="4"/>
        <v>67524.1056</v>
      </c>
      <c r="P11" s="40">
        <f>540*2</f>
        <v>1080</v>
      </c>
      <c r="Q11" s="40">
        <f t="shared" si="2"/>
        <v>1328.4</v>
      </c>
    </row>
    <row r="12" customHeight="1" spans="1:17">
      <c r="A12" s="40" t="s">
        <v>188</v>
      </c>
      <c r="B12" s="40" t="s">
        <v>189</v>
      </c>
      <c r="C12" s="40">
        <v>5825</v>
      </c>
      <c r="D12" s="40">
        <v>100</v>
      </c>
      <c r="E12" s="3">
        <v>0.5</v>
      </c>
      <c r="F12" s="40">
        <v>0</v>
      </c>
      <c r="G12" s="40">
        <v>0</v>
      </c>
      <c r="H12" s="40">
        <v>0</v>
      </c>
      <c r="I12" s="3">
        <v>0</v>
      </c>
      <c r="J12" s="40">
        <v>24</v>
      </c>
      <c r="K12" s="40">
        <f t="shared" si="3"/>
        <v>0</v>
      </c>
      <c r="L12" s="40">
        <f t="shared" si="0"/>
        <v>0</v>
      </c>
      <c r="M12" s="40">
        <f t="shared" si="1"/>
        <v>0</v>
      </c>
      <c r="N12" s="40">
        <v>163.4</v>
      </c>
      <c r="O12" s="68">
        <f t="shared" si="4"/>
        <v>6852.996</v>
      </c>
      <c r="P12" s="40">
        <v>37</v>
      </c>
      <c r="Q12" s="40">
        <f t="shared" si="2"/>
        <v>37</v>
      </c>
    </row>
    <row r="13" customHeight="1" spans="1:17">
      <c r="A13" s="40" t="s">
        <v>190</v>
      </c>
      <c r="B13" s="40" t="s">
        <v>189</v>
      </c>
      <c r="C13" s="40">
        <v>6570</v>
      </c>
      <c r="D13" s="40">
        <v>94</v>
      </c>
      <c r="E13" s="3">
        <v>0.5</v>
      </c>
      <c r="F13" s="40">
        <v>760</v>
      </c>
      <c r="G13" s="40">
        <v>444.6</v>
      </c>
      <c r="H13" s="40">
        <v>300</v>
      </c>
      <c r="I13" s="3">
        <v>0</v>
      </c>
      <c r="J13" s="40">
        <v>20</v>
      </c>
      <c r="K13" s="40">
        <f t="shared" si="3"/>
        <v>1797.552</v>
      </c>
      <c r="L13" s="40">
        <f t="shared" si="0"/>
        <v>20.8962</v>
      </c>
      <c r="M13" s="40">
        <f t="shared" si="1"/>
        <v>15</v>
      </c>
      <c r="N13" s="40">
        <f>1297.7*1.4</f>
        <v>1816.78</v>
      </c>
      <c r="O13" s="68">
        <f t="shared" si="4"/>
        <v>85940.96112</v>
      </c>
      <c r="P13" s="40">
        <v>293</v>
      </c>
      <c r="Q13" s="40">
        <f t="shared" si="2"/>
        <v>293</v>
      </c>
    </row>
    <row r="14" customHeight="1" spans="1:17">
      <c r="A14" s="40" t="s">
        <v>191</v>
      </c>
      <c r="B14" s="40" t="s">
        <v>189</v>
      </c>
      <c r="C14" s="40">
        <v>6198</v>
      </c>
      <c r="D14" s="40">
        <v>94</v>
      </c>
      <c r="E14" s="3">
        <v>0.5</v>
      </c>
      <c r="F14" s="40">
        <f>8.4*140*1.27*0.6</f>
        <v>896.112</v>
      </c>
      <c r="G14" s="40">
        <f>4.9*140*1.27*0.6</f>
        <v>522.732</v>
      </c>
      <c r="H14" s="40">
        <f>330*1.4*1.27*0.6</f>
        <v>352.044</v>
      </c>
      <c r="I14" s="3">
        <v>0.12</v>
      </c>
      <c r="J14" s="40">
        <v>22</v>
      </c>
      <c r="K14" s="40">
        <f t="shared" ref="K14:K21" si="5">C14*(1+E14)*F14%*0.48/J14</f>
        <v>1817.70616669091</v>
      </c>
      <c r="L14" s="40">
        <f t="shared" ref="L14:L21" si="6">D14*G14%/J14</f>
        <v>22.3349127272727</v>
      </c>
      <c r="M14" s="40">
        <f t="shared" ref="M14:M21" si="7">H14*(1+I14)/J14</f>
        <v>17.92224</v>
      </c>
      <c r="O14" s="68">
        <f t="shared" ref="O14:O21" si="8">C14*(1+E14)*N14%*0.48</f>
        <v>0</v>
      </c>
      <c r="Q14" s="40">
        <f t="shared" ref="Q14:Q21" si="9">P14*(1+I14)</f>
        <v>0</v>
      </c>
    </row>
    <row r="15" customHeight="1" spans="1:17">
      <c r="A15" s="40" t="s">
        <v>192</v>
      </c>
      <c r="B15" s="40" t="s">
        <v>189</v>
      </c>
      <c r="C15" s="40">
        <v>6570</v>
      </c>
      <c r="D15" s="40">
        <v>94</v>
      </c>
      <c r="E15" s="3">
        <v>0.5</v>
      </c>
      <c r="F15" s="40">
        <f>912*1.6</f>
        <v>1459.2</v>
      </c>
      <c r="G15" s="40">
        <v>533.9</v>
      </c>
      <c r="H15" s="40">
        <v>360</v>
      </c>
      <c r="I15" s="3">
        <v>0</v>
      </c>
      <c r="J15" s="40">
        <v>24</v>
      </c>
      <c r="K15" s="40">
        <f t="shared" si="5"/>
        <v>2876.0832</v>
      </c>
      <c r="L15" s="40">
        <f t="shared" si="6"/>
        <v>20.9110833333333</v>
      </c>
      <c r="M15" s="40">
        <f t="shared" si="7"/>
        <v>15</v>
      </c>
      <c r="O15" s="68">
        <f t="shared" si="8"/>
        <v>0</v>
      </c>
      <c r="Q15" s="40">
        <f t="shared" si="9"/>
        <v>0</v>
      </c>
    </row>
    <row r="16" customHeight="1" spans="1:17">
      <c r="A16" s="40" t="s">
        <v>193</v>
      </c>
      <c r="B16" s="40" t="s">
        <v>189</v>
      </c>
      <c r="C16" s="40">
        <v>5826</v>
      </c>
      <c r="D16" s="40">
        <v>112</v>
      </c>
      <c r="E16" s="3">
        <v>0.5</v>
      </c>
      <c r="F16" s="40">
        <v>613.7</v>
      </c>
      <c r="G16" s="40">
        <f>359.1*1.18</f>
        <v>423.738</v>
      </c>
      <c r="H16" s="40">
        <v>242</v>
      </c>
      <c r="I16" s="3">
        <v>-0.12</v>
      </c>
      <c r="J16" s="40">
        <v>14</v>
      </c>
      <c r="K16" s="40">
        <f t="shared" si="5"/>
        <v>1838.78547428571</v>
      </c>
      <c r="L16" s="40">
        <f t="shared" si="6"/>
        <v>33.89904</v>
      </c>
      <c r="M16" s="40">
        <f t="shared" si="7"/>
        <v>15.2114285714286</v>
      </c>
      <c r="O16" s="68">
        <f t="shared" si="8"/>
        <v>0</v>
      </c>
      <c r="Q16" s="40">
        <f t="shared" si="9"/>
        <v>0</v>
      </c>
    </row>
    <row r="17" customHeight="1" spans="1:17">
      <c r="A17" s="40" t="s">
        <v>194</v>
      </c>
      <c r="B17" s="40" t="s">
        <v>189</v>
      </c>
      <c r="C17" s="40">
        <v>6570</v>
      </c>
      <c r="D17" s="40">
        <v>94</v>
      </c>
      <c r="E17" s="3">
        <v>0.5</v>
      </c>
      <c r="F17" s="40">
        <v>608</v>
      </c>
      <c r="G17" s="40">
        <v>355.3</v>
      </c>
      <c r="H17" s="40">
        <v>240</v>
      </c>
      <c r="I17" s="3">
        <v>0</v>
      </c>
      <c r="J17" s="40">
        <v>16</v>
      </c>
      <c r="K17" s="40">
        <f t="shared" si="5"/>
        <v>1797.552</v>
      </c>
      <c r="L17" s="40">
        <f t="shared" si="6"/>
        <v>20.873875</v>
      </c>
      <c r="M17" s="40">
        <f t="shared" si="7"/>
        <v>15</v>
      </c>
      <c r="N17" s="40">
        <f>1662.5*1.6</f>
        <v>2660</v>
      </c>
      <c r="O17" s="68">
        <f t="shared" si="8"/>
        <v>125828.64</v>
      </c>
      <c r="P17" s="40">
        <v>375</v>
      </c>
      <c r="Q17" s="40">
        <f t="shared" si="9"/>
        <v>375</v>
      </c>
    </row>
    <row r="18" customHeight="1" spans="1:17">
      <c r="A18" s="40" t="s">
        <v>195</v>
      </c>
      <c r="B18" s="40" t="s">
        <v>189</v>
      </c>
      <c r="C18" s="40">
        <v>6198</v>
      </c>
      <c r="D18" s="40">
        <v>90</v>
      </c>
      <c r="E18" s="3">
        <v>0.5</v>
      </c>
      <c r="F18" s="40">
        <v>877.8</v>
      </c>
      <c r="G18" s="40">
        <v>513</v>
      </c>
      <c r="H18" s="40">
        <v>346</v>
      </c>
      <c r="I18" s="3">
        <v>0.2</v>
      </c>
      <c r="J18" s="40">
        <v>20</v>
      </c>
      <c r="K18" s="40">
        <f t="shared" si="5"/>
        <v>1958.617584</v>
      </c>
      <c r="L18" s="40">
        <f t="shared" si="6"/>
        <v>23.085</v>
      </c>
      <c r="M18" s="40">
        <f t="shared" si="7"/>
        <v>20.76</v>
      </c>
      <c r="N18" s="40">
        <v>1818.3</v>
      </c>
      <c r="O18" s="68">
        <f t="shared" si="8"/>
        <v>81142.72848</v>
      </c>
      <c r="P18" s="40">
        <f>410*2.2</f>
        <v>902</v>
      </c>
      <c r="Q18" s="40">
        <f t="shared" si="9"/>
        <v>1082.4</v>
      </c>
    </row>
    <row r="19" customHeight="1" spans="1:17">
      <c r="A19" s="40" t="s">
        <v>196</v>
      </c>
      <c r="B19" s="40" t="s">
        <v>189</v>
      </c>
      <c r="C19" s="40">
        <v>6198</v>
      </c>
      <c r="D19" s="40">
        <v>90</v>
      </c>
      <c r="E19" s="3">
        <v>0.5</v>
      </c>
      <c r="F19" s="40">
        <v>532</v>
      </c>
      <c r="G19" s="40">
        <v>311.6</v>
      </c>
      <c r="H19" s="40">
        <v>210</v>
      </c>
      <c r="I19" s="3">
        <v>0.2</v>
      </c>
      <c r="J19" s="40">
        <v>14</v>
      </c>
      <c r="K19" s="40">
        <f t="shared" si="5"/>
        <v>1695.7728</v>
      </c>
      <c r="L19" s="40">
        <f t="shared" si="6"/>
        <v>20.0314285714286</v>
      </c>
      <c r="M19" s="40">
        <f t="shared" si="7"/>
        <v>18</v>
      </c>
      <c r="N19" s="40">
        <v>1318.6</v>
      </c>
      <c r="O19" s="68">
        <f t="shared" si="8"/>
        <v>58843.31616</v>
      </c>
      <c r="P19" s="40">
        <f>298*2.2</f>
        <v>655.6</v>
      </c>
      <c r="Q19" s="40">
        <f t="shared" si="9"/>
        <v>786.72</v>
      </c>
    </row>
    <row r="20" customHeight="1" spans="1:17">
      <c r="A20" s="40" t="s">
        <v>197</v>
      </c>
      <c r="B20" s="40" t="s">
        <v>189</v>
      </c>
      <c r="C20" s="40">
        <v>6198</v>
      </c>
      <c r="D20" s="40">
        <v>90</v>
      </c>
      <c r="E20" s="3">
        <v>0.5</v>
      </c>
      <c r="F20" s="40">
        <v>684</v>
      </c>
      <c r="G20" s="40">
        <v>400.9</v>
      </c>
      <c r="H20" s="40">
        <v>270</v>
      </c>
      <c r="I20" s="3">
        <v>0.2</v>
      </c>
      <c r="J20" s="40">
        <v>18</v>
      </c>
      <c r="K20" s="40">
        <f t="shared" si="5"/>
        <v>1695.7728</v>
      </c>
      <c r="L20" s="40">
        <f t="shared" si="6"/>
        <v>20.045</v>
      </c>
      <c r="M20" s="40">
        <f t="shared" si="7"/>
        <v>18</v>
      </c>
      <c r="N20" s="40">
        <v>1352.8</v>
      </c>
      <c r="O20" s="68">
        <f t="shared" si="8"/>
        <v>60369.51168</v>
      </c>
      <c r="P20" s="40">
        <f>305*2.2</f>
        <v>671</v>
      </c>
      <c r="Q20" s="40">
        <f t="shared" si="9"/>
        <v>805.2</v>
      </c>
    </row>
    <row r="21" customHeight="1" spans="1:17">
      <c r="A21" s="40" t="s">
        <v>198</v>
      </c>
      <c r="B21" s="40" t="s">
        <v>189</v>
      </c>
      <c r="C21" s="40">
        <v>6570</v>
      </c>
      <c r="D21" s="40">
        <v>90</v>
      </c>
      <c r="E21" s="3">
        <v>0.5</v>
      </c>
      <c r="F21" s="40">
        <f>126.7*3</f>
        <v>380.1</v>
      </c>
      <c r="G21" s="40">
        <f>74.1*3</f>
        <v>222.3</v>
      </c>
      <c r="H21" s="40">
        <v>150</v>
      </c>
      <c r="I21" s="3">
        <v>0.08</v>
      </c>
      <c r="J21" s="40">
        <v>30</v>
      </c>
      <c r="K21" s="40">
        <f t="shared" si="5"/>
        <v>599.34168</v>
      </c>
      <c r="L21" s="40">
        <f t="shared" si="6"/>
        <v>6.669</v>
      </c>
      <c r="M21" s="40">
        <f t="shared" si="7"/>
        <v>5.4</v>
      </c>
      <c r="N21" s="40">
        <f>621.3+70.3*2*18</f>
        <v>3152.1</v>
      </c>
      <c r="O21" s="68">
        <f t="shared" si="8"/>
        <v>149106.9384</v>
      </c>
      <c r="P21" s="40">
        <f>(140+32*18)*1.8</f>
        <v>1288.8</v>
      </c>
      <c r="Q21" s="40">
        <f t="shared" si="9"/>
        <v>1391.904</v>
      </c>
    </row>
  </sheetData>
  <sheetProtection formatCells="0" insertHyperlinks="0" autoFilter="0"/>
  <conditionalFormatting sqref="I2">
    <cfRule type="cellIs" dxfId="0" priority="1" operator="equal">
      <formula>0</formula>
    </cfRule>
  </conditionalFormatting>
  <conditionalFormatting sqref="I3">
    <cfRule type="cellIs" dxfId="0" priority="3" operator="equal">
      <formula>0</formula>
    </cfRule>
  </conditionalFormatting>
  <conditionalFormatting sqref="E5">
    <cfRule type="cellIs" dxfId="0" priority="6" operator="equal">
      <formula>0</formula>
    </cfRule>
  </conditionalFormatting>
  <conditionalFormatting sqref="E6">
    <cfRule type="cellIs" dxfId="0" priority="7" operator="equal">
      <formula>0</formula>
    </cfRule>
  </conditionalFormatting>
  <conditionalFormatting sqref="E9">
    <cfRule type="cellIs" dxfId="0" priority="11" operator="equal">
      <formula>0</formula>
    </cfRule>
  </conditionalFormatting>
  <conditionalFormatting sqref="I9">
    <cfRule type="cellIs" dxfId="0" priority="10" operator="equal">
      <formula>0</formula>
    </cfRule>
  </conditionalFormatting>
  <conditionalFormatting sqref="E10">
    <cfRule type="cellIs" dxfId="0" priority="9" operator="equal">
      <formula>0</formula>
    </cfRule>
  </conditionalFormatting>
  <conditionalFormatting sqref="I10">
    <cfRule type="cellIs" dxfId="0" priority="8" operator="equal">
      <formula>0</formula>
    </cfRule>
  </conditionalFormatting>
  <conditionalFormatting sqref="E2:E3">
    <cfRule type="cellIs" dxfId="0" priority="4" operator="equal">
      <formula>0</formula>
    </cfRule>
  </conditionalFormatting>
  <conditionalFormatting sqref="I4:I6">
    <cfRule type="cellIs" dxfId="0" priority="22" operator="equal">
      <formula>0</formula>
    </cfRule>
  </conditionalFormatting>
  <conditionalFormatting sqref="E4 E7:E8 E11:E21">
    <cfRule type="cellIs" dxfId="0" priority="23" operator="equal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0"/>
  <sheetViews>
    <sheetView zoomScale="70" zoomScaleNormal="70" topLeftCell="AB1" workbookViewId="0">
      <pane ySplit="1" topLeftCell="A16" activePane="bottomLeft" state="frozen"/>
      <selection/>
      <selection pane="bottomLeft" activeCell="AH23" sqref="AH23"/>
    </sheetView>
  </sheetViews>
  <sheetFormatPr defaultColWidth="9.90740740740741" defaultRowHeight="44" customHeight="1"/>
  <cols>
    <col min="1" max="5" width="13.7777777777778" style="1"/>
    <col min="6" max="43" width="13.7777777777778" style="1" customWidth="1"/>
    <col min="44" max="45" width="13.7777777777778" style="6" customWidth="1"/>
    <col min="46" max="48" width="13.7777777777778" style="3" customWidth="1"/>
    <col min="49" max="49" width="13.7777777777778" style="10" customWidth="1"/>
    <col min="50" max="16384" width="13.7777777777778" style="3" customWidth="1"/>
  </cols>
  <sheetData>
    <row r="1" customHeight="1" spans="2:49">
      <c r="B1" s="1" t="s">
        <v>199</v>
      </c>
      <c r="C1" s="4"/>
      <c r="D1" s="4"/>
      <c r="F1" s="1" t="s">
        <v>200</v>
      </c>
      <c r="G1" s="1" t="s">
        <v>165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R1" s="16" t="s">
        <v>210</v>
      </c>
      <c r="S1" s="1" t="s">
        <v>211</v>
      </c>
      <c r="T1" s="1" t="s">
        <v>212</v>
      </c>
      <c r="U1" s="1" t="s">
        <v>213</v>
      </c>
      <c r="V1" s="1" t="s">
        <v>209</v>
      </c>
      <c r="W1" s="1" t="s">
        <v>214</v>
      </c>
      <c r="X1" s="1" t="s">
        <v>215</v>
      </c>
      <c r="Y1" s="1" t="s">
        <v>216</v>
      </c>
      <c r="Z1" s="1" t="s">
        <v>82</v>
      </c>
      <c r="AA1" s="1" t="s">
        <v>69</v>
      </c>
      <c r="AB1" s="1" t="s">
        <v>76</v>
      </c>
      <c r="AC1" s="1" t="s">
        <v>217</v>
      </c>
      <c r="AD1" s="1" t="s">
        <v>98</v>
      </c>
      <c r="AE1" s="1" t="s">
        <v>218</v>
      </c>
      <c r="AG1" s="16" t="s">
        <v>219</v>
      </c>
      <c r="AH1" s="1" t="s">
        <v>220</v>
      </c>
      <c r="AI1" s="1" t="s">
        <v>211</v>
      </c>
      <c r="AJ1" s="1" t="s">
        <v>212</v>
      </c>
      <c r="AK1" s="1" t="s">
        <v>214</v>
      </c>
      <c r="AL1" s="1" t="s">
        <v>215</v>
      </c>
      <c r="AM1" s="1" t="s">
        <v>114</v>
      </c>
      <c r="AN1" s="1" t="s">
        <v>216</v>
      </c>
      <c r="AO1" s="1" t="s">
        <v>76</v>
      </c>
      <c r="AP1" s="1" t="s">
        <v>217</v>
      </c>
      <c r="AR1" s="6" t="s">
        <v>221</v>
      </c>
      <c r="AS1" s="6" t="s">
        <v>222</v>
      </c>
      <c r="AT1" s="3" t="s">
        <v>31</v>
      </c>
      <c r="AV1" s="3" t="s">
        <v>223</v>
      </c>
      <c r="AW1" s="3" t="s">
        <v>224</v>
      </c>
    </row>
    <row r="2" customHeight="1" spans="1:49">
      <c r="A2" s="1" t="s">
        <v>225</v>
      </c>
      <c r="B2" s="1" t="s">
        <v>214</v>
      </c>
      <c r="C2" s="1">
        <v>316</v>
      </c>
      <c r="E2" s="63"/>
      <c r="R2" s="4"/>
      <c r="S2" s="3"/>
      <c r="T2" s="3"/>
      <c r="U2" s="3"/>
      <c r="V2" s="3"/>
      <c r="W2" s="6"/>
      <c r="X2" s="3"/>
      <c r="Y2" s="3"/>
      <c r="Z2" s="3"/>
      <c r="AA2" s="3"/>
      <c r="AB2" s="3"/>
      <c r="AC2" s="3"/>
      <c r="AD2" s="3"/>
      <c r="AE2" s="3"/>
      <c r="AF2" s="3"/>
      <c r="AG2" s="4" t="str">
        <f>""</f>
        <v/>
      </c>
      <c r="AK2" s="6"/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/>
      <c r="AR2" s="6" t="s">
        <v>226</v>
      </c>
      <c r="AS2" s="52">
        <v>7.13</v>
      </c>
      <c r="AT2" s="3">
        <v>0.075</v>
      </c>
      <c r="AV2" s="3" t="s">
        <v>227</v>
      </c>
      <c r="AW2" s="10">
        <v>7.2</v>
      </c>
    </row>
    <row r="3" customHeight="1" spans="2:49">
      <c r="B3" s="1" t="s">
        <v>70</v>
      </c>
      <c r="C3" s="52">
        <v>0.3</v>
      </c>
      <c r="D3" s="1" t="s">
        <v>228</v>
      </c>
      <c r="F3" s="1" t="s">
        <v>229</v>
      </c>
      <c r="G3" s="1">
        <f>角色!AS1</f>
        <v>45</v>
      </c>
      <c r="H3" s="1">
        <f>角色!$AC$1</f>
        <v>29</v>
      </c>
      <c r="I3" s="1">
        <f>音擎!$V$1</f>
        <v>22</v>
      </c>
      <c r="J3" s="1">
        <f>驱动盘!$N$1</f>
        <v>14</v>
      </c>
      <c r="K3" s="1">
        <f>角色!$AO$1</f>
        <v>41</v>
      </c>
      <c r="L3" s="1">
        <f>音擎!$AG$1</f>
        <v>33</v>
      </c>
      <c r="M3" s="1">
        <f>驱动盘!$Y$1</f>
        <v>25</v>
      </c>
      <c r="N3" s="1">
        <f>1/5.95</f>
        <v>0.168067226890756</v>
      </c>
      <c r="P3" s="1">
        <f>角色!$W$1</f>
        <v>23</v>
      </c>
      <c r="R3" s="4" t="s">
        <v>218</v>
      </c>
      <c r="S3" s="3">
        <v>0.5</v>
      </c>
      <c r="T3" s="3"/>
      <c r="U3" s="3"/>
      <c r="V3" s="3"/>
      <c r="W3" s="6"/>
      <c r="X3" s="3"/>
      <c r="Y3" s="3"/>
      <c r="Z3" s="3"/>
      <c r="AA3" s="3"/>
      <c r="AB3" s="3"/>
      <c r="AC3" s="3"/>
      <c r="AD3" s="3"/>
      <c r="AE3" s="3"/>
      <c r="AF3" s="3"/>
      <c r="AG3" s="66" t="s">
        <v>230</v>
      </c>
      <c r="AH3" s="3">
        <v>0.18</v>
      </c>
      <c r="AI3" s="3"/>
      <c r="AJ3" s="3"/>
      <c r="AK3" s="6"/>
      <c r="AL3" s="3"/>
      <c r="AM3" s="3"/>
      <c r="AN3" s="3"/>
      <c r="AO3" s="3"/>
      <c r="AP3" s="3"/>
      <c r="AQ3" s="3"/>
      <c r="AR3" s="6" t="s">
        <v>231</v>
      </c>
      <c r="AS3" s="64">
        <f>125%</f>
        <v>1.25</v>
      </c>
      <c r="AT3" s="64">
        <f>125%</f>
        <v>1.25</v>
      </c>
      <c r="AV3" s="3" t="s">
        <v>232</v>
      </c>
      <c r="AW3" s="10">
        <f>IF(配装!$C$24&gt;=1,6,0)</f>
        <v>6</v>
      </c>
    </row>
    <row r="4" customHeight="1" spans="2:49">
      <c r="B4" s="1" t="s">
        <v>233</v>
      </c>
      <c r="C4" s="52">
        <v>0.24</v>
      </c>
      <c r="D4" s="1">
        <v>4</v>
      </c>
      <c r="F4" s="1" t="s">
        <v>234</v>
      </c>
      <c r="G4" s="1">
        <f>角色!AX1</f>
        <v>50</v>
      </c>
      <c r="H4" s="1">
        <f t="shared" ref="H4:H9" si="0">H3+1</f>
        <v>30</v>
      </c>
      <c r="I4" s="1">
        <f t="shared" ref="I4:I9" si="1">I3+1</f>
        <v>23</v>
      </c>
      <c r="J4" s="1">
        <f t="shared" ref="J4:J9" si="2">J3+1</f>
        <v>15</v>
      </c>
      <c r="K4" s="1">
        <f>角色!$AP$1</f>
        <v>42</v>
      </c>
      <c r="L4" s="1">
        <f t="shared" ref="L4:P4" si="3">L3</f>
        <v>33</v>
      </c>
      <c r="M4" s="1">
        <f t="shared" si="3"/>
        <v>25</v>
      </c>
      <c r="N4" s="1">
        <f t="shared" ref="N4:N14" si="4">1/5.95</f>
        <v>0.168067226890756</v>
      </c>
      <c r="P4" s="1">
        <f t="shared" si="3"/>
        <v>23</v>
      </c>
      <c r="R4" s="4" t="s">
        <v>235</v>
      </c>
      <c r="S4" s="3">
        <v>1.3</v>
      </c>
      <c r="T4" s="3"/>
      <c r="U4" s="3"/>
      <c r="V4" s="3"/>
      <c r="W4" s="6"/>
      <c r="X4" s="3"/>
      <c r="Y4" s="3"/>
      <c r="Z4" s="3"/>
      <c r="AA4" s="3"/>
      <c r="AB4" s="3"/>
      <c r="AC4" s="3"/>
      <c r="AD4" s="3"/>
      <c r="AE4" s="3"/>
      <c r="AF4" s="3"/>
      <c r="AG4" s="66" t="s">
        <v>236</v>
      </c>
      <c r="AH4" s="3">
        <v>0.36</v>
      </c>
      <c r="AI4" s="3"/>
      <c r="AJ4" s="3"/>
      <c r="AK4" s="6"/>
      <c r="AL4" s="3"/>
      <c r="AM4" s="3"/>
      <c r="AN4" s="3"/>
      <c r="AO4" s="3"/>
      <c r="AP4" s="3"/>
      <c r="AQ4" s="3"/>
      <c r="AR4" s="6" t="s">
        <v>237</v>
      </c>
      <c r="AS4" s="52">
        <v>5</v>
      </c>
      <c r="AT4" s="3">
        <v>0.075</v>
      </c>
      <c r="AV4" s="3" t="s">
        <v>238</v>
      </c>
      <c r="AW4" s="10">
        <f>IF(配装!$C$24&gt;=1,6,0)</f>
        <v>6</v>
      </c>
    </row>
    <row r="5" customHeight="1" spans="2:49">
      <c r="B5" s="1" t="s">
        <v>69</v>
      </c>
      <c r="C5" s="52">
        <v>0.48</v>
      </c>
      <c r="D5" s="1">
        <v>4</v>
      </c>
      <c r="F5" s="1" t="s">
        <v>239</v>
      </c>
      <c r="G5" s="1">
        <f>角色!BC1</f>
        <v>55</v>
      </c>
      <c r="H5" s="1">
        <f t="shared" si="0"/>
        <v>31</v>
      </c>
      <c r="I5" s="1">
        <f t="shared" si="1"/>
        <v>24</v>
      </c>
      <c r="J5" s="1">
        <f t="shared" si="2"/>
        <v>16</v>
      </c>
      <c r="K5" s="1">
        <f t="shared" ref="K5:M5" si="5">K3</f>
        <v>41</v>
      </c>
      <c r="L5" s="1">
        <f t="shared" si="5"/>
        <v>33</v>
      </c>
      <c r="M5" s="1">
        <f t="shared" si="5"/>
        <v>25</v>
      </c>
      <c r="N5" s="1">
        <f t="shared" si="4"/>
        <v>0.168067226890756</v>
      </c>
      <c r="P5" s="1">
        <f>角色!$X$1</f>
        <v>24</v>
      </c>
      <c r="R5" s="4" t="s">
        <v>240</v>
      </c>
      <c r="S5" s="3">
        <f>50%+108%</f>
        <v>1.58</v>
      </c>
      <c r="T5" s="3"/>
      <c r="U5" s="3"/>
      <c r="V5" s="3"/>
      <c r="W5" s="6"/>
      <c r="X5" s="3"/>
      <c r="Y5" s="3"/>
      <c r="Z5" s="3"/>
      <c r="AA5" s="3"/>
      <c r="AB5" s="3"/>
      <c r="AC5" s="3"/>
      <c r="AD5" s="3"/>
      <c r="AE5" s="3"/>
      <c r="AF5" s="3"/>
      <c r="AG5" s="4" t="s">
        <v>241</v>
      </c>
      <c r="AK5" s="6"/>
      <c r="AL5" s="3"/>
      <c r="AM5" s="3"/>
      <c r="AN5" s="3"/>
      <c r="AO5" s="3"/>
      <c r="AP5" s="3">
        <v>0.4</v>
      </c>
      <c r="AQ5" s="3"/>
      <c r="AR5" s="6" t="s">
        <v>242</v>
      </c>
      <c r="AS5" s="52">
        <f>50%</f>
        <v>0.5</v>
      </c>
      <c r="AT5" s="3">
        <v>1</v>
      </c>
      <c r="AV5" s="3" t="s">
        <v>243</v>
      </c>
      <c r="AW5" s="10">
        <v>2</v>
      </c>
    </row>
    <row r="6" customHeight="1" spans="2:49">
      <c r="B6" s="1" t="s">
        <v>114</v>
      </c>
      <c r="C6" s="1">
        <v>92</v>
      </c>
      <c r="D6" s="1">
        <v>4</v>
      </c>
      <c r="F6" s="1" t="s">
        <v>244</v>
      </c>
      <c r="G6" s="1">
        <f>角色!BH1</f>
        <v>60</v>
      </c>
      <c r="H6" s="1">
        <f t="shared" si="0"/>
        <v>32</v>
      </c>
      <c r="I6" s="1">
        <f t="shared" si="1"/>
        <v>25</v>
      </c>
      <c r="J6" s="1">
        <f t="shared" si="2"/>
        <v>17</v>
      </c>
      <c r="K6" s="1">
        <f t="shared" ref="K6:M6" si="6">K3</f>
        <v>41</v>
      </c>
      <c r="L6" s="1">
        <f t="shared" si="6"/>
        <v>33</v>
      </c>
      <c r="M6" s="1">
        <f t="shared" si="6"/>
        <v>25</v>
      </c>
      <c r="N6" s="1">
        <f t="shared" si="4"/>
        <v>0.168067226890756</v>
      </c>
      <c r="P6" s="1">
        <f>角色!$Z$1</f>
        <v>26</v>
      </c>
      <c r="R6" s="4" t="s">
        <v>245</v>
      </c>
      <c r="S6" s="3">
        <v>0.85</v>
      </c>
      <c r="T6" s="3"/>
      <c r="U6" s="3"/>
      <c r="V6" s="3"/>
      <c r="W6" s="6"/>
      <c r="X6" s="3"/>
      <c r="Y6" s="3"/>
      <c r="Z6" s="3"/>
      <c r="AA6" s="3"/>
      <c r="AB6" s="3"/>
      <c r="AC6" s="3"/>
      <c r="AD6" s="3"/>
      <c r="AE6" s="3"/>
      <c r="AF6" s="3"/>
      <c r="AG6" s="4" t="s">
        <v>246</v>
      </c>
      <c r="AK6" s="6"/>
      <c r="AL6" s="3"/>
      <c r="AM6" s="3">
        <v>1</v>
      </c>
      <c r="AN6" s="3"/>
      <c r="AO6" s="3"/>
      <c r="AP6" s="3"/>
      <c r="AQ6" s="3"/>
      <c r="AR6" s="6" t="s">
        <v>247</v>
      </c>
      <c r="AS6" s="64">
        <f>72.5%</f>
        <v>0.725</v>
      </c>
      <c r="AT6" s="3">
        <v>1.25</v>
      </c>
      <c r="AV6" s="3" t="s">
        <v>248</v>
      </c>
      <c r="AW6" s="10">
        <v>3</v>
      </c>
    </row>
    <row r="7" customHeight="1" spans="2:49">
      <c r="B7" s="1" t="s">
        <v>249</v>
      </c>
      <c r="C7" s="52">
        <v>0.3</v>
      </c>
      <c r="D7" s="1">
        <v>5</v>
      </c>
      <c r="F7" s="1" t="s">
        <v>250</v>
      </c>
      <c r="G7" s="1">
        <f>角色!BM1</f>
        <v>65</v>
      </c>
      <c r="H7" s="1">
        <f t="shared" si="0"/>
        <v>33</v>
      </c>
      <c r="I7" s="1">
        <f t="shared" si="1"/>
        <v>26</v>
      </c>
      <c r="J7" s="1">
        <f t="shared" si="2"/>
        <v>18</v>
      </c>
      <c r="K7" s="1">
        <f t="shared" ref="K7:M7" si="7">K3</f>
        <v>41</v>
      </c>
      <c r="L7" s="1">
        <f t="shared" si="7"/>
        <v>33</v>
      </c>
      <c r="M7" s="1">
        <f t="shared" si="7"/>
        <v>25</v>
      </c>
      <c r="N7" s="1">
        <f t="shared" si="4"/>
        <v>0.168067226890756</v>
      </c>
      <c r="O7" s="1">
        <v>10</v>
      </c>
      <c r="P7" s="1">
        <f t="shared" ref="P7:P10" si="8">P6</f>
        <v>26</v>
      </c>
      <c r="R7" s="4" t="s">
        <v>251</v>
      </c>
      <c r="S7" s="3"/>
      <c r="T7" s="3">
        <v>0.25</v>
      </c>
      <c r="U7" s="3"/>
      <c r="V7" s="3"/>
      <c r="W7" s="6"/>
      <c r="X7" s="3"/>
      <c r="Y7" s="3"/>
      <c r="Z7" s="3"/>
      <c r="AA7" s="3"/>
      <c r="AB7" s="3"/>
      <c r="AC7" s="3"/>
      <c r="AD7" s="3"/>
      <c r="AE7" s="3"/>
      <c r="AF7" s="3"/>
      <c r="AG7" s="4" t="s">
        <v>252</v>
      </c>
      <c r="AK7" s="6"/>
      <c r="AL7" s="3"/>
      <c r="AM7" s="3"/>
      <c r="AN7" s="3"/>
      <c r="AO7" s="3">
        <v>0.296</v>
      </c>
      <c r="AP7" s="3"/>
      <c r="AQ7" s="3"/>
      <c r="AR7" s="6" t="s">
        <v>253</v>
      </c>
      <c r="AS7" s="64">
        <v>0</v>
      </c>
      <c r="AT7" s="3">
        <v>0</v>
      </c>
      <c r="AV7" s="3" t="s">
        <v>254</v>
      </c>
      <c r="AW7" s="10">
        <v>2</v>
      </c>
    </row>
    <row r="8" customHeight="1" spans="2:49">
      <c r="B8" s="1" t="s">
        <v>255</v>
      </c>
      <c r="C8" s="52">
        <v>0.24</v>
      </c>
      <c r="D8" s="1">
        <v>5</v>
      </c>
      <c r="F8" s="1" t="s">
        <v>256</v>
      </c>
      <c r="G8" s="1">
        <f>角色!BW1</f>
        <v>75</v>
      </c>
      <c r="H8" s="1">
        <f t="shared" si="0"/>
        <v>34</v>
      </c>
      <c r="I8" s="1">
        <f t="shared" si="1"/>
        <v>27</v>
      </c>
      <c r="J8" s="1">
        <f t="shared" si="2"/>
        <v>19</v>
      </c>
      <c r="K8" s="1">
        <v>1</v>
      </c>
      <c r="L8" s="1">
        <f>音擎!$AI$1</f>
        <v>35</v>
      </c>
      <c r="M8" s="1">
        <f>驱动盘!$Z$1</f>
        <v>26</v>
      </c>
      <c r="N8" s="1">
        <v>0</v>
      </c>
      <c r="P8" s="1">
        <f>P5</f>
        <v>24</v>
      </c>
      <c r="R8" s="4" t="s">
        <v>257</v>
      </c>
      <c r="S8" s="3"/>
      <c r="T8" s="3"/>
      <c r="U8" s="3"/>
      <c r="V8" s="3"/>
      <c r="W8" s="6"/>
      <c r="X8" s="3"/>
      <c r="Y8" s="3">
        <v>0.7</v>
      </c>
      <c r="Z8" s="3"/>
      <c r="AA8" s="3"/>
      <c r="AB8" s="3"/>
      <c r="AC8" s="3"/>
      <c r="AD8" s="3"/>
      <c r="AE8" s="3"/>
      <c r="AF8" s="3"/>
      <c r="AG8" s="4" t="s">
        <v>258</v>
      </c>
      <c r="AK8" s="6"/>
      <c r="AL8" s="3"/>
      <c r="AM8" s="3"/>
      <c r="AN8" s="3"/>
      <c r="AO8" s="3">
        <f>29.6%*1.3</f>
        <v>0.3848</v>
      </c>
      <c r="AP8" s="3"/>
      <c r="AQ8" s="3"/>
      <c r="AV8" s="3" t="s">
        <v>259</v>
      </c>
      <c r="AW8" s="10">
        <v>2</v>
      </c>
    </row>
    <row r="9" customHeight="1" spans="2:49">
      <c r="B9" s="1" t="s">
        <v>168</v>
      </c>
      <c r="C9" s="52">
        <v>0.3</v>
      </c>
      <c r="D9" s="1">
        <v>6</v>
      </c>
      <c r="F9" s="1" t="s">
        <v>260</v>
      </c>
      <c r="G9" s="1">
        <f>角色!CB1</f>
        <v>80</v>
      </c>
      <c r="H9" s="1">
        <f t="shared" si="0"/>
        <v>35</v>
      </c>
      <c r="I9" s="1">
        <f t="shared" si="1"/>
        <v>28</v>
      </c>
      <c r="J9" s="1">
        <f t="shared" si="2"/>
        <v>20</v>
      </c>
      <c r="K9" s="1">
        <f>角色!$AQ$1</f>
        <v>43</v>
      </c>
      <c r="L9" s="1">
        <f>音擎!$AH$1</f>
        <v>34</v>
      </c>
      <c r="M9" s="1">
        <f>驱动盘!$Z$1</f>
        <v>26</v>
      </c>
      <c r="N9" s="1">
        <v>0</v>
      </c>
      <c r="P9" s="1">
        <f t="shared" si="8"/>
        <v>24</v>
      </c>
      <c r="R9" s="4" t="s">
        <v>261</v>
      </c>
      <c r="S9" s="3"/>
      <c r="T9" s="3">
        <v>0.15</v>
      </c>
      <c r="U9" s="3"/>
      <c r="V9" s="3"/>
      <c r="W9" s="6"/>
      <c r="X9" s="3"/>
      <c r="Y9" s="3">
        <v>0.204</v>
      </c>
      <c r="Z9" s="3"/>
      <c r="AA9" s="3"/>
      <c r="AB9" s="3">
        <v>0.296</v>
      </c>
      <c r="AC9" s="3"/>
      <c r="AD9" s="3"/>
      <c r="AE9" s="3"/>
      <c r="AF9" s="3"/>
      <c r="AG9" s="4" t="s">
        <v>262</v>
      </c>
      <c r="AK9" s="6"/>
      <c r="AL9" s="3"/>
      <c r="AM9" s="3"/>
      <c r="AN9" s="3">
        <v>0.1</v>
      </c>
      <c r="AO9" s="3"/>
      <c r="AP9" s="3"/>
      <c r="AQ9" s="3"/>
      <c r="AV9" s="3" t="s">
        <v>263</v>
      </c>
      <c r="AW9" s="10">
        <f>IF(配装!$C$8&gt;=1,5,0)</f>
        <v>5</v>
      </c>
    </row>
    <row r="10" customHeight="1" spans="2:49">
      <c r="B10" s="1" t="s">
        <v>264</v>
      </c>
      <c r="C10" s="52">
        <v>0.18</v>
      </c>
      <c r="D10" s="1">
        <v>6</v>
      </c>
      <c r="F10" s="1" t="s">
        <v>265</v>
      </c>
      <c r="G10" s="1">
        <f>角色!CG1</f>
        <v>85</v>
      </c>
      <c r="H10" s="1">
        <f t="shared" ref="H10:L10" si="9">H9</f>
        <v>35</v>
      </c>
      <c r="I10" s="1">
        <f t="shared" si="9"/>
        <v>28</v>
      </c>
      <c r="J10" s="1">
        <f t="shared" si="9"/>
        <v>20</v>
      </c>
      <c r="K10" s="1">
        <f t="shared" si="9"/>
        <v>43</v>
      </c>
      <c r="L10" s="1">
        <f t="shared" si="9"/>
        <v>34</v>
      </c>
      <c r="M10" s="1">
        <f>驱动盘!$Z$1</f>
        <v>26</v>
      </c>
      <c r="N10" s="1">
        <v>0</v>
      </c>
      <c r="P10" s="1">
        <f t="shared" si="8"/>
        <v>24</v>
      </c>
      <c r="R10" s="4" t="s">
        <v>252</v>
      </c>
      <c r="S10" s="3"/>
      <c r="T10" s="3"/>
      <c r="U10" s="3"/>
      <c r="V10" s="3"/>
      <c r="W10" s="6"/>
      <c r="X10" s="3"/>
      <c r="Y10" s="3"/>
      <c r="Z10" s="3"/>
      <c r="AA10" s="3"/>
      <c r="AB10" s="3">
        <v>0.296</v>
      </c>
      <c r="AC10" s="3"/>
      <c r="AD10" s="3"/>
      <c r="AE10" s="3"/>
      <c r="AF10" s="3"/>
      <c r="AG10" s="4" t="s">
        <v>266</v>
      </c>
      <c r="AK10" s="6"/>
      <c r="AL10" s="3"/>
      <c r="AM10" s="3"/>
      <c r="AN10" s="3">
        <v>0.25</v>
      </c>
      <c r="AO10" s="3"/>
      <c r="AP10" s="3"/>
      <c r="AQ10" s="3"/>
      <c r="AS10" s="52"/>
      <c r="AV10" s="3" t="s">
        <v>267</v>
      </c>
      <c r="AW10" s="10">
        <f>IF(配装!$C$8&gt;=1,5,0)</f>
        <v>5</v>
      </c>
    </row>
    <row r="11" customHeight="1" spans="2:49">
      <c r="B11" s="1" t="s">
        <v>138</v>
      </c>
      <c r="C11" s="52">
        <v>0.6</v>
      </c>
      <c r="D11" s="1">
        <v>6</v>
      </c>
      <c r="F11" s="1" t="s">
        <v>268</v>
      </c>
      <c r="G11" s="1">
        <f>角色!BR1</f>
        <v>70</v>
      </c>
      <c r="H11" s="1">
        <f t="shared" ref="H11:H16" si="10">H10+1</f>
        <v>36</v>
      </c>
      <c r="I11" s="1">
        <f t="shared" ref="I11:I15" si="11">I10+1</f>
        <v>29</v>
      </c>
      <c r="J11" s="1">
        <f t="shared" ref="J11:J15" si="12">J10+1</f>
        <v>21</v>
      </c>
      <c r="K11" s="1">
        <v>1</v>
      </c>
      <c r="L11" s="1">
        <f>L8</f>
        <v>35</v>
      </c>
      <c r="M11" s="1">
        <f>驱动盘!$Z$1</f>
        <v>26</v>
      </c>
      <c r="N11" s="1">
        <f t="shared" si="4"/>
        <v>0.168067226890756</v>
      </c>
      <c r="O11" s="1">
        <v>20</v>
      </c>
      <c r="P11" s="1">
        <f>P6</f>
        <v>26</v>
      </c>
      <c r="R11" s="4" t="s">
        <v>258</v>
      </c>
      <c r="S11" s="3"/>
      <c r="T11" s="3"/>
      <c r="U11" s="3"/>
      <c r="V11" s="3"/>
      <c r="W11" s="6"/>
      <c r="X11" s="3"/>
      <c r="Y11" s="3"/>
      <c r="Z11" s="3"/>
      <c r="AA11" s="3"/>
      <c r="AB11" s="3">
        <v>0.3848</v>
      </c>
      <c r="AC11" s="3"/>
      <c r="AD11" s="3"/>
      <c r="AE11" s="3"/>
      <c r="AF11" s="3"/>
      <c r="AG11" s="4" t="s">
        <v>269</v>
      </c>
      <c r="AK11" s="6"/>
      <c r="AL11" s="3"/>
      <c r="AM11" s="3"/>
      <c r="AN11" s="3"/>
      <c r="AO11" s="3">
        <v>0.2</v>
      </c>
      <c r="AP11" s="3"/>
      <c r="AQ11" s="3"/>
      <c r="AV11" s="3" t="s">
        <v>270</v>
      </c>
      <c r="AW11" s="10">
        <f>IF(配装!$C$8&gt;=1,5,0)</f>
        <v>5</v>
      </c>
    </row>
    <row r="12" customHeight="1" spans="1:49">
      <c r="A12" s="1" t="s">
        <v>271</v>
      </c>
      <c r="B12" s="1" t="s">
        <v>214</v>
      </c>
      <c r="C12" s="1">
        <v>22</v>
      </c>
      <c r="F12" s="1" t="s">
        <v>272</v>
      </c>
      <c r="G12" s="1">
        <f>角色!CL1</f>
        <v>90</v>
      </c>
      <c r="H12" s="1">
        <f>H11</f>
        <v>36</v>
      </c>
      <c r="I12" s="1">
        <f>I11</f>
        <v>29</v>
      </c>
      <c r="J12" s="1">
        <f>J11</f>
        <v>21</v>
      </c>
      <c r="K12" s="1">
        <v>1</v>
      </c>
      <c r="L12" s="1">
        <f>L8</f>
        <v>35</v>
      </c>
      <c r="M12" s="1">
        <f>驱动盘!$Z$1</f>
        <v>26</v>
      </c>
      <c r="N12" s="1">
        <v>0</v>
      </c>
      <c r="O12" s="1">
        <v>200</v>
      </c>
      <c r="P12" s="1">
        <f t="shared" ref="P12:P14" si="13">P11</f>
        <v>26</v>
      </c>
      <c r="R12" s="4" t="s">
        <v>262</v>
      </c>
      <c r="S12" s="3"/>
      <c r="T12" s="3"/>
      <c r="U12" s="3"/>
      <c r="V12" s="3"/>
      <c r="W12" s="6"/>
      <c r="X12" s="3"/>
      <c r="Y12" s="3">
        <v>0.1</v>
      </c>
      <c r="Z12" s="3"/>
      <c r="AA12" s="3"/>
      <c r="AB12" s="3"/>
      <c r="AC12" s="3"/>
      <c r="AD12" s="3"/>
      <c r="AE12" s="3"/>
      <c r="AF12" s="3"/>
      <c r="AG12" s="4" t="s">
        <v>273</v>
      </c>
      <c r="AH12" s="3"/>
      <c r="AI12" s="3"/>
      <c r="AJ12" s="3"/>
      <c r="AK12" s="6">
        <v>600</v>
      </c>
      <c r="AL12" s="3">
        <v>0.1</v>
      </c>
      <c r="AM12" s="3"/>
      <c r="AN12" s="3"/>
      <c r="AO12" s="3"/>
      <c r="AP12" s="3"/>
      <c r="AQ12" s="3"/>
      <c r="AV12" s="3" t="s">
        <v>274</v>
      </c>
      <c r="AW12" s="10">
        <f>IF(配装!$C$8&gt;=1,5,0)</f>
        <v>5</v>
      </c>
    </row>
    <row r="13" customHeight="1" spans="2:49">
      <c r="B13" s="1" t="s">
        <v>215</v>
      </c>
      <c r="C13" s="52">
        <v>0.03</v>
      </c>
      <c r="F13" s="1" t="s">
        <v>275</v>
      </c>
      <c r="G13" s="1">
        <f>角色!CQ1</f>
        <v>95</v>
      </c>
      <c r="H13" s="1">
        <f t="shared" si="10"/>
        <v>37</v>
      </c>
      <c r="I13" s="1">
        <f t="shared" si="11"/>
        <v>30</v>
      </c>
      <c r="J13" s="1">
        <f t="shared" si="12"/>
        <v>22</v>
      </c>
      <c r="K13" s="1">
        <f>K9</f>
        <v>43</v>
      </c>
      <c r="L13" s="1">
        <f>L9</f>
        <v>34</v>
      </c>
      <c r="M13" s="1">
        <f>驱动盘!$Z$1</f>
        <v>26</v>
      </c>
      <c r="N13" s="1">
        <v>0</v>
      </c>
      <c r="O13" s="1">
        <v>10</v>
      </c>
      <c r="P13" s="1">
        <f t="shared" si="13"/>
        <v>26</v>
      </c>
      <c r="R13" s="4" t="s">
        <v>266</v>
      </c>
      <c r="S13" s="3"/>
      <c r="T13" s="3"/>
      <c r="U13" s="3"/>
      <c r="V13" s="3"/>
      <c r="W13" s="6"/>
      <c r="X13" s="3"/>
      <c r="Y13" s="3">
        <v>0.25</v>
      </c>
      <c r="Z13" s="3"/>
      <c r="AA13" s="3"/>
      <c r="AB13" s="3"/>
      <c r="AC13" s="3"/>
      <c r="AD13" s="3"/>
      <c r="AE13" s="3"/>
      <c r="AF13" s="3"/>
      <c r="AG13" s="4" t="s">
        <v>276</v>
      </c>
      <c r="AH13" s="52"/>
      <c r="AI13" s="52"/>
      <c r="AJ13" s="52"/>
      <c r="AK13" s="1">
        <v>600</v>
      </c>
      <c r="AQ13" s="3"/>
      <c r="AV13" s="3" t="s">
        <v>277</v>
      </c>
      <c r="AW13" s="10">
        <f>IF(配装!$C$8&gt;=1,5,0)</f>
        <v>5</v>
      </c>
    </row>
    <row r="14" customHeight="1" spans="2:43">
      <c r="B14" s="1" t="s">
        <v>233</v>
      </c>
      <c r="C14" s="3">
        <v>0.024</v>
      </c>
      <c r="F14" s="1" t="s">
        <v>278</v>
      </c>
      <c r="G14" s="1">
        <f>角色!CV1</f>
        <v>100</v>
      </c>
      <c r="H14" s="1">
        <f t="shared" si="10"/>
        <v>38</v>
      </c>
      <c r="I14" s="1">
        <f t="shared" si="11"/>
        <v>31</v>
      </c>
      <c r="J14" s="1">
        <f t="shared" si="12"/>
        <v>23</v>
      </c>
      <c r="K14" s="1">
        <f>K9</f>
        <v>43</v>
      </c>
      <c r="L14" s="1">
        <f>L9</f>
        <v>34</v>
      </c>
      <c r="M14" s="1">
        <f>驱动盘!$Z$1</f>
        <v>26</v>
      </c>
      <c r="N14" s="1">
        <v>0</v>
      </c>
      <c r="P14" s="1">
        <f t="shared" si="13"/>
        <v>26</v>
      </c>
      <c r="R14" s="4" t="s">
        <v>279</v>
      </c>
      <c r="S14" s="3"/>
      <c r="T14" s="3"/>
      <c r="U14" s="3"/>
      <c r="V14" s="3">
        <v>0.15</v>
      </c>
      <c r="W14" s="6"/>
      <c r="X14" s="3"/>
      <c r="Y14" s="3"/>
      <c r="Z14" s="3"/>
      <c r="AA14" s="3"/>
      <c r="AB14" s="3"/>
      <c r="AC14" s="3"/>
      <c r="AD14" s="3"/>
      <c r="AE14" s="3"/>
      <c r="AF14" s="3"/>
      <c r="AG14" s="4" t="s">
        <v>280</v>
      </c>
      <c r="AH14" s="52"/>
      <c r="AI14" s="52"/>
      <c r="AJ14" s="52"/>
      <c r="AK14" s="1">
        <v>600</v>
      </c>
      <c r="AN14" s="3">
        <v>0.3</v>
      </c>
      <c r="AQ14" s="3"/>
    </row>
    <row r="15" customHeight="1" spans="2:43">
      <c r="B15" s="1" t="s">
        <v>69</v>
      </c>
      <c r="C15" s="3">
        <v>0.048</v>
      </c>
      <c r="F15" s="1" t="s">
        <v>281</v>
      </c>
      <c r="G15" s="1">
        <f>角色!DA1</f>
        <v>105</v>
      </c>
      <c r="H15" s="1">
        <f t="shared" si="10"/>
        <v>39</v>
      </c>
      <c r="I15" s="1">
        <f t="shared" si="11"/>
        <v>32</v>
      </c>
      <c r="J15" s="1">
        <f t="shared" si="12"/>
        <v>24</v>
      </c>
      <c r="K15" s="1">
        <f>K10</f>
        <v>43</v>
      </c>
      <c r="L15" s="1">
        <f>L10</f>
        <v>34</v>
      </c>
      <c r="M15" s="1">
        <f>驱动盘!$Z$1</f>
        <v>26</v>
      </c>
      <c r="N15" s="1">
        <v>0</v>
      </c>
      <c r="P15" s="1">
        <f>角色!Y1</f>
        <v>25</v>
      </c>
      <c r="R15" s="4" t="s">
        <v>282</v>
      </c>
      <c r="S15" s="3"/>
      <c r="T15" s="3"/>
      <c r="U15" s="3"/>
      <c r="V15" s="3"/>
      <c r="W15" s="6"/>
      <c r="X15" s="3"/>
      <c r="Y15" s="3"/>
      <c r="Z15" s="3"/>
      <c r="AA15" s="3"/>
      <c r="AB15" s="3">
        <v>0.16</v>
      </c>
      <c r="AC15" s="3"/>
      <c r="AD15" s="3"/>
      <c r="AE15" s="3"/>
      <c r="AG15" s="4" t="s">
        <v>283</v>
      </c>
      <c r="AH15" s="52">
        <v>0.5</v>
      </c>
      <c r="AI15" s="52"/>
      <c r="AJ15" s="52"/>
      <c r="AQ15" s="3"/>
    </row>
    <row r="16" customHeight="1" spans="2:43">
      <c r="B16" s="1" t="s">
        <v>284</v>
      </c>
      <c r="C16" s="1">
        <v>9</v>
      </c>
      <c r="F16" s="1" t="s">
        <v>111</v>
      </c>
      <c r="H16" s="1">
        <f t="shared" si="10"/>
        <v>40</v>
      </c>
      <c r="I16" s="1">
        <f t="shared" ref="H16:J16" si="14">I15</f>
        <v>32</v>
      </c>
      <c r="J16" s="1">
        <f t="shared" si="14"/>
        <v>24</v>
      </c>
      <c r="R16" s="4" t="s">
        <v>285</v>
      </c>
      <c r="S16" s="3"/>
      <c r="T16" s="3"/>
      <c r="U16" s="3"/>
      <c r="V16" s="3"/>
      <c r="W16" s="6"/>
      <c r="X16" s="3"/>
      <c r="Y16" s="3"/>
      <c r="Z16" s="3"/>
      <c r="AA16" s="3"/>
      <c r="AB16" s="3">
        <v>0.2</v>
      </c>
      <c r="AC16" s="3"/>
      <c r="AD16" s="3"/>
      <c r="AE16" s="3"/>
      <c r="AG16" s="4" t="s">
        <v>286</v>
      </c>
      <c r="AH16" s="52">
        <v>1</v>
      </c>
      <c r="AI16" s="52"/>
      <c r="AJ16" s="52"/>
      <c r="AP16" s="3">
        <v>0.15</v>
      </c>
      <c r="AQ16" s="3"/>
    </row>
    <row r="17" customHeight="1" spans="2:42">
      <c r="B17" s="1" t="s">
        <v>114</v>
      </c>
      <c r="C17" s="1">
        <v>9</v>
      </c>
      <c r="R17" s="4" t="s">
        <v>287</v>
      </c>
      <c r="S17" s="3"/>
      <c r="T17" s="3">
        <v>0.085</v>
      </c>
      <c r="U17" s="3">
        <v>0.085</v>
      </c>
      <c r="V17" s="3"/>
      <c r="W17" s="6"/>
      <c r="X17" s="3"/>
      <c r="Y17" s="3"/>
      <c r="Z17" s="3"/>
      <c r="AA17" s="3"/>
      <c r="AB17" s="3"/>
      <c r="AC17" s="3"/>
      <c r="AD17" s="3"/>
      <c r="AE17" s="3"/>
      <c r="AG17" s="4" t="s">
        <v>288</v>
      </c>
      <c r="AH17" s="52"/>
      <c r="AI17" s="52"/>
      <c r="AJ17" s="52"/>
      <c r="AN17" s="3">
        <v>0.18</v>
      </c>
      <c r="AP17" s="3"/>
    </row>
    <row r="18" customHeight="1" spans="3:42">
      <c r="C18" s="1" t="s">
        <v>289</v>
      </c>
      <c r="D18" s="1" t="s">
        <v>290</v>
      </c>
      <c r="R18" s="4" t="s">
        <v>291</v>
      </c>
      <c r="S18" s="3"/>
      <c r="T18" s="3"/>
      <c r="U18" s="3"/>
      <c r="V18" s="3"/>
      <c r="W18" s="6">
        <v>1000</v>
      </c>
      <c r="X18" s="3"/>
      <c r="Y18" s="3"/>
      <c r="Z18" s="3"/>
      <c r="AA18" s="3"/>
      <c r="AB18" s="3"/>
      <c r="AC18" s="3"/>
      <c r="AD18" s="3"/>
      <c r="AE18" s="3"/>
      <c r="AG18" s="4" t="s">
        <v>292</v>
      </c>
      <c r="AH18" s="3"/>
      <c r="AI18" s="3"/>
      <c r="AJ18" s="3"/>
      <c r="AK18" s="6"/>
      <c r="AL18" s="3"/>
      <c r="AM18" s="3"/>
      <c r="AN18" s="3">
        <v>0.2</v>
      </c>
      <c r="AO18" s="3"/>
      <c r="AP18" s="3"/>
    </row>
    <row r="19" customHeight="1" spans="1:42">
      <c r="A19" s="1" t="s">
        <v>293</v>
      </c>
      <c r="B19" s="1" t="s">
        <v>294</v>
      </c>
      <c r="C19" s="1">
        <v>40</v>
      </c>
      <c r="D19" s="9">
        <v>594</v>
      </c>
      <c r="R19" s="4" t="s">
        <v>295</v>
      </c>
      <c r="S19" s="3"/>
      <c r="T19" s="3"/>
      <c r="U19" s="3"/>
      <c r="V19" s="3"/>
      <c r="W19" s="6">
        <v>1000</v>
      </c>
      <c r="X19" s="3"/>
      <c r="Y19" s="3">
        <v>0.2</v>
      </c>
      <c r="Z19" s="3"/>
      <c r="AA19" s="3"/>
      <c r="AB19" s="3"/>
      <c r="AC19" s="3"/>
      <c r="AD19" s="3"/>
      <c r="AE19" s="3"/>
      <c r="AG19" s="4" t="s">
        <v>296</v>
      </c>
      <c r="AH19" s="3"/>
      <c r="AI19" s="3"/>
      <c r="AJ19" s="3"/>
      <c r="AK19" s="6">
        <v>1000</v>
      </c>
      <c r="AL19" s="3"/>
      <c r="AM19" s="3"/>
      <c r="AN19" s="3">
        <v>0.25</v>
      </c>
      <c r="AO19" s="3"/>
      <c r="AP19" s="3"/>
    </row>
    <row r="20" customHeight="1" spans="2:42">
      <c r="B20" s="1" t="s">
        <v>297</v>
      </c>
      <c r="C20" s="1">
        <v>42</v>
      </c>
      <c r="D20" s="9">
        <v>625</v>
      </c>
      <c r="R20" s="4" t="s">
        <v>298</v>
      </c>
      <c r="S20" s="3"/>
      <c r="T20" s="3">
        <v>0.1</v>
      </c>
      <c r="U20" s="3"/>
      <c r="V20" s="3"/>
      <c r="W20" s="6"/>
      <c r="X20" s="3"/>
      <c r="Y20" s="3"/>
      <c r="Z20" s="3"/>
      <c r="AA20" s="3"/>
      <c r="AB20" s="3"/>
      <c r="AC20" s="3"/>
      <c r="AD20" s="3"/>
      <c r="AE20" s="3"/>
      <c r="AG20" s="4" t="s">
        <v>299</v>
      </c>
      <c r="AH20" s="3"/>
      <c r="AI20" s="3"/>
      <c r="AJ20" s="3"/>
      <c r="AK20" s="6">
        <v>1000</v>
      </c>
      <c r="AL20" s="3"/>
      <c r="AM20" s="3"/>
      <c r="AN20" s="3">
        <f>25%+18%</f>
        <v>0.43</v>
      </c>
      <c r="AO20" s="3"/>
      <c r="AP20" s="3"/>
    </row>
    <row r="21" customHeight="1" spans="2:42">
      <c r="B21" s="1" t="s">
        <v>300</v>
      </c>
      <c r="C21" s="1">
        <v>46</v>
      </c>
      <c r="D21" s="9">
        <v>684</v>
      </c>
      <c r="R21" s="4" t="s">
        <v>301</v>
      </c>
      <c r="S21" s="3"/>
      <c r="T21" s="3"/>
      <c r="U21" s="3"/>
      <c r="V21" s="3"/>
      <c r="W21" s="6"/>
      <c r="X21" s="3"/>
      <c r="Y21" s="3">
        <v>0.15</v>
      </c>
      <c r="Z21" s="3"/>
      <c r="AA21" s="3"/>
      <c r="AB21" s="3"/>
      <c r="AC21" s="3">
        <v>0.4</v>
      </c>
      <c r="AD21" s="3"/>
      <c r="AE21" s="3"/>
      <c r="AG21" s="4" t="s">
        <v>145</v>
      </c>
      <c r="AH21" s="3"/>
      <c r="AI21" s="3"/>
      <c r="AJ21" s="3"/>
      <c r="AK21" s="6"/>
      <c r="AL21" s="3"/>
      <c r="AM21" s="3"/>
      <c r="AN21" s="3">
        <v>0.18</v>
      </c>
      <c r="AO21" s="3"/>
      <c r="AP21" s="3"/>
    </row>
    <row r="22" customHeight="1" spans="2:42">
      <c r="B22" s="1" t="s">
        <v>302</v>
      </c>
      <c r="C22" s="1">
        <v>48</v>
      </c>
      <c r="D22" s="1">
        <v>713</v>
      </c>
      <c r="R22" s="4" t="s">
        <v>303</v>
      </c>
      <c r="S22" s="3"/>
      <c r="T22" s="3"/>
      <c r="U22" s="3"/>
      <c r="V22" s="3"/>
      <c r="W22" s="6"/>
      <c r="X22" s="3"/>
      <c r="Y22" s="3">
        <f>15%+25%</f>
        <v>0.4</v>
      </c>
      <c r="Z22" s="3"/>
      <c r="AA22" s="3"/>
      <c r="AB22" s="3"/>
      <c r="AC22" s="3">
        <v>0.4</v>
      </c>
      <c r="AD22" s="3"/>
      <c r="AE22" s="3"/>
      <c r="AG22" s="4" t="s">
        <v>109</v>
      </c>
      <c r="AH22" s="3"/>
      <c r="AI22" s="3"/>
      <c r="AJ22" s="3"/>
      <c r="AK22" s="6"/>
      <c r="AL22" s="3"/>
      <c r="AM22" s="3"/>
      <c r="AN22" s="3">
        <v>0.15</v>
      </c>
      <c r="AO22" s="3"/>
      <c r="AP22" s="3"/>
    </row>
    <row r="23" customHeight="1" spans="1:42">
      <c r="A23" s="1" t="s">
        <v>304</v>
      </c>
      <c r="B23" s="1" t="s">
        <v>305</v>
      </c>
      <c r="C23" s="1" t="s">
        <v>306</v>
      </c>
      <c r="D23" s="1" t="s">
        <v>307</v>
      </c>
      <c r="R23" s="4" t="s">
        <v>308</v>
      </c>
      <c r="S23" s="3"/>
      <c r="T23" s="3"/>
      <c r="U23" s="3"/>
      <c r="V23" s="3"/>
      <c r="W23" s="6"/>
      <c r="X23" s="3"/>
      <c r="Y23" s="3"/>
      <c r="Z23" s="3">
        <v>0.15</v>
      </c>
      <c r="AA23" s="3"/>
      <c r="AB23" s="3"/>
      <c r="AC23" s="3"/>
      <c r="AD23" s="3"/>
      <c r="AE23" s="3"/>
      <c r="AG23" s="4" t="s">
        <v>309</v>
      </c>
      <c r="AH23" s="3"/>
      <c r="AI23" s="3"/>
      <c r="AJ23" s="3"/>
      <c r="AK23" s="6"/>
      <c r="AL23" s="3"/>
      <c r="AM23" s="3"/>
      <c r="AN23" s="3"/>
      <c r="AO23" s="3"/>
      <c r="AP23" s="3"/>
    </row>
    <row r="24" customHeight="1" spans="2:31">
      <c r="B24" s="1" t="s">
        <v>310</v>
      </c>
      <c r="C24" s="1" t="s">
        <v>311</v>
      </c>
      <c r="D24" s="1" t="s">
        <v>312</v>
      </c>
      <c r="R24" s="4" t="s">
        <v>273</v>
      </c>
      <c r="S24" s="3"/>
      <c r="T24" s="3"/>
      <c r="U24" s="3"/>
      <c r="V24" s="3"/>
      <c r="W24" s="6">
        <v>600</v>
      </c>
      <c r="X24" s="3">
        <v>0.1</v>
      </c>
      <c r="Y24" s="3"/>
      <c r="Z24" s="3"/>
      <c r="AA24" s="3"/>
      <c r="AB24" s="3"/>
      <c r="AC24" s="3"/>
      <c r="AD24" s="3"/>
      <c r="AE24" s="3"/>
    </row>
    <row r="25" customHeight="1" spans="2:31">
      <c r="B25" s="1" t="s">
        <v>255</v>
      </c>
      <c r="C25" s="1" t="s">
        <v>313</v>
      </c>
      <c r="R25" s="4" t="s">
        <v>314</v>
      </c>
      <c r="S25" s="3"/>
      <c r="T25" s="3"/>
      <c r="U25" s="3"/>
      <c r="V25" s="3"/>
      <c r="W25" s="6">
        <v>600</v>
      </c>
      <c r="X25" s="3">
        <v>0.1</v>
      </c>
      <c r="Y25" s="3"/>
      <c r="Z25" s="3"/>
      <c r="AA25" s="3">
        <v>0.1</v>
      </c>
      <c r="AB25" s="3"/>
      <c r="AC25" s="3"/>
      <c r="AD25" s="3"/>
      <c r="AE25" s="3"/>
    </row>
    <row r="26" customHeight="1" spans="2:31">
      <c r="B26" s="64">
        <v>0.08</v>
      </c>
      <c r="C26" s="64">
        <f>((70*5+500)+(60*5+500))/((70*5+500)*MAX(1-B26,0)+(60*5+500))-1</f>
        <v>0.0429835651074588</v>
      </c>
      <c r="R26" s="4" t="s">
        <v>315</v>
      </c>
      <c r="S26" s="3"/>
      <c r="T26" s="3"/>
      <c r="U26" s="3"/>
      <c r="V26" s="3"/>
      <c r="W26" s="6"/>
      <c r="X26" s="3"/>
      <c r="Y26" s="3"/>
      <c r="Z26" s="3">
        <v>0.16</v>
      </c>
      <c r="AA26" s="3"/>
      <c r="AB26" s="3"/>
      <c r="AC26" s="3"/>
      <c r="AD26" s="3"/>
      <c r="AE26" s="3"/>
    </row>
    <row r="27" customHeight="1" spans="18:31">
      <c r="R27" s="4" t="s">
        <v>316</v>
      </c>
      <c r="S27" s="3"/>
      <c r="T27" s="3">
        <v>0.1</v>
      </c>
      <c r="U27" s="3"/>
      <c r="V27" s="3"/>
      <c r="W27" s="6"/>
      <c r="X27" s="3"/>
      <c r="Y27" s="3"/>
      <c r="Z27" s="3"/>
      <c r="AA27" s="3"/>
      <c r="AB27" s="3"/>
      <c r="AC27" s="3"/>
      <c r="AD27" s="3"/>
      <c r="AE27" s="3"/>
    </row>
    <row r="28" customHeight="1" spans="18:31">
      <c r="R28" s="4" t="s">
        <v>292</v>
      </c>
      <c r="S28" s="3"/>
      <c r="T28" s="3"/>
      <c r="U28" s="3"/>
      <c r="V28" s="3"/>
      <c r="W28" s="6"/>
      <c r="X28" s="3"/>
      <c r="Y28" s="3">
        <v>0.2</v>
      </c>
      <c r="Z28" s="3"/>
      <c r="AA28" s="3"/>
      <c r="AB28" s="3"/>
      <c r="AC28" s="3"/>
      <c r="AD28" s="3"/>
      <c r="AE28" s="3"/>
    </row>
    <row r="29" customHeight="1" spans="18:31">
      <c r="R29" s="4" t="s">
        <v>317</v>
      </c>
      <c r="S29" s="3"/>
      <c r="T29" s="3"/>
      <c r="U29" s="3"/>
      <c r="V29" s="3"/>
      <c r="W29" s="6"/>
      <c r="X29" s="3"/>
      <c r="Y29" s="3"/>
      <c r="Z29" s="3">
        <v>0.1</v>
      </c>
      <c r="AA29" s="3"/>
      <c r="AB29" s="3"/>
      <c r="AC29" s="3"/>
      <c r="AD29" s="3"/>
      <c r="AE29" s="3"/>
    </row>
    <row r="30" customHeight="1" spans="18:31">
      <c r="R30" s="4" t="s">
        <v>318</v>
      </c>
      <c r="S30" s="3"/>
      <c r="T30" s="3">
        <v>0.15</v>
      </c>
      <c r="U30" s="3"/>
      <c r="V30" s="3"/>
      <c r="W30" s="6"/>
      <c r="X30" s="3"/>
      <c r="Y30" s="3"/>
      <c r="Z30" s="3"/>
      <c r="AA30" s="3"/>
      <c r="AB30" s="3"/>
      <c r="AC30" s="3"/>
      <c r="AD30" s="3"/>
      <c r="AE30" s="3"/>
    </row>
    <row r="31" customHeight="1" spans="18:30">
      <c r="R31" s="4" t="s">
        <v>296</v>
      </c>
      <c r="S31" s="3"/>
      <c r="T31" s="3"/>
      <c r="U31" s="3"/>
      <c r="V31" s="3"/>
      <c r="W31" s="6">
        <v>1000</v>
      </c>
      <c r="X31" s="3"/>
      <c r="Y31" s="3">
        <v>0.25</v>
      </c>
      <c r="Z31" s="3"/>
      <c r="AA31" s="3"/>
      <c r="AB31" s="3"/>
      <c r="AC31" s="3"/>
      <c r="AD31" s="3"/>
    </row>
    <row r="32" customHeight="1" spans="18:31">
      <c r="R32" s="4" t="s">
        <v>299</v>
      </c>
      <c r="S32" s="3"/>
      <c r="T32" s="3"/>
      <c r="U32" s="3"/>
      <c r="V32" s="3"/>
      <c r="W32" s="6">
        <v>1000</v>
      </c>
      <c r="X32" s="3"/>
      <c r="Y32" s="3">
        <f>25%+18%</f>
        <v>0.43</v>
      </c>
      <c r="Z32" s="3"/>
      <c r="AA32" s="3"/>
      <c r="AB32" s="3"/>
      <c r="AC32" s="3"/>
      <c r="AD32" s="3"/>
      <c r="AE32" s="3">
        <v>0.12</v>
      </c>
    </row>
    <row r="33" customHeight="1" spans="18:31">
      <c r="R33" s="4" t="s">
        <v>319</v>
      </c>
      <c r="S33" s="3"/>
      <c r="T33" s="3"/>
      <c r="U33" s="3"/>
      <c r="V33" s="3"/>
      <c r="W33" s="6">
        <v>1500</v>
      </c>
      <c r="X33" s="3"/>
      <c r="Y33" s="3">
        <f>25%+18%</f>
        <v>0.43</v>
      </c>
      <c r="Z33" s="3"/>
      <c r="AA33" s="3"/>
      <c r="AB33" s="3"/>
      <c r="AC33" s="3"/>
      <c r="AD33" s="3"/>
      <c r="AE33" s="3">
        <v>0.12</v>
      </c>
    </row>
    <row r="34" customHeight="1" spans="18:31">
      <c r="R34" s="4" t="s">
        <v>145</v>
      </c>
      <c r="S34" s="3"/>
      <c r="T34" s="3"/>
      <c r="U34" s="3"/>
      <c r="V34" s="3"/>
      <c r="W34" s="6"/>
      <c r="X34" s="3"/>
      <c r="Y34" s="3">
        <v>0.18</v>
      </c>
      <c r="Z34" s="3"/>
      <c r="AA34" s="3"/>
      <c r="AB34" s="3"/>
      <c r="AC34" s="3"/>
      <c r="AD34" s="3"/>
      <c r="AE34" s="3">
        <v>0.12</v>
      </c>
    </row>
    <row r="35" customHeight="1" spans="18:31">
      <c r="R35" s="4" t="s">
        <v>320</v>
      </c>
      <c r="Y35" s="3"/>
      <c r="AA35" s="3">
        <v>0.5</v>
      </c>
      <c r="AE35" s="3"/>
    </row>
    <row r="36" customHeight="1" spans="18:31">
      <c r="R36" s="4" t="s">
        <v>321</v>
      </c>
      <c r="Y36" s="3">
        <v>0.2</v>
      </c>
      <c r="AE36" s="3"/>
    </row>
    <row r="37" customHeight="1" spans="18:31">
      <c r="R37" s="4" t="s">
        <v>134</v>
      </c>
      <c r="S37" s="3"/>
      <c r="T37" s="3"/>
      <c r="U37" s="3"/>
      <c r="V37" s="3"/>
      <c r="W37" s="6"/>
      <c r="X37" s="3"/>
      <c r="Y37" s="3">
        <v>0.151</v>
      </c>
      <c r="Z37" s="3"/>
      <c r="AA37" s="3"/>
      <c r="AB37" s="3"/>
      <c r="AC37" s="3"/>
      <c r="AD37" s="3"/>
      <c r="AE37" s="3"/>
    </row>
    <row r="38" customHeight="1" spans="18:31">
      <c r="R38" s="4" t="s">
        <v>322</v>
      </c>
      <c r="S38" s="3"/>
      <c r="T38" s="3"/>
      <c r="U38" s="3"/>
      <c r="V38" s="3"/>
      <c r="W38" s="6"/>
      <c r="X38" s="3">
        <v>0.02</v>
      </c>
      <c r="Y38" s="3"/>
      <c r="Z38" s="3"/>
      <c r="AA38" s="3"/>
      <c r="AB38" s="3"/>
      <c r="AC38" s="3"/>
      <c r="AD38" s="3"/>
      <c r="AE38" s="3"/>
    </row>
    <row r="39" customHeight="1" spans="18:31">
      <c r="R39" s="4" t="s">
        <v>96</v>
      </c>
      <c r="S39" s="3"/>
      <c r="T39" s="3"/>
      <c r="U39" s="3"/>
      <c r="V39" s="3"/>
      <c r="W39" s="6"/>
      <c r="X39" s="3"/>
      <c r="Y39" s="3">
        <v>0.15</v>
      </c>
      <c r="Z39" s="3"/>
      <c r="AA39" s="3"/>
      <c r="AB39" s="3"/>
      <c r="AC39" s="3"/>
      <c r="AD39" s="3"/>
      <c r="AE39" s="3"/>
    </row>
    <row r="40" customHeight="1" spans="18:30">
      <c r="R40" s="4" t="s">
        <v>103</v>
      </c>
      <c r="S40" s="3"/>
      <c r="T40" s="3"/>
      <c r="U40" s="3">
        <v>0.2</v>
      </c>
      <c r="V40" s="3"/>
      <c r="W40" s="6"/>
      <c r="X40" s="3"/>
      <c r="Y40" s="3"/>
      <c r="Z40" s="3"/>
      <c r="AA40" s="3"/>
      <c r="AB40" s="3"/>
      <c r="AC40" s="3"/>
      <c r="AD40" s="3"/>
    </row>
    <row r="41" customHeight="1" spans="18:31">
      <c r="R41" s="4" t="s">
        <v>109</v>
      </c>
      <c r="Y41" s="52">
        <v>0.15</v>
      </c>
      <c r="AE41" s="3"/>
    </row>
    <row r="42" customHeight="1" spans="18:30">
      <c r="R42" s="4" t="s">
        <v>309</v>
      </c>
      <c r="S42" s="3"/>
      <c r="T42" s="3"/>
      <c r="U42" s="3"/>
      <c r="V42" s="3"/>
      <c r="W42" s="6"/>
      <c r="X42" s="3"/>
      <c r="Y42" s="3"/>
      <c r="Z42" s="3"/>
      <c r="AA42" s="3"/>
      <c r="AB42" s="3"/>
      <c r="AC42" s="3"/>
      <c r="AD42" s="3"/>
    </row>
    <row r="43" customHeight="1" spans="17:17">
      <c r="Q43" s="65" t="s">
        <v>323</v>
      </c>
    </row>
    <row r="44" customHeight="1" spans="18:31">
      <c r="R44" s="4" t="s">
        <v>324</v>
      </c>
      <c r="S44" s="3"/>
      <c r="T44" s="3"/>
      <c r="U44" s="3"/>
      <c r="V44" s="3"/>
      <c r="W44" s="6"/>
      <c r="X44" s="3"/>
      <c r="Y44" s="3"/>
      <c r="Z44" s="3"/>
      <c r="AA44" s="3">
        <v>1</v>
      </c>
      <c r="AB44" s="3"/>
      <c r="AC44" s="3"/>
      <c r="AD44" s="3"/>
      <c r="AE44" s="3"/>
    </row>
    <row r="45" customHeight="1" spans="18:31">
      <c r="R45" s="4" t="s">
        <v>325</v>
      </c>
      <c r="S45" s="3"/>
      <c r="T45" s="3"/>
      <c r="U45" s="3"/>
      <c r="V45" s="3"/>
      <c r="W45" s="6"/>
      <c r="X45" s="3"/>
      <c r="Y45" s="3"/>
      <c r="Z45" s="3"/>
      <c r="AA45" s="3">
        <v>0.6</v>
      </c>
      <c r="AB45" s="3"/>
      <c r="AC45" s="3"/>
      <c r="AD45" s="3"/>
      <c r="AE45" s="3"/>
    </row>
    <row r="46" customHeight="1" spans="18:31">
      <c r="R46" s="4" t="s">
        <v>326</v>
      </c>
      <c r="S46" s="3"/>
      <c r="T46" s="3"/>
      <c r="U46" s="3"/>
      <c r="V46" s="3"/>
      <c r="W46" s="6"/>
      <c r="X46" s="3"/>
      <c r="Y46" s="3">
        <v>0.4</v>
      </c>
      <c r="Z46" s="3"/>
      <c r="AA46" s="3"/>
      <c r="AB46" s="3"/>
      <c r="AC46" s="3"/>
      <c r="AD46" s="3"/>
      <c r="AE46" s="3"/>
    </row>
    <row r="47" customHeight="1" spans="18:31">
      <c r="R47" s="4" t="s">
        <v>327</v>
      </c>
      <c r="S47" s="3"/>
      <c r="T47" s="3">
        <v>0.25</v>
      </c>
      <c r="U47" s="3"/>
      <c r="V47" s="3"/>
      <c r="W47" s="6"/>
      <c r="X47" s="3"/>
      <c r="Y47" s="3"/>
      <c r="Z47" s="3"/>
      <c r="AA47" s="3"/>
      <c r="AB47" s="3"/>
      <c r="AC47" s="3"/>
      <c r="AD47" s="3"/>
      <c r="AE47" s="3"/>
    </row>
    <row r="48" customHeight="1" spans="18:31">
      <c r="R48" s="4" t="s">
        <v>328</v>
      </c>
      <c r="S48" s="3"/>
      <c r="T48" s="3">
        <v>0.25</v>
      </c>
      <c r="U48" s="3"/>
      <c r="V48" s="3"/>
      <c r="W48" s="6"/>
      <c r="X48" s="3"/>
      <c r="Y48" s="3">
        <v>0.4</v>
      </c>
      <c r="Z48" s="3"/>
      <c r="AA48" s="3"/>
      <c r="AB48" s="3"/>
      <c r="AC48" s="3"/>
      <c r="AD48" s="3"/>
      <c r="AE48" s="3"/>
    </row>
    <row r="49" customHeight="1" spans="18:31">
      <c r="R49" s="4" t="s">
        <v>329</v>
      </c>
      <c r="S49" s="3"/>
      <c r="T49" s="3">
        <v>0.16</v>
      </c>
      <c r="U49" s="3"/>
      <c r="V49" s="3"/>
      <c r="W49" s="6"/>
      <c r="X49" s="3"/>
      <c r="Y49" s="3"/>
      <c r="Z49" s="3"/>
      <c r="AA49" s="3"/>
      <c r="AB49" s="3"/>
      <c r="AC49" s="3"/>
      <c r="AD49" s="3"/>
      <c r="AE49" s="3"/>
    </row>
    <row r="50" customHeight="1" spans="18:31">
      <c r="R50" s="4" t="s">
        <v>330</v>
      </c>
      <c r="S50" s="3"/>
      <c r="T50" s="3">
        <v>0.16</v>
      </c>
      <c r="U50" s="3"/>
      <c r="V50" s="3"/>
      <c r="W50" s="6"/>
      <c r="X50" s="3"/>
      <c r="Y50" s="3"/>
      <c r="Z50" s="3">
        <v>0.14</v>
      </c>
      <c r="AA50" s="3"/>
      <c r="AB50" s="3"/>
      <c r="AC50" s="3"/>
      <c r="AD50" s="3"/>
      <c r="AE50" s="3"/>
    </row>
    <row r="51" customHeight="1" spans="18:31">
      <c r="R51" s="4" t="s">
        <v>331</v>
      </c>
      <c r="S51" s="3"/>
      <c r="T51" s="3">
        <v>0.16</v>
      </c>
      <c r="U51" s="3"/>
      <c r="V51" s="3"/>
      <c r="W51" s="6"/>
      <c r="X51" s="3"/>
      <c r="Y51" s="3"/>
      <c r="Z51" s="3">
        <v>0.14</v>
      </c>
      <c r="AA51" s="3">
        <v>0.54</v>
      </c>
      <c r="AB51" s="3"/>
      <c r="AC51" s="3"/>
      <c r="AD51" s="3"/>
      <c r="AE51" s="3"/>
    </row>
    <row r="52" customHeight="1" spans="18:31">
      <c r="R52" s="4" t="s">
        <v>332</v>
      </c>
      <c r="S52" s="3"/>
      <c r="T52" s="3"/>
      <c r="U52" s="3"/>
      <c r="V52" s="3"/>
      <c r="W52" s="6"/>
      <c r="X52" s="3"/>
      <c r="Y52" s="3">
        <v>0.225</v>
      </c>
      <c r="Z52" s="3"/>
      <c r="AA52" s="3"/>
      <c r="AB52" s="3"/>
      <c r="AC52" s="3"/>
      <c r="AD52" s="3"/>
      <c r="AE52" s="3"/>
    </row>
    <row r="53" customHeight="1" spans="18:31">
      <c r="R53" s="4" t="s">
        <v>333</v>
      </c>
      <c r="S53" s="3"/>
      <c r="T53" s="3">
        <v>0.25</v>
      </c>
      <c r="U53" s="3"/>
      <c r="V53" s="3"/>
      <c r="W53" s="6"/>
      <c r="X53" s="3"/>
      <c r="Y53" s="3"/>
      <c r="Z53" s="3"/>
      <c r="AA53" s="3"/>
      <c r="AB53" s="3"/>
      <c r="AC53" s="3"/>
      <c r="AD53" s="3"/>
      <c r="AE53" s="3"/>
    </row>
    <row r="54" customHeight="1" spans="18:31">
      <c r="R54" s="4" t="s">
        <v>334</v>
      </c>
      <c r="S54" s="3"/>
      <c r="T54" s="3">
        <v>0.25</v>
      </c>
      <c r="U54" s="3"/>
      <c r="V54" s="3"/>
      <c r="W54" s="6"/>
      <c r="X54" s="3"/>
      <c r="Y54" s="3">
        <v>0.225</v>
      </c>
      <c r="Z54" s="3"/>
      <c r="AA54" s="3"/>
      <c r="AB54" s="3"/>
      <c r="AC54" s="3"/>
      <c r="AD54" s="3"/>
      <c r="AE54" s="3"/>
    </row>
    <row r="55" customHeight="1" spans="18:31">
      <c r="R55" s="4" t="s">
        <v>335</v>
      </c>
      <c r="S55" s="3"/>
      <c r="T55" s="3">
        <v>0.25</v>
      </c>
      <c r="U55" s="3"/>
      <c r="V55" s="3"/>
      <c r="W55" s="6"/>
      <c r="X55" s="3"/>
      <c r="Y55" s="3"/>
      <c r="Z55" s="3"/>
      <c r="AA55" s="3"/>
      <c r="AB55" s="3"/>
      <c r="AC55" s="3"/>
      <c r="AD55" s="3"/>
      <c r="AE55" s="3"/>
    </row>
    <row r="56" customHeight="1" spans="18:31">
      <c r="R56" s="4" t="s">
        <v>336</v>
      </c>
      <c r="S56" s="3"/>
      <c r="T56" s="3">
        <v>0.25</v>
      </c>
      <c r="U56" s="3"/>
      <c r="V56" s="3"/>
      <c r="W56" s="6"/>
      <c r="X56" s="3"/>
      <c r="Y56" s="3"/>
      <c r="Z56" s="3"/>
      <c r="AA56" s="3"/>
      <c r="AB56" s="3"/>
      <c r="AC56" s="3">
        <v>0.36</v>
      </c>
      <c r="AD56" s="3"/>
      <c r="AE56" s="3"/>
    </row>
    <row r="57" customHeight="1" spans="18:31">
      <c r="R57" s="4" t="s">
        <v>276</v>
      </c>
      <c r="S57" s="3"/>
      <c r="T57" s="3"/>
      <c r="U57" s="3"/>
      <c r="V57" s="3">
        <v>0.25</v>
      </c>
      <c r="W57" s="6">
        <v>600</v>
      </c>
      <c r="X57" s="3"/>
      <c r="Y57" s="3"/>
      <c r="Z57" s="3"/>
      <c r="AA57" s="3"/>
      <c r="AB57" s="3"/>
      <c r="AC57" s="3"/>
      <c r="AD57" s="3"/>
      <c r="AE57" s="3"/>
    </row>
    <row r="58" customHeight="1" spans="18:31">
      <c r="R58" s="4" t="s">
        <v>280</v>
      </c>
      <c r="S58" s="3"/>
      <c r="T58" s="3"/>
      <c r="U58" s="3"/>
      <c r="V58" s="3">
        <v>0.4</v>
      </c>
      <c r="W58" s="6">
        <v>600</v>
      </c>
      <c r="X58" s="3"/>
      <c r="Y58" s="3">
        <v>0.3</v>
      </c>
      <c r="Z58" s="3"/>
      <c r="AA58" s="3"/>
      <c r="AB58" s="3"/>
      <c r="AC58" s="3"/>
      <c r="AD58" s="3"/>
      <c r="AE58" s="3"/>
    </row>
    <row r="59" customHeight="1" spans="18:31">
      <c r="R59" s="4" t="s">
        <v>337</v>
      </c>
      <c r="S59" s="3"/>
      <c r="T59" s="3"/>
      <c r="U59" s="3"/>
      <c r="V59" s="3"/>
      <c r="W59" s="6"/>
      <c r="X59" s="3"/>
      <c r="Y59" s="3">
        <v>1</v>
      </c>
      <c r="Z59" s="3">
        <v>1</v>
      </c>
      <c r="AA59" s="3">
        <v>0.6</v>
      </c>
      <c r="AB59" s="3"/>
      <c r="AC59" s="3"/>
      <c r="AD59" s="3"/>
      <c r="AE59" s="3"/>
    </row>
    <row r="60" customHeight="1" spans="18:31">
      <c r="R60" s="4" t="s">
        <v>338</v>
      </c>
      <c r="S60" s="3"/>
      <c r="T60" s="3"/>
      <c r="U60" s="3"/>
      <c r="V60" s="3"/>
      <c r="W60" s="6"/>
      <c r="X60" s="3"/>
      <c r="Y60" s="3"/>
      <c r="Z60" s="3"/>
      <c r="AA60" s="3"/>
      <c r="AB60" s="3"/>
      <c r="AC60" s="3"/>
      <c r="AD60" s="3"/>
      <c r="AE60" s="3">
        <v>0.15</v>
      </c>
    </row>
    <row r="61" customHeight="1" spans="18:31">
      <c r="R61" s="4" t="s">
        <v>339</v>
      </c>
      <c r="S61" s="3"/>
      <c r="T61" s="3"/>
      <c r="U61" s="3"/>
      <c r="V61" s="3"/>
      <c r="W61" s="6"/>
      <c r="X61" s="3"/>
      <c r="Y61" s="3"/>
      <c r="Z61" s="3">
        <v>0.2</v>
      </c>
      <c r="AA61" s="3"/>
      <c r="AB61" s="3"/>
      <c r="AC61" s="3"/>
      <c r="AD61" s="3"/>
      <c r="AE61" s="3"/>
    </row>
    <row r="62" customHeight="1" spans="18:31">
      <c r="R62" s="4" t="s">
        <v>340</v>
      </c>
      <c r="S62" s="3"/>
      <c r="T62" s="3"/>
      <c r="U62" s="3"/>
      <c r="V62" s="3"/>
      <c r="W62" s="6"/>
      <c r="X62" s="3"/>
      <c r="Y62" s="3"/>
      <c r="Z62" s="3">
        <v>0.2</v>
      </c>
      <c r="AA62" s="3"/>
      <c r="AB62" s="3"/>
      <c r="AC62" s="3"/>
      <c r="AD62" s="3"/>
      <c r="AE62" s="3">
        <v>0.15</v>
      </c>
    </row>
    <row r="63" customHeight="1" spans="18:31">
      <c r="R63" s="4" t="s">
        <v>341</v>
      </c>
      <c r="S63" s="3"/>
      <c r="T63" s="3"/>
      <c r="U63" s="3"/>
      <c r="V63" s="3"/>
      <c r="W63" s="6"/>
      <c r="X63" s="3"/>
      <c r="Y63" s="3"/>
      <c r="Z63" s="3">
        <v>0.2</v>
      </c>
      <c r="AA63" s="3">
        <v>1</v>
      </c>
      <c r="AB63" s="3"/>
      <c r="AC63" s="3"/>
      <c r="AD63" s="3"/>
      <c r="AE63" s="3">
        <v>0.15</v>
      </c>
    </row>
    <row r="64" customHeight="1" spans="18:31">
      <c r="R64" s="4" t="s">
        <v>342</v>
      </c>
      <c r="S64" s="3"/>
      <c r="T64" s="3"/>
      <c r="U64" s="3"/>
      <c r="V64" s="3"/>
      <c r="W64" s="6"/>
      <c r="X64" s="3"/>
      <c r="Y64" s="3">
        <f>35%+12%</f>
        <v>0.47</v>
      </c>
      <c r="Z64" s="3"/>
      <c r="AA64" s="3"/>
      <c r="AB64" s="3"/>
      <c r="AC64" s="3"/>
      <c r="AD64" s="3"/>
      <c r="AE64" s="3"/>
    </row>
    <row r="65" customHeight="1" spans="18:31">
      <c r="R65" s="4" t="s">
        <v>343</v>
      </c>
      <c r="S65" s="3"/>
      <c r="T65" s="3"/>
      <c r="U65" s="3"/>
      <c r="V65" s="3"/>
      <c r="W65" s="6"/>
      <c r="X65" s="3"/>
      <c r="Y65" s="3">
        <v>0.24</v>
      </c>
      <c r="Z65" s="3"/>
      <c r="AA65" s="3"/>
      <c r="AB65" s="3"/>
      <c r="AC65" s="3"/>
      <c r="AD65" s="3"/>
      <c r="AE65" s="3"/>
    </row>
    <row r="66" customHeight="1" spans="18:31">
      <c r="R66" s="4" t="s">
        <v>344</v>
      </c>
      <c r="S66" s="3"/>
      <c r="T66" s="3"/>
      <c r="U66" s="3"/>
      <c r="V66" s="3"/>
      <c r="W66" s="6"/>
      <c r="X66" s="3"/>
      <c r="Y66" s="3">
        <v>0.3</v>
      </c>
      <c r="Z66" s="3"/>
      <c r="AA66" s="3"/>
      <c r="AB66" s="3"/>
      <c r="AC66" s="3"/>
      <c r="AD66" s="3"/>
      <c r="AE66" s="3"/>
    </row>
    <row r="67" customHeight="1" spans="18:31">
      <c r="R67" s="4" t="s">
        <v>345</v>
      </c>
      <c r="S67" s="3"/>
      <c r="T67" s="3"/>
      <c r="U67" s="3"/>
      <c r="V67" s="3"/>
      <c r="W67" s="6"/>
      <c r="X67" s="3"/>
      <c r="Y67" s="3"/>
      <c r="Z67" s="3"/>
      <c r="AA67" s="3"/>
      <c r="AB67" s="3"/>
      <c r="AC67" s="3"/>
      <c r="AD67" s="3"/>
      <c r="AE67" s="3">
        <v>0.1</v>
      </c>
    </row>
    <row r="68" customHeight="1" spans="18:31">
      <c r="R68" s="4" t="s">
        <v>346</v>
      </c>
      <c r="S68" s="3"/>
      <c r="T68" s="3"/>
      <c r="U68" s="3"/>
      <c r="V68" s="3"/>
      <c r="W68" s="6"/>
      <c r="X68" s="3"/>
      <c r="Y68" s="3">
        <v>0.45</v>
      </c>
      <c r="Z68" s="3"/>
      <c r="AA68" s="3"/>
      <c r="AB68" s="3"/>
      <c r="AC68" s="3"/>
      <c r="AD68" s="3"/>
      <c r="AE68" s="3"/>
    </row>
    <row r="69" customHeight="1" spans="18:31">
      <c r="R69" s="4" t="s">
        <v>347</v>
      </c>
      <c r="S69" s="3"/>
      <c r="T69" s="3"/>
      <c r="U69" s="3"/>
      <c r="V69" s="3"/>
      <c r="W69" s="6"/>
      <c r="X69" s="3"/>
      <c r="Y69" s="3">
        <v>0.75</v>
      </c>
      <c r="Z69" s="3"/>
      <c r="AA69" s="3"/>
      <c r="AB69" s="3"/>
      <c r="AC69" s="3"/>
      <c r="AD69" s="3"/>
      <c r="AE69" s="3"/>
    </row>
    <row r="70" customHeight="1" spans="18:31">
      <c r="R70" s="4" t="s">
        <v>309</v>
      </c>
      <c r="S70" s="3"/>
      <c r="T70" s="3"/>
      <c r="U70" s="3"/>
      <c r="V70" s="3"/>
      <c r="W70" s="6"/>
      <c r="X70" s="3"/>
      <c r="Y70" s="3"/>
      <c r="Z70" s="3"/>
      <c r="AA70" s="3"/>
      <c r="AB70" s="3"/>
      <c r="AC70" s="3"/>
      <c r="AD70" s="3"/>
      <c r="AE70" s="3"/>
    </row>
  </sheetData>
  <sheetProtection formatCells="0" insertHyperlinks="0" autoFilter="0"/>
  <conditionalFormatting sqref="AM2">
    <cfRule type="cellIs" dxfId="0" priority="440" operator="equal">
      <formula>0</formula>
    </cfRule>
  </conditionalFormatting>
  <conditionalFormatting sqref="AO2">
    <cfRule type="cellIs" dxfId="0" priority="363" operator="equal">
      <formula>0</formula>
    </cfRule>
  </conditionalFormatting>
  <conditionalFormatting sqref="AO3">
    <cfRule type="cellIs" dxfId="0" priority="366" operator="equal">
      <formula>0</formula>
    </cfRule>
  </conditionalFormatting>
  <conditionalFormatting sqref="S4">
    <cfRule type="cellIs" dxfId="0" priority="396" operator="equal">
      <formula>0</formula>
    </cfRule>
  </conditionalFormatting>
  <conditionalFormatting sqref="W4">
    <cfRule type="cellIs" dxfId="0" priority="399" operator="equal">
      <formula>0</formula>
    </cfRule>
  </conditionalFormatting>
  <conditionalFormatting sqref="X4:AA4">
    <cfRule type="cellIs" dxfId="0" priority="398" operator="equal">
      <formula>0</formula>
    </cfRule>
  </conditionalFormatting>
  <conditionalFormatting sqref="AB4">
    <cfRule type="cellIs" dxfId="0" priority="376" operator="equal">
      <formula>0</formula>
    </cfRule>
  </conditionalFormatting>
  <conditionalFormatting sqref="AC4">
    <cfRule type="cellIs" dxfId="0" priority="306" operator="equal">
      <formula>0</formula>
    </cfRule>
  </conditionalFormatting>
  <conditionalFormatting sqref="AK4">
    <cfRule type="cellIs" dxfId="0" priority="326" operator="equal">
      <formula>0</formula>
    </cfRule>
  </conditionalFormatting>
  <conditionalFormatting sqref="AO4">
    <cfRule type="cellIs" dxfId="0" priority="325" operator="equal">
      <formula>0</formula>
    </cfRule>
  </conditionalFormatting>
  <conditionalFormatting sqref="S5">
    <cfRule type="cellIs" dxfId="0" priority="87" operator="equal">
      <formula>0</formula>
    </cfRule>
  </conditionalFormatting>
  <conditionalFormatting sqref="W5">
    <cfRule type="cellIs" dxfId="0" priority="90" operator="equal">
      <formula>0</formula>
    </cfRule>
  </conditionalFormatting>
  <conditionalFormatting sqref="X5:AA5">
    <cfRule type="cellIs" dxfId="0" priority="89" operator="equal">
      <formula>0</formula>
    </cfRule>
  </conditionalFormatting>
  <conditionalFormatting sqref="AB5">
    <cfRule type="cellIs" dxfId="0" priority="86" operator="equal">
      <formula>0</formula>
    </cfRule>
  </conditionalFormatting>
  <conditionalFormatting sqref="AC5">
    <cfRule type="cellIs" dxfId="0" priority="85" operator="equal">
      <formula>0</formula>
    </cfRule>
  </conditionalFormatting>
  <conditionalFormatting sqref="AE5">
    <cfRule type="cellIs" dxfId="0" priority="84" operator="equal">
      <formula>0</formula>
    </cfRule>
  </conditionalFormatting>
  <conditionalFormatting sqref="AK5">
    <cfRule type="cellIs" dxfId="0" priority="359" operator="equal">
      <formula>0</formula>
    </cfRule>
  </conditionalFormatting>
  <conditionalFormatting sqref="AL5:AN5">
    <cfRule type="cellIs" dxfId="0" priority="360" operator="equal">
      <formula>0</formula>
    </cfRule>
  </conditionalFormatting>
  <conditionalFormatting sqref="AO5">
    <cfRule type="cellIs" dxfId="0" priority="357" operator="equal">
      <formula>0</formula>
    </cfRule>
  </conditionalFormatting>
  <conditionalFormatting sqref="AP5">
    <cfRule type="cellIs" dxfId="0" priority="358" operator="equal">
      <formula>0</formula>
    </cfRule>
  </conditionalFormatting>
  <conditionalFormatting sqref="X6:AA6">
    <cfRule type="cellIs" dxfId="0" priority="411" operator="equal">
      <formula>0</formula>
    </cfRule>
  </conditionalFormatting>
  <conditionalFormatting sqref="AB6">
    <cfRule type="cellIs" dxfId="0" priority="379" operator="equal">
      <formula>0</formula>
    </cfRule>
  </conditionalFormatting>
  <conditionalFormatting sqref="AC6">
    <cfRule type="cellIs" dxfId="0" priority="309" operator="equal">
      <formula>0</formula>
    </cfRule>
  </conditionalFormatting>
  <conditionalFormatting sqref="AF6">
    <cfRule type="cellIs" dxfId="0" priority="332" operator="equal">
      <formula>0</formula>
    </cfRule>
  </conditionalFormatting>
  <conditionalFormatting sqref="AK6">
    <cfRule type="cellIs" dxfId="0" priority="354" operator="equal">
      <formula>0</formula>
    </cfRule>
  </conditionalFormatting>
  <conditionalFormatting sqref="AL6:AN6">
    <cfRule type="cellIs" dxfId="0" priority="355" operator="equal">
      <formula>0</formula>
    </cfRule>
  </conditionalFormatting>
  <conditionalFormatting sqref="AO6">
    <cfRule type="cellIs" dxfId="0" priority="352" operator="equal">
      <formula>0</formula>
    </cfRule>
  </conditionalFormatting>
  <conditionalFormatting sqref="AP6">
    <cfRule type="cellIs" dxfId="0" priority="353" operator="equal">
      <formula>0</formula>
    </cfRule>
  </conditionalFormatting>
  <conditionalFormatting sqref="AR6:AT6">
    <cfRule type="cellIs" dxfId="0" priority="210" operator="equal">
      <formula>0</formula>
    </cfRule>
  </conditionalFormatting>
  <conditionalFormatting sqref="S7">
    <cfRule type="cellIs" dxfId="0" priority="436" operator="equal">
      <formula>0</formula>
    </cfRule>
  </conditionalFormatting>
  <conditionalFormatting sqref="X7:AA7">
    <cfRule type="cellIs" dxfId="0" priority="438" operator="equal">
      <formula>0</formula>
    </cfRule>
  </conditionalFormatting>
  <conditionalFormatting sqref="AB7">
    <cfRule type="cellIs" dxfId="0" priority="386" operator="equal">
      <formula>0</formula>
    </cfRule>
  </conditionalFormatting>
  <conditionalFormatting sqref="AC7">
    <cfRule type="cellIs" dxfId="0" priority="315" operator="equal">
      <formula>0</formula>
    </cfRule>
  </conditionalFormatting>
  <conditionalFormatting sqref="AO7">
    <cfRule type="cellIs" dxfId="0" priority="362" operator="equal">
      <formula>0</formula>
    </cfRule>
  </conditionalFormatting>
  <conditionalFormatting sqref="AP7">
    <cfRule type="cellIs" dxfId="0" priority="416" operator="equal">
      <formula>0</formula>
    </cfRule>
  </conditionalFormatting>
  <conditionalFormatting sqref="AB8">
    <cfRule type="cellIs" dxfId="0" priority="389" operator="equal">
      <formula>0</formula>
    </cfRule>
  </conditionalFormatting>
  <conditionalFormatting sqref="AC8">
    <cfRule type="cellIs" dxfId="0" priority="318" operator="equal">
      <formula>0</formula>
    </cfRule>
  </conditionalFormatting>
  <conditionalFormatting sqref="AK8">
    <cfRule type="cellIs" dxfId="0" priority="234" operator="equal">
      <formula>0</formula>
    </cfRule>
  </conditionalFormatting>
  <conditionalFormatting sqref="AL8:AN8">
    <cfRule type="cellIs" dxfId="0" priority="236" operator="equal">
      <formula>0</formula>
    </cfRule>
  </conditionalFormatting>
  <conditionalFormatting sqref="AO8">
    <cfRule type="cellIs" dxfId="0" priority="232" operator="equal">
      <formula>0</formula>
    </cfRule>
  </conditionalFormatting>
  <conditionalFormatting sqref="AP8">
    <cfRule type="cellIs" dxfId="0" priority="233" operator="equal">
      <formula>0</formula>
    </cfRule>
  </conditionalFormatting>
  <conditionalFormatting sqref="AQ8">
    <cfRule type="cellIs" dxfId="0" priority="237" operator="equal">
      <formula>0</formula>
    </cfRule>
  </conditionalFormatting>
  <conditionalFormatting sqref="AR8:AT8">
    <cfRule type="cellIs" dxfId="0" priority="235" operator="equal">
      <formula>0</formula>
    </cfRule>
  </conditionalFormatting>
  <conditionalFormatting sqref="AB9">
    <cfRule type="cellIs" dxfId="0" priority="188" operator="equal">
      <formula>0</formula>
    </cfRule>
  </conditionalFormatting>
  <conditionalFormatting sqref="AC9">
    <cfRule type="cellIs" dxfId="0" priority="187" operator="equal">
      <formula>0</formula>
    </cfRule>
  </conditionalFormatting>
  <conditionalFormatting sqref="AE9">
    <cfRule type="cellIs" dxfId="0" priority="186" operator="equal">
      <formula>0</formula>
    </cfRule>
  </conditionalFormatting>
  <conditionalFormatting sqref="AK10">
    <cfRule type="cellIs" dxfId="0" priority="101" operator="equal">
      <formula>0</formula>
    </cfRule>
  </conditionalFormatting>
  <conditionalFormatting sqref="AB11">
    <cfRule type="cellIs" dxfId="0" priority="180" operator="equal">
      <formula>0</formula>
    </cfRule>
  </conditionalFormatting>
  <conditionalFormatting sqref="AC11">
    <cfRule type="cellIs" dxfId="0" priority="179" operator="equal">
      <formula>0</formula>
    </cfRule>
  </conditionalFormatting>
  <conditionalFormatting sqref="AK11">
    <cfRule type="cellIs" dxfId="0" priority="243" operator="equal">
      <formula>0</formula>
    </cfRule>
  </conditionalFormatting>
  <conditionalFormatting sqref="AL11:AN11">
    <cfRule type="cellIs" dxfId="0" priority="244" operator="equal">
      <formula>0</formula>
    </cfRule>
  </conditionalFormatting>
  <conditionalFormatting sqref="AO11">
    <cfRule type="cellIs" dxfId="0" priority="241" operator="equal">
      <formula>0</formula>
    </cfRule>
  </conditionalFormatting>
  <conditionalFormatting sqref="AP11">
    <cfRule type="cellIs" dxfId="0" priority="242" operator="equal">
      <formula>0</formula>
    </cfRule>
  </conditionalFormatting>
  <conditionalFormatting sqref="AB12">
    <cfRule type="cellIs" dxfId="0" priority="380" operator="equal">
      <formula>0</formula>
    </cfRule>
  </conditionalFormatting>
  <conditionalFormatting sqref="AC12">
    <cfRule type="cellIs" dxfId="0" priority="310" operator="equal">
      <formula>0</formula>
    </cfRule>
  </conditionalFormatting>
  <conditionalFormatting sqref="AE12">
    <cfRule type="cellIs" dxfId="0" priority="245" operator="equal">
      <formula>0</formula>
    </cfRule>
  </conditionalFormatting>
  <conditionalFormatting sqref="AK12">
    <cfRule type="cellIs" dxfId="0" priority="407" operator="equal">
      <formula>0</formula>
    </cfRule>
  </conditionalFormatting>
  <conditionalFormatting sqref="AO12">
    <cfRule type="cellIs" dxfId="0" priority="361" operator="equal">
      <formula>0</formula>
    </cfRule>
  </conditionalFormatting>
  <conditionalFormatting sqref="AB13">
    <cfRule type="cellIs" dxfId="0" priority="104" operator="equal">
      <formula>0</formula>
    </cfRule>
  </conditionalFormatting>
  <conditionalFormatting sqref="AC13">
    <cfRule type="cellIs" dxfId="0" priority="103" operator="equal">
      <formula>0</formula>
    </cfRule>
  </conditionalFormatting>
  <conditionalFormatting sqref="AE13">
    <cfRule type="cellIs" dxfId="0" priority="102" operator="equal">
      <formula>0</formula>
    </cfRule>
  </conditionalFormatting>
  <conditionalFormatting sqref="AB14">
    <cfRule type="cellIs" dxfId="0" priority="15" operator="equal">
      <formula>0</formula>
    </cfRule>
  </conditionalFormatting>
  <conditionalFormatting sqref="AC14">
    <cfRule type="cellIs" dxfId="0" priority="14" operator="equal">
      <formula>0</formula>
    </cfRule>
  </conditionalFormatting>
  <conditionalFormatting sqref="AE14">
    <cfRule type="cellIs" dxfId="0" priority="13" operator="equal">
      <formula>0</formula>
    </cfRule>
  </conditionalFormatting>
  <conditionalFormatting sqref="AN14">
    <cfRule type="cellIs" dxfId="0" priority="73" operator="equal">
      <formula>0</formula>
    </cfRule>
  </conditionalFormatting>
  <conditionalFormatting sqref="AB15">
    <cfRule type="cellIs" dxfId="0" priority="19" operator="equal">
      <formula>0</formula>
    </cfRule>
  </conditionalFormatting>
  <conditionalFormatting sqref="AC15">
    <cfRule type="cellIs" dxfId="0" priority="18" operator="equal">
      <formula>0</formula>
    </cfRule>
  </conditionalFormatting>
  <conditionalFormatting sqref="AE15">
    <cfRule type="cellIs" dxfId="0" priority="22" operator="equal">
      <formula>0</formula>
    </cfRule>
  </conditionalFormatting>
  <conditionalFormatting sqref="AB16">
    <cfRule type="cellIs" dxfId="0" priority="247" operator="equal">
      <formula>0</formula>
    </cfRule>
  </conditionalFormatting>
  <conditionalFormatting sqref="AC16">
    <cfRule type="cellIs" dxfId="0" priority="246" operator="equal">
      <formula>0</formula>
    </cfRule>
  </conditionalFormatting>
  <conditionalFormatting sqref="AP16">
    <cfRule type="cellIs" dxfId="0" priority="72" operator="equal">
      <formula>0</formula>
    </cfRule>
  </conditionalFormatting>
  <conditionalFormatting sqref="AB17">
    <cfRule type="cellIs" dxfId="0" priority="108" operator="equal">
      <formula>0</formula>
    </cfRule>
  </conditionalFormatting>
  <conditionalFormatting sqref="AC17">
    <cfRule type="cellIs" dxfId="0" priority="107" operator="equal">
      <formula>0</formula>
    </cfRule>
  </conditionalFormatting>
  <conditionalFormatting sqref="AE17">
    <cfRule type="cellIs" dxfId="0" priority="111" operator="equal">
      <formula>0</formula>
    </cfRule>
  </conditionalFormatting>
  <conditionalFormatting sqref="AN17">
    <cfRule type="cellIs" dxfId="0" priority="70" operator="equal">
      <formula>0</formula>
    </cfRule>
  </conditionalFormatting>
  <conditionalFormatting sqref="AP17">
    <cfRule type="cellIs" dxfId="0" priority="71" operator="equal">
      <formula>0</formula>
    </cfRule>
  </conditionalFormatting>
  <conditionalFormatting sqref="AB18">
    <cfRule type="cellIs" dxfId="0" priority="382" operator="equal">
      <formula>0</formula>
    </cfRule>
  </conditionalFormatting>
  <conditionalFormatting sqref="AC18">
    <cfRule type="cellIs" dxfId="0" priority="312" operator="equal">
      <formula>0</formula>
    </cfRule>
  </conditionalFormatting>
  <conditionalFormatting sqref="AK18">
    <cfRule type="cellIs" dxfId="0" priority="239" operator="equal">
      <formula>0</formula>
    </cfRule>
  </conditionalFormatting>
  <conditionalFormatting sqref="AO18">
    <cfRule type="cellIs" dxfId="0" priority="238" operator="equal">
      <formula>0</formula>
    </cfRule>
  </conditionalFormatting>
  <conditionalFormatting sqref="W19">
    <cfRule type="cellIs" dxfId="0" priority="412" operator="equal">
      <formula>0</formula>
    </cfRule>
  </conditionalFormatting>
  <conditionalFormatting sqref="AK19">
    <cfRule type="cellIs" dxfId="0" priority="216" operator="equal">
      <formula>0</formula>
    </cfRule>
  </conditionalFormatting>
  <conditionalFormatting sqref="AN19">
    <cfRule type="cellIs" dxfId="0" priority="212" operator="equal">
      <formula>0</formula>
    </cfRule>
  </conditionalFormatting>
  <conditionalFormatting sqref="AO19">
    <cfRule type="cellIs" dxfId="0" priority="214" operator="equal">
      <formula>0</formula>
    </cfRule>
  </conditionalFormatting>
  <conditionalFormatting sqref="W20">
    <cfRule type="cellIs" dxfId="0" priority="176" operator="equal">
      <formula>0</formula>
    </cfRule>
  </conditionalFormatting>
  <conditionalFormatting sqref="AB20">
    <cfRule type="cellIs" dxfId="0" priority="175" operator="equal">
      <formula>0</formula>
    </cfRule>
  </conditionalFormatting>
  <conditionalFormatting sqref="AC20">
    <cfRule type="cellIs" dxfId="0" priority="174" operator="equal">
      <formula>0</formula>
    </cfRule>
  </conditionalFormatting>
  <conditionalFormatting sqref="AE20">
    <cfRule type="cellIs" dxfId="0" priority="173" operator="equal">
      <formula>0</formula>
    </cfRule>
  </conditionalFormatting>
  <conditionalFormatting sqref="AK20">
    <cfRule type="cellIs" dxfId="0" priority="193" operator="equal">
      <formula>0</formula>
    </cfRule>
  </conditionalFormatting>
  <conditionalFormatting sqref="AN20">
    <cfRule type="cellIs" dxfId="0" priority="191" operator="equal">
      <formula>0</formula>
    </cfRule>
  </conditionalFormatting>
  <conditionalFormatting sqref="AO20">
    <cfRule type="cellIs" dxfId="0" priority="192" operator="equal">
      <formula>0</formula>
    </cfRule>
  </conditionalFormatting>
  <conditionalFormatting sqref="AB21">
    <cfRule type="cellIs" dxfId="0" priority="378" operator="equal">
      <formula>0</formula>
    </cfRule>
  </conditionalFormatting>
  <conditionalFormatting sqref="AC21">
    <cfRule type="cellIs" dxfId="0" priority="308" operator="equal">
      <formula>0</formula>
    </cfRule>
  </conditionalFormatting>
  <conditionalFormatting sqref="AK21">
    <cfRule type="cellIs" dxfId="0" priority="171" operator="equal">
      <formula>0</formula>
    </cfRule>
  </conditionalFormatting>
  <conditionalFormatting sqref="AN21">
    <cfRule type="cellIs" dxfId="0" priority="169" operator="equal">
      <formula>0</formula>
    </cfRule>
  </conditionalFormatting>
  <conditionalFormatting sqref="AO21">
    <cfRule type="cellIs" dxfId="0" priority="170" operator="equal">
      <formula>0</formula>
    </cfRule>
  </conditionalFormatting>
  <conditionalFormatting sqref="AK22">
    <cfRule type="cellIs" dxfId="0" priority="25" operator="equal">
      <formula>0</formula>
    </cfRule>
  </conditionalFormatting>
  <conditionalFormatting sqref="AN22">
    <cfRule type="cellIs" dxfId="0" priority="23" operator="equal">
      <formula>0</formula>
    </cfRule>
  </conditionalFormatting>
  <conditionalFormatting sqref="AO22">
    <cfRule type="cellIs" dxfId="0" priority="24" operator="equal">
      <formula>0</formula>
    </cfRule>
  </conditionalFormatting>
  <conditionalFormatting sqref="Y23">
    <cfRule type="cellIs" dxfId="0" priority="209" operator="equal">
      <formula>0</formula>
    </cfRule>
  </conditionalFormatting>
  <conditionalFormatting sqref="AB23">
    <cfRule type="cellIs" dxfId="0" priority="206" operator="equal">
      <formula>0</formula>
    </cfRule>
  </conditionalFormatting>
  <conditionalFormatting sqref="AC23">
    <cfRule type="cellIs" dxfId="0" priority="205" operator="equal">
      <formula>0</formula>
    </cfRule>
  </conditionalFormatting>
  <conditionalFormatting sqref="AK23">
    <cfRule type="cellIs" dxfId="0" priority="215" operator="equal">
      <formula>0</formula>
    </cfRule>
  </conditionalFormatting>
  <conditionalFormatting sqref="AN23">
    <cfRule type="cellIs" dxfId="0" priority="211" operator="equal">
      <formula>0</formula>
    </cfRule>
  </conditionalFormatting>
  <conditionalFormatting sqref="AO23">
    <cfRule type="cellIs" dxfId="0" priority="213" operator="equal">
      <formula>0</formula>
    </cfRule>
  </conditionalFormatting>
  <conditionalFormatting sqref="Y24:AA24">
    <cfRule type="cellIs" dxfId="0" priority="401" operator="equal">
      <formula>0</formula>
    </cfRule>
  </conditionalFormatting>
  <conditionalFormatting sqref="AB24">
    <cfRule type="cellIs" dxfId="0" priority="377" operator="equal">
      <formula>0</formula>
    </cfRule>
  </conditionalFormatting>
  <conditionalFormatting sqref="AC24">
    <cfRule type="cellIs" dxfId="0" priority="307" operator="equal">
      <formula>0</formula>
    </cfRule>
  </conditionalFormatting>
  <conditionalFormatting sqref="Y25:AA25">
    <cfRule type="cellIs" dxfId="0" priority="31" operator="equal">
      <formula>0</formula>
    </cfRule>
  </conditionalFormatting>
  <conditionalFormatting sqref="AB25">
    <cfRule type="cellIs" dxfId="0" priority="30" operator="equal">
      <formula>0</formula>
    </cfRule>
  </conditionalFormatting>
  <conditionalFormatting sqref="AC25">
    <cfRule type="cellIs" dxfId="0" priority="29" operator="equal">
      <formula>0</formula>
    </cfRule>
  </conditionalFormatting>
  <conditionalFormatting sqref="AE25">
    <cfRule type="cellIs" dxfId="0" priority="28" operator="equal">
      <formula>0</formula>
    </cfRule>
  </conditionalFormatting>
  <conditionalFormatting sqref="Y26:AA26">
    <cfRule type="cellIs" dxfId="0" priority="336" operator="equal">
      <formula>0</formula>
    </cfRule>
  </conditionalFormatting>
  <conditionalFormatting sqref="AB26">
    <cfRule type="cellIs" dxfId="0" priority="334" operator="equal">
      <formula>0</formula>
    </cfRule>
  </conditionalFormatting>
  <conditionalFormatting sqref="AC26">
    <cfRule type="cellIs" dxfId="0" priority="299" operator="equal">
      <formula>0</formula>
    </cfRule>
  </conditionalFormatting>
  <conditionalFormatting sqref="W27">
    <cfRule type="cellIs" dxfId="0" priority="324" operator="equal">
      <formula>0</formula>
    </cfRule>
  </conditionalFormatting>
  <conditionalFormatting sqref="AB27">
    <cfRule type="cellIs" dxfId="0" priority="320" operator="equal">
      <formula>0</formula>
    </cfRule>
  </conditionalFormatting>
  <conditionalFormatting sqref="AC27">
    <cfRule type="cellIs" dxfId="0" priority="297" operator="equal">
      <formula>0</formula>
    </cfRule>
  </conditionalFormatting>
  <conditionalFormatting sqref="W28">
    <cfRule type="cellIs" dxfId="0" priority="394" operator="equal">
      <formula>0</formula>
    </cfRule>
  </conditionalFormatting>
  <conditionalFormatting sqref="AB28">
    <cfRule type="cellIs" dxfId="0" priority="375" operator="equal">
      <formula>0</formula>
    </cfRule>
  </conditionalFormatting>
  <conditionalFormatting sqref="AC28">
    <cfRule type="cellIs" dxfId="0" priority="305" operator="equal">
      <formula>0</formula>
    </cfRule>
  </conditionalFormatting>
  <conditionalFormatting sqref="AE28">
    <cfRule type="cellIs" dxfId="0" priority="224" operator="equal">
      <formula>0</formula>
    </cfRule>
  </conditionalFormatting>
  <conditionalFormatting sqref="W29">
    <cfRule type="cellIs" dxfId="0" priority="69" operator="equal">
      <formula>0</formula>
    </cfRule>
  </conditionalFormatting>
  <conditionalFormatting sqref="AB29">
    <cfRule type="cellIs" dxfId="0" priority="66" operator="equal">
      <formula>0</formula>
    </cfRule>
  </conditionalFormatting>
  <conditionalFormatting sqref="AC29">
    <cfRule type="cellIs" dxfId="0" priority="65" operator="equal">
      <formula>0</formula>
    </cfRule>
  </conditionalFormatting>
  <conditionalFormatting sqref="AE29">
    <cfRule type="cellIs" dxfId="0" priority="64" operator="equal">
      <formula>0</formula>
    </cfRule>
  </conditionalFormatting>
  <conditionalFormatting sqref="W30">
    <cfRule type="cellIs" dxfId="0" priority="138" operator="equal">
      <formula>0</formula>
    </cfRule>
  </conditionalFormatting>
  <conditionalFormatting sqref="AB30">
    <cfRule type="cellIs" dxfId="0" priority="135" operator="equal">
      <formula>0</formula>
    </cfRule>
  </conditionalFormatting>
  <conditionalFormatting sqref="AC30">
    <cfRule type="cellIs" dxfId="0" priority="134" operator="equal">
      <formula>0</formula>
    </cfRule>
  </conditionalFormatting>
  <conditionalFormatting sqref="AE30">
    <cfRule type="cellIs" dxfId="0" priority="133" operator="equal">
      <formula>0</formula>
    </cfRule>
  </conditionalFormatting>
  <conditionalFormatting sqref="W31">
    <cfRule type="cellIs" dxfId="0" priority="230" operator="equal">
      <formula>0</formula>
    </cfRule>
  </conditionalFormatting>
  <conditionalFormatting sqref="Y31">
    <cfRule type="cellIs" dxfId="0" priority="225" operator="equal">
      <formula>0</formula>
    </cfRule>
  </conditionalFormatting>
  <conditionalFormatting sqref="AB31">
    <cfRule type="cellIs" dxfId="0" priority="227" operator="equal">
      <formula>0</formula>
    </cfRule>
  </conditionalFormatting>
  <conditionalFormatting sqref="AC31">
    <cfRule type="cellIs" dxfId="0" priority="226" operator="equal">
      <formula>0</formula>
    </cfRule>
  </conditionalFormatting>
  <conditionalFormatting sqref="AB32">
    <cfRule type="cellIs" dxfId="0" priority="221" operator="equal">
      <formula>0</formula>
    </cfRule>
  </conditionalFormatting>
  <conditionalFormatting sqref="AC32">
    <cfRule type="cellIs" dxfId="0" priority="220" operator="equal">
      <formula>0</formula>
    </cfRule>
  </conditionalFormatting>
  <conditionalFormatting sqref="AE32">
    <cfRule type="cellIs" dxfId="0" priority="219" operator="equal">
      <formula>0</formula>
    </cfRule>
  </conditionalFormatting>
  <conditionalFormatting sqref="AB33">
    <cfRule type="cellIs" dxfId="0" priority="130" operator="equal">
      <formula>0</formula>
    </cfRule>
  </conditionalFormatting>
  <conditionalFormatting sqref="AC33">
    <cfRule type="cellIs" dxfId="0" priority="129" operator="equal">
      <formula>0</formula>
    </cfRule>
  </conditionalFormatting>
  <conditionalFormatting sqref="AE33">
    <cfRule type="cellIs" dxfId="0" priority="128" operator="equal">
      <formula>0</formula>
    </cfRule>
  </conditionalFormatting>
  <conditionalFormatting sqref="AB34">
    <cfRule type="cellIs" dxfId="0" priority="201" operator="equal">
      <formula>0</formula>
    </cfRule>
  </conditionalFormatting>
  <conditionalFormatting sqref="AC34">
    <cfRule type="cellIs" dxfId="0" priority="200" operator="equal">
      <formula>0</formula>
    </cfRule>
  </conditionalFormatting>
  <conditionalFormatting sqref="AE34">
    <cfRule type="cellIs" dxfId="0" priority="199" operator="equal">
      <formula>0</formula>
    </cfRule>
  </conditionalFormatting>
  <conditionalFormatting sqref="Y35">
    <cfRule type="cellIs" dxfId="0" priority="185" operator="equal">
      <formula>0</formula>
    </cfRule>
  </conditionalFormatting>
  <conditionalFormatting sqref="AA35">
    <cfRule type="cellIs" dxfId="0" priority="183" operator="equal">
      <formula>0</formula>
    </cfRule>
  </conditionalFormatting>
  <conditionalFormatting sqref="Y36">
    <cfRule type="cellIs" dxfId="0" priority="395" operator="equal">
      <formula>0</formula>
    </cfRule>
  </conditionalFormatting>
  <conditionalFormatting sqref="AB37">
    <cfRule type="cellIs" dxfId="0" priority="381" operator="equal">
      <formula>0</formula>
    </cfRule>
  </conditionalFormatting>
  <conditionalFormatting sqref="AC37">
    <cfRule type="cellIs" dxfId="0" priority="311" operator="equal">
      <formula>0</formula>
    </cfRule>
  </conditionalFormatting>
  <conditionalFormatting sqref="AE37">
    <cfRule type="cellIs" dxfId="0" priority="264" operator="equal">
      <formula>0</formula>
    </cfRule>
  </conditionalFormatting>
  <conditionalFormatting sqref="AB38">
    <cfRule type="cellIs" dxfId="0" priority="196" operator="equal">
      <formula>0</formula>
    </cfRule>
  </conditionalFormatting>
  <conditionalFormatting sqref="AC38">
    <cfRule type="cellIs" dxfId="0" priority="195" operator="equal">
      <formula>0</formula>
    </cfRule>
  </conditionalFormatting>
  <conditionalFormatting sqref="AE38">
    <cfRule type="cellIs" dxfId="0" priority="269" operator="equal">
      <formula>0</formula>
    </cfRule>
  </conditionalFormatting>
  <conditionalFormatting sqref="AB39">
    <cfRule type="cellIs" dxfId="0" priority="271" operator="equal">
      <formula>0</formula>
    </cfRule>
  </conditionalFormatting>
  <conditionalFormatting sqref="AC39">
    <cfRule type="cellIs" dxfId="0" priority="270" operator="equal">
      <formula>0</formula>
    </cfRule>
  </conditionalFormatting>
  <conditionalFormatting sqref="W40">
    <cfRule type="cellIs" dxfId="0" priority="351" operator="equal">
      <formula>0</formula>
    </cfRule>
  </conditionalFormatting>
  <conditionalFormatting sqref="AB40">
    <cfRule type="cellIs" dxfId="0" priority="347" operator="equal">
      <formula>0</formula>
    </cfRule>
  </conditionalFormatting>
  <conditionalFormatting sqref="AC40">
    <cfRule type="cellIs" dxfId="0" priority="302" operator="equal">
      <formula>0</formula>
    </cfRule>
  </conditionalFormatting>
  <conditionalFormatting sqref="AE41">
    <cfRule type="cellIs" dxfId="0" priority="290" operator="equal">
      <formula>0</formula>
    </cfRule>
  </conditionalFormatting>
  <conditionalFormatting sqref="W42">
    <cfRule type="cellIs" dxfId="0" priority="295" operator="equal">
      <formula>0</formula>
    </cfRule>
  </conditionalFormatting>
  <conditionalFormatting sqref="AB42">
    <cfRule type="cellIs" dxfId="0" priority="292" operator="equal">
      <formula>0</formula>
    </cfRule>
  </conditionalFormatting>
  <conditionalFormatting sqref="AC42">
    <cfRule type="cellIs" dxfId="0" priority="291" operator="equal">
      <formula>0</formula>
    </cfRule>
  </conditionalFormatting>
  <conditionalFormatting sqref="AB45">
    <cfRule type="cellIs" dxfId="0" priority="161" operator="equal">
      <formula>0</formula>
    </cfRule>
  </conditionalFormatting>
  <conditionalFormatting sqref="AC45">
    <cfRule type="cellIs" dxfId="0" priority="160" operator="equal">
      <formula>0</formula>
    </cfRule>
  </conditionalFormatting>
  <conditionalFormatting sqref="AE45">
    <cfRule type="cellIs" dxfId="0" priority="159" operator="equal">
      <formula>0</formula>
    </cfRule>
  </conditionalFormatting>
  <conditionalFormatting sqref="AB46">
    <cfRule type="cellIs" dxfId="0" priority="388" operator="equal">
      <formula>0</formula>
    </cfRule>
  </conditionalFormatting>
  <conditionalFormatting sqref="AC46">
    <cfRule type="cellIs" dxfId="0" priority="317" operator="equal">
      <formula>0</formula>
    </cfRule>
  </conditionalFormatting>
  <conditionalFormatting sqref="AE46">
    <cfRule type="cellIs" dxfId="0" priority="274" operator="equal">
      <formula>0</formula>
    </cfRule>
  </conditionalFormatting>
  <conditionalFormatting sqref="AB47">
    <cfRule type="cellIs" dxfId="0" priority="166" operator="equal">
      <formula>0</formula>
    </cfRule>
  </conditionalFormatting>
  <conditionalFormatting sqref="AC47">
    <cfRule type="cellIs" dxfId="0" priority="165" operator="equal">
      <formula>0</formula>
    </cfRule>
  </conditionalFormatting>
  <conditionalFormatting sqref="AE47">
    <cfRule type="cellIs" dxfId="0" priority="164" operator="equal">
      <formula>0</formula>
    </cfRule>
  </conditionalFormatting>
  <conditionalFormatting sqref="AB48">
    <cfRule type="cellIs" dxfId="0" priority="146" operator="equal">
      <formula>0</formula>
    </cfRule>
  </conditionalFormatting>
  <conditionalFormatting sqref="AC48">
    <cfRule type="cellIs" dxfId="0" priority="145" operator="equal">
      <formula>0</formula>
    </cfRule>
  </conditionalFormatting>
  <conditionalFormatting sqref="AE48">
    <cfRule type="cellIs" dxfId="0" priority="144" operator="equal">
      <formula>0</formula>
    </cfRule>
  </conditionalFormatting>
  <conditionalFormatting sqref="AB49">
    <cfRule type="cellIs" dxfId="0" priority="156" operator="equal">
      <formula>0</formula>
    </cfRule>
  </conditionalFormatting>
  <conditionalFormatting sqref="AC49">
    <cfRule type="cellIs" dxfId="0" priority="155" operator="equal">
      <formula>0</formula>
    </cfRule>
  </conditionalFormatting>
  <conditionalFormatting sqref="AE49">
    <cfRule type="cellIs" dxfId="0" priority="154" operator="equal">
      <formula>0</formula>
    </cfRule>
  </conditionalFormatting>
  <conditionalFormatting sqref="AB50">
    <cfRule type="cellIs" dxfId="0" priority="151" operator="equal">
      <formula>0</formula>
    </cfRule>
  </conditionalFormatting>
  <conditionalFormatting sqref="AC50">
    <cfRule type="cellIs" dxfId="0" priority="150" operator="equal">
      <formula>0</formula>
    </cfRule>
  </conditionalFormatting>
  <conditionalFormatting sqref="AE50">
    <cfRule type="cellIs" dxfId="0" priority="149" operator="equal">
      <formula>0</formula>
    </cfRule>
  </conditionalFormatting>
  <conditionalFormatting sqref="AB51">
    <cfRule type="cellIs" dxfId="0" priority="141" operator="equal">
      <formula>0</formula>
    </cfRule>
  </conditionalFormatting>
  <conditionalFormatting sqref="AC51">
    <cfRule type="cellIs" dxfId="0" priority="140" operator="equal">
      <formula>0</formula>
    </cfRule>
  </conditionalFormatting>
  <conditionalFormatting sqref="AE51">
    <cfRule type="cellIs" dxfId="0" priority="139" operator="equal">
      <formula>0</formula>
    </cfRule>
  </conditionalFormatting>
  <conditionalFormatting sqref="U55">
    <cfRule type="cellIs" dxfId="0" priority="2" operator="equal">
      <formula>0</formula>
    </cfRule>
  </conditionalFormatting>
  <conditionalFormatting sqref="AB55">
    <cfRule type="cellIs" dxfId="0" priority="10" operator="equal">
      <formula>0</formula>
    </cfRule>
  </conditionalFormatting>
  <conditionalFormatting sqref="AC55">
    <cfRule type="cellIs" dxfId="0" priority="9" operator="equal">
      <formula>0</formula>
    </cfRule>
  </conditionalFormatting>
  <conditionalFormatting sqref="AE55">
    <cfRule type="cellIs" dxfId="0" priority="8" operator="equal">
      <formula>0</formula>
    </cfRule>
  </conditionalFormatting>
  <conditionalFormatting sqref="U56">
    <cfRule type="cellIs" dxfId="0" priority="1" operator="equal">
      <formula>0</formula>
    </cfRule>
  </conditionalFormatting>
  <conditionalFormatting sqref="AB56">
    <cfRule type="cellIs" dxfId="0" priority="5" operator="equal">
      <formula>0</formula>
    </cfRule>
  </conditionalFormatting>
  <conditionalFormatting sqref="AC56">
    <cfRule type="cellIs" dxfId="0" priority="4" operator="equal">
      <formula>0</formula>
    </cfRule>
  </conditionalFormatting>
  <conditionalFormatting sqref="AE56">
    <cfRule type="cellIs" dxfId="0" priority="3" operator="equal">
      <formula>0</formula>
    </cfRule>
  </conditionalFormatting>
  <conditionalFormatting sqref="AB57">
    <cfRule type="cellIs" dxfId="0" priority="276" operator="equal">
      <formula>0</formula>
    </cfRule>
  </conditionalFormatting>
  <conditionalFormatting sqref="AC57">
    <cfRule type="cellIs" dxfId="0" priority="275" operator="equal">
      <formula>0</formula>
    </cfRule>
  </conditionalFormatting>
  <conditionalFormatting sqref="AB58">
    <cfRule type="cellIs" dxfId="0" priority="75" operator="equal">
      <formula>0</formula>
    </cfRule>
  </conditionalFormatting>
  <conditionalFormatting sqref="AC58">
    <cfRule type="cellIs" dxfId="0" priority="74" operator="equal">
      <formula>0</formula>
    </cfRule>
  </conditionalFormatting>
  <conditionalFormatting sqref="AE58">
    <cfRule type="cellIs" dxfId="0" priority="78" operator="equal">
      <formula>0</formula>
    </cfRule>
  </conditionalFormatting>
  <conditionalFormatting sqref="AB59">
    <cfRule type="cellIs" dxfId="0" priority="124" operator="equal">
      <formula>0</formula>
    </cfRule>
  </conditionalFormatting>
  <conditionalFormatting sqref="AC59">
    <cfRule type="cellIs" dxfId="0" priority="123" operator="equal">
      <formula>0</formula>
    </cfRule>
  </conditionalFormatting>
  <conditionalFormatting sqref="AE59">
    <cfRule type="cellIs" dxfId="0" priority="127" operator="equal">
      <formula>0</formula>
    </cfRule>
  </conditionalFormatting>
  <conditionalFormatting sqref="AB60">
    <cfRule type="cellIs" dxfId="0" priority="113" operator="equal">
      <formula>0</formula>
    </cfRule>
  </conditionalFormatting>
  <conditionalFormatting sqref="AC60">
    <cfRule type="cellIs" dxfId="0" priority="112" operator="equal">
      <formula>0</formula>
    </cfRule>
  </conditionalFormatting>
  <conditionalFormatting sqref="AE60">
    <cfRule type="cellIs" dxfId="0" priority="116" operator="equal">
      <formula>0</formula>
    </cfRule>
  </conditionalFormatting>
  <conditionalFormatting sqref="AB61">
    <cfRule type="cellIs" dxfId="0" priority="97" operator="equal">
      <formula>0</formula>
    </cfRule>
  </conditionalFormatting>
  <conditionalFormatting sqref="AC61">
    <cfRule type="cellIs" dxfId="0" priority="96" operator="equal">
      <formula>0</formula>
    </cfRule>
  </conditionalFormatting>
  <conditionalFormatting sqref="AE61">
    <cfRule type="cellIs" dxfId="0" priority="100" operator="equal">
      <formula>0</formula>
    </cfRule>
  </conditionalFormatting>
  <conditionalFormatting sqref="AB62">
    <cfRule type="cellIs" dxfId="0" priority="92" operator="equal">
      <formula>0</formula>
    </cfRule>
  </conditionalFormatting>
  <conditionalFormatting sqref="AC62">
    <cfRule type="cellIs" dxfId="0" priority="91" operator="equal">
      <formula>0</formula>
    </cfRule>
  </conditionalFormatting>
  <conditionalFormatting sqref="AE62">
    <cfRule type="cellIs" dxfId="0" priority="95" operator="equal">
      <formula>0</formula>
    </cfRule>
  </conditionalFormatting>
  <conditionalFormatting sqref="AB63">
    <cfRule type="cellIs" dxfId="0" priority="80" operator="equal">
      <formula>0</formula>
    </cfRule>
  </conditionalFormatting>
  <conditionalFormatting sqref="AC63">
    <cfRule type="cellIs" dxfId="0" priority="79" operator="equal">
      <formula>0</formula>
    </cfRule>
  </conditionalFormatting>
  <conditionalFormatting sqref="AE63">
    <cfRule type="cellIs" dxfId="0" priority="83" operator="equal">
      <formula>0</formula>
    </cfRule>
  </conditionalFormatting>
  <conditionalFormatting sqref="W64">
    <cfRule type="cellIs" dxfId="0" priority="122" operator="equal">
      <formula>0</formula>
    </cfRule>
  </conditionalFormatting>
  <conditionalFormatting sqref="AB64">
    <cfRule type="cellIs" dxfId="0" priority="119" operator="equal">
      <formula>0</formula>
    </cfRule>
  </conditionalFormatting>
  <conditionalFormatting sqref="AC64">
    <cfRule type="cellIs" dxfId="0" priority="118" operator="equal">
      <formula>0</formula>
    </cfRule>
  </conditionalFormatting>
  <conditionalFormatting sqref="AE64">
    <cfRule type="cellIs" dxfId="0" priority="117" operator="equal">
      <formula>0</formula>
    </cfRule>
  </conditionalFormatting>
  <conditionalFormatting sqref="W65">
    <cfRule type="cellIs" dxfId="0" priority="63" operator="equal">
      <formula>0</formula>
    </cfRule>
  </conditionalFormatting>
  <conditionalFormatting sqref="AB65">
    <cfRule type="cellIs" dxfId="0" priority="60" operator="equal">
      <formula>0</formula>
    </cfRule>
  </conditionalFormatting>
  <conditionalFormatting sqref="AC65">
    <cfRule type="cellIs" dxfId="0" priority="59" operator="equal">
      <formula>0</formula>
    </cfRule>
  </conditionalFormatting>
  <conditionalFormatting sqref="AE65">
    <cfRule type="cellIs" dxfId="0" priority="58" operator="equal">
      <formula>0</formula>
    </cfRule>
  </conditionalFormatting>
  <conditionalFormatting sqref="W66">
    <cfRule type="cellIs" dxfId="0" priority="57" operator="equal">
      <formula>0</formula>
    </cfRule>
  </conditionalFormatting>
  <conditionalFormatting sqref="AB66">
    <cfRule type="cellIs" dxfId="0" priority="51" operator="equal">
      <formula>0</formula>
    </cfRule>
  </conditionalFormatting>
  <conditionalFormatting sqref="AC66">
    <cfRule type="cellIs" dxfId="0" priority="49" operator="equal">
      <formula>0</formula>
    </cfRule>
  </conditionalFormatting>
  <conditionalFormatting sqref="AE66">
    <cfRule type="cellIs" dxfId="0" priority="47" operator="equal">
      <formula>0</formula>
    </cfRule>
  </conditionalFormatting>
  <conditionalFormatting sqref="W67">
    <cfRule type="cellIs" dxfId="0" priority="56" operator="equal">
      <formula>0</formula>
    </cfRule>
  </conditionalFormatting>
  <conditionalFormatting sqref="AB67">
    <cfRule type="cellIs" dxfId="0" priority="50" operator="equal">
      <formula>0</formula>
    </cfRule>
  </conditionalFormatting>
  <conditionalFormatting sqref="AC67">
    <cfRule type="cellIs" dxfId="0" priority="48" operator="equal">
      <formula>0</formula>
    </cfRule>
  </conditionalFormatting>
  <conditionalFormatting sqref="AE67">
    <cfRule type="cellIs" dxfId="0" priority="46" operator="equal">
      <formula>0</formula>
    </cfRule>
  </conditionalFormatting>
  <conditionalFormatting sqref="W68">
    <cfRule type="cellIs" dxfId="0" priority="45" operator="equal">
      <formula>0</formula>
    </cfRule>
  </conditionalFormatting>
  <conditionalFormatting sqref="AB68">
    <cfRule type="cellIs" dxfId="0" priority="39" operator="equal">
      <formula>0</formula>
    </cfRule>
  </conditionalFormatting>
  <conditionalFormatting sqref="AC68">
    <cfRule type="cellIs" dxfId="0" priority="37" operator="equal">
      <formula>0</formula>
    </cfRule>
  </conditionalFormatting>
  <conditionalFormatting sqref="AE68">
    <cfRule type="cellIs" dxfId="0" priority="35" operator="equal">
      <formula>0</formula>
    </cfRule>
  </conditionalFormatting>
  <conditionalFormatting sqref="W69">
    <cfRule type="cellIs" dxfId="0" priority="44" operator="equal">
      <formula>0</formula>
    </cfRule>
  </conditionalFormatting>
  <conditionalFormatting sqref="AB69">
    <cfRule type="cellIs" dxfId="0" priority="38" operator="equal">
      <formula>0</formula>
    </cfRule>
  </conditionalFormatting>
  <conditionalFormatting sqref="AC69">
    <cfRule type="cellIs" dxfId="0" priority="36" operator="equal">
      <formula>0</formula>
    </cfRule>
  </conditionalFormatting>
  <conditionalFormatting sqref="AE69">
    <cfRule type="cellIs" dxfId="0" priority="34" operator="equal">
      <formula>0</formula>
    </cfRule>
  </conditionalFormatting>
  <conditionalFormatting sqref="AB70">
    <cfRule type="cellIs" dxfId="0" priority="384" operator="equal">
      <formula>0</formula>
    </cfRule>
  </conditionalFormatting>
  <conditionalFormatting sqref="AC70">
    <cfRule type="cellIs" dxfId="0" priority="314" operator="equal">
      <formula>0</formula>
    </cfRule>
  </conditionalFormatting>
  <conditionalFormatting sqref="AB52:AB54">
    <cfRule type="cellIs" dxfId="0" priority="387" operator="equal">
      <formula>0</formula>
    </cfRule>
  </conditionalFormatting>
  <conditionalFormatting sqref="AC52:AC54">
    <cfRule type="cellIs" dxfId="0" priority="316" operator="equal">
      <formula>0</formula>
    </cfRule>
  </conditionalFormatting>
  <conditionalFormatting sqref="AU5:AU38 AU39:XFD1048576 AU1:AW4 AW9:AW13 AX1:XFD38 AV10:AV13 AV14:AW38">
    <cfRule type="cellIs" dxfId="0" priority="452" operator="equal">
      <formula>0</formula>
    </cfRule>
  </conditionalFormatting>
  <conditionalFormatting sqref="S2:S3 AQ6:AQ7 AF7:AF10 AQ9:AQ11 X10:AA10 AF2:AF3 X2:AA3 S10 AQ2:AT2 AQ3 X22:AA22 X18:X19 S22 X44:AA44 S44 Y19:AA19 S19">
    <cfRule type="cellIs" dxfId="0" priority="451" operator="equal">
      <formula>0</formula>
    </cfRule>
  </conditionalFormatting>
  <conditionalFormatting sqref="T2:W3 AD2:AD3 T8:V8 W7:W8 AD8 AD10 T10:W10 T22:W22 AD44 AD52:AD54 T44:W44 AD19 AD46 T46:W46 T52:W54 T19:V19 AD22 W70">
    <cfRule type="cellIs" dxfId="0" priority="443" operator="equal">
      <formula>0</formula>
    </cfRule>
  </conditionalFormatting>
  <conditionalFormatting sqref="AB2:AB3 AB10 AB19 AB22 AB44">
    <cfRule type="cellIs" dxfId="0" priority="390" operator="equal">
      <formula>0</formula>
    </cfRule>
  </conditionalFormatting>
  <conditionalFormatting sqref="AC2:AC3 AC10 AC19 AC22 AC44">
    <cfRule type="cellIs" dxfId="0" priority="319" operator="equal">
      <formula>0</formula>
    </cfRule>
  </conditionalFormatting>
  <conditionalFormatting sqref="AE2:AE4 AE10:AE11 AE6:AE8 AE18:AE19 AE21:AE24 AE35:AE36 AE44 AE16 AE52:AE54 AE39 AE26:AE27 AE57 AE70">
    <cfRule type="cellIs" dxfId="0" priority="296" operator="equal">
      <formula>0</formula>
    </cfRule>
  </conditionalFormatting>
  <conditionalFormatting sqref="AK2:AK3 AK9 AK7">
    <cfRule type="cellIs" dxfId="0" priority="422" operator="equal">
      <formula>0</formula>
    </cfRule>
  </conditionalFormatting>
  <conditionalFormatting sqref="AL2 AP2 AN2">
    <cfRule type="cellIs" dxfId="0" priority="441" operator="equal">
      <formula>0</formula>
    </cfRule>
  </conditionalFormatting>
  <conditionalFormatting sqref="AF4 AG3:AJ3 AQ4 AP3 AL3:AN3">
    <cfRule type="cellIs" dxfId="0" priority="450" operator="equal">
      <formula>0</formula>
    </cfRule>
  </conditionalFormatting>
  <conditionalFormatting sqref="AR3:AT5 AR7:AT7 AR9:AT12">
    <cfRule type="cellIs" dxfId="0" priority="446" operator="equal">
      <formula>0</formula>
    </cfRule>
  </conditionalFormatting>
  <conditionalFormatting sqref="T4:V4 AD4">
    <cfRule type="cellIs" dxfId="0" priority="397" operator="equal">
      <formula>0</formula>
    </cfRule>
  </conditionalFormatting>
  <conditionalFormatting sqref="AG4:AJ4 AL4:AN4 AP4">
    <cfRule type="cellIs" dxfId="0" priority="327" operator="equal">
      <formula>0</formula>
    </cfRule>
  </conditionalFormatting>
  <conditionalFormatting sqref="S8 AF5 X8:AA8 AL7:AN7 AQ5">
    <cfRule type="cellIs" dxfId="0" priority="449" operator="equal">
      <formula>0</formula>
    </cfRule>
  </conditionalFormatting>
  <conditionalFormatting sqref="T5:V5 AD5">
    <cfRule type="cellIs" dxfId="0" priority="88" operator="equal">
      <formula>0</formula>
    </cfRule>
  </conditionalFormatting>
  <conditionalFormatting sqref="AD6 T6:W6">
    <cfRule type="cellIs" dxfId="0" priority="410" operator="equal">
      <formula>0</formula>
    </cfRule>
  </conditionalFormatting>
  <conditionalFormatting sqref="AD7 T7:V7">
    <cfRule type="cellIs" dxfId="0" priority="437" operator="equal">
      <formula>0</formula>
    </cfRule>
  </conditionalFormatting>
  <conditionalFormatting sqref="S9 X9:AA9">
    <cfRule type="cellIs" dxfId="0" priority="190" operator="equal">
      <formula>0</formula>
    </cfRule>
  </conditionalFormatting>
  <conditionalFormatting sqref="T9:W9 AD9">
    <cfRule type="cellIs" dxfId="0" priority="189" operator="equal">
      <formula>0</formula>
    </cfRule>
  </conditionalFormatting>
  <conditionalFormatting sqref="X11:AA11 S11">
    <cfRule type="cellIs" dxfId="0" priority="182" operator="equal">
      <formula>0</formula>
    </cfRule>
  </conditionalFormatting>
  <conditionalFormatting sqref="T11:W11 AD11">
    <cfRule type="cellIs" dxfId="0" priority="181" operator="equal">
      <formula>0</formula>
    </cfRule>
  </conditionalFormatting>
  <conditionalFormatting sqref="X12:AA12 S12">
    <cfRule type="cellIs" dxfId="0" priority="415" operator="equal">
      <formula>0</formula>
    </cfRule>
  </conditionalFormatting>
  <conditionalFormatting sqref="AD12 T12:W12">
    <cfRule type="cellIs" dxfId="0" priority="414" operator="equal">
      <formula>0</formula>
    </cfRule>
  </conditionalFormatting>
  <conditionalFormatting sqref="AH12:AJ12 AP12 AL12:AN12">
    <cfRule type="cellIs" dxfId="0" priority="408" operator="equal">
      <formula>0</formula>
    </cfRule>
  </conditionalFormatting>
  <conditionalFormatting sqref="X13:AA13 S13">
    <cfRule type="cellIs" dxfId="0" priority="106" operator="equal">
      <formula>0</formula>
    </cfRule>
  </conditionalFormatting>
  <conditionalFormatting sqref="AF13 AQ14 S52:S54 X52:AA54">
    <cfRule type="cellIs" dxfId="0" priority="447" operator="equal">
      <formula>0</formula>
    </cfRule>
  </conditionalFormatting>
  <conditionalFormatting sqref="AD13 T13:W13">
    <cfRule type="cellIs" dxfId="0" priority="105" operator="equal">
      <formula>0</formula>
    </cfRule>
  </conditionalFormatting>
  <conditionalFormatting sqref="AR13:AT17">
    <cfRule type="cellIs" dxfId="0" priority="444" operator="equal">
      <formula>0</formula>
    </cfRule>
  </conditionalFormatting>
  <conditionalFormatting sqref="AF14 AQ15 X46:AA46 S46">
    <cfRule type="cellIs" dxfId="0" priority="448" operator="equal">
      <formula>0</formula>
    </cfRule>
  </conditionalFormatting>
  <conditionalFormatting sqref="X14:AA14 S14">
    <cfRule type="cellIs" dxfId="0" priority="17" operator="equal">
      <formula>0</formula>
    </cfRule>
  </conditionalFormatting>
  <conditionalFormatting sqref="AD14 T14:W14">
    <cfRule type="cellIs" dxfId="0" priority="16" operator="equal">
      <formula>0</formula>
    </cfRule>
  </conditionalFormatting>
  <conditionalFormatting sqref="S15 X15:AA15">
    <cfRule type="cellIs" dxfId="0" priority="21" operator="equal">
      <formula>0</formula>
    </cfRule>
  </conditionalFormatting>
  <conditionalFormatting sqref="T15:W15 AD15">
    <cfRule type="cellIs" dxfId="0" priority="20" operator="equal">
      <formula>0</formula>
    </cfRule>
  </conditionalFormatting>
  <conditionalFormatting sqref="S16 X16:AA16">
    <cfRule type="cellIs" dxfId="0" priority="249" operator="equal">
      <formula>0</formula>
    </cfRule>
  </conditionalFormatting>
  <conditionalFormatting sqref="T16:W16 AD16">
    <cfRule type="cellIs" dxfId="0" priority="248" operator="equal">
      <formula>0</formula>
    </cfRule>
  </conditionalFormatting>
  <conditionalFormatting sqref="S17 X17:AA17">
    <cfRule type="cellIs" dxfId="0" priority="110" operator="equal">
      <formula>0</formula>
    </cfRule>
  </conditionalFormatting>
  <conditionalFormatting sqref="T17:W17 AD17">
    <cfRule type="cellIs" dxfId="0" priority="109" operator="equal">
      <formula>0</formula>
    </cfRule>
  </conditionalFormatting>
  <conditionalFormatting sqref="Y18:AA18 S18">
    <cfRule type="cellIs" dxfId="0" priority="420" operator="equal">
      <formula>0</formula>
    </cfRule>
  </conditionalFormatting>
  <conditionalFormatting sqref="AD18 T18:W18">
    <cfRule type="cellIs" dxfId="0" priority="419" operator="equal">
      <formula>0</formula>
    </cfRule>
  </conditionalFormatting>
  <conditionalFormatting sqref="AH18:AJ18 AL18:AN18 AP18">
    <cfRule type="cellIs" dxfId="0" priority="240" operator="equal">
      <formula>0</formula>
    </cfRule>
  </conditionalFormatting>
  <conditionalFormatting sqref="AH19:AJ19 AL19:AM19 AP19">
    <cfRule type="cellIs" dxfId="0" priority="218" operator="equal">
      <formula>0</formula>
    </cfRule>
  </conditionalFormatting>
  <conditionalFormatting sqref="S20 X20:AA20">
    <cfRule type="cellIs" dxfId="0" priority="178" operator="equal">
      <formula>0</formula>
    </cfRule>
  </conditionalFormatting>
  <conditionalFormatting sqref="T20:V20 AD20">
    <cfRule type="cellIs" dxfId="0" priority="177" operator="equal">
      <formula>0</formula>
    </cfRule>
  </conditionalFormatting>
  <conditionalFormatting sqref="AH20:AJ20 AL20:AM20 AP20">
    <cfRule type="cellIs" dxfId="0" priority="194" operator="equal">
      <formula>0</formula>
    </cfRule>
  </conditionalFormatting>
  <conditionalFormatting sqref="S21 X21:AA21">
    <cfRule type="cellIs" dxfId="0" priority="403" operator="equal">
      <formula>0</formula>
    </cfRule>
  </conditionalFormatting>
  <conditionalFormatting sqref="T21:W21 AD21">
    <cfRule type="cellIs" dxfId="0" priority="402" operator="equal">
      <formula>0</formula>
    </cfRule>
  </conditionalFormatting>
  <conditionalFormatting sqref="AH21:AJ21 AL21:AM21 AP21">
    <cfRule type="cellIs" dxfId="0" priority="172" operator="equal">
      <formula>0</formula>
    </cfRule>
  </conditionalFormatting>
  <conditionalFormatting sqref="AH22:AJ22 AL22:AM22 AP22">
    <cfRule type="cellIs" dxfId="0" priority="26" operator="equal">
      <formula>0</formula>
    </cfRule>
  </conditionalFormatting>
  <conditionalFormatting sqref="S23 Z23:AA23 X23">
    <cfRule type="cellIs" dxfId="0" priority="208" operator="equal">
      <formula>0</formula>
    </cfRule>
  </conditionalFormatting>
  <conditionalFormatting sqref="T23:W23 AD23">
    <cfRule type="cellIs" dxfId="0" priority="207" operator="equal">
      <formula>0</formula>
    </cfRule>
  </conditionalFormatting>
  <conditionalFormatting sqref="AH23:AJ23 AL23:AM23 AP23">
    <cfRule type="cellIs" dxfId="0" priority="217" operator="equal">
      <formula>0</formula>
    </cfRule>
  </conditionalFormatting>
  <conditionalFormatting sqref="S24 X24">
    <cfRule type="cellIs" dxfId="0" priority="405" operator="equal">
      <formula>0</formula>
    </cfRule>
  </conditionalFormatting>
  <conditionalFormatting sqref="T24:W24 AD24">
    <cfRule type="cellIs" dxfId="0" priority="404" operator="equal">
      <formula>0</formula>
    </cfRule>
  </conditionalFormatting>
  <conditionalFormatting sqref="S25 X25">
    <cfRule type="cellIs" dxfId="0" priority="33" operator="equal">
      <formula>0</formula>
    </cfRule>
  </conditionalFormatting>
  <conditionalFormatting sqref="T25:W25 AD25">
    <cfRule type="cellIs" dxfId="0" priority="32" operator="equal">
      <formula>0</formula>
    </cfRule>
  </conditionalFormatting>
  <conditionalFormatting sqref="S26 X26">
    <cfRule type="cellIs" dxfId="0" priority="338" operator="equal">
      <formula>0</formula>
    </cfRule>
  </conditionalFormatting>
  <conditionalFormatting sqref="T26:W26 AD26">
    <cfRule type="cellIs" dxfId="0" priority="337" operator="equal">
      <formula>0</formula>
    </cfRule>
  </conditionalFormatting>
  <conditionalFormatting sqref="X27:Z27 S27">
    <cfRule type="cellIs" dxfId="0" priority="322" operator="equal">
      <formula>0</formula>
    </cfRule>
  </conditionalFormatting>
  <conditionalFormatting sqref="AD27 T27:V27">
    <cfRule type="cellIs" dxfId="0" priority="321" operator="equal">
      <formula>0</formula>
    </cfRule>
  </conditionalFormatting>
  <conditionalFormatting sqref="X28:Z28 S28">
    <cfRule type="cellIs" dxfId="0" priority="393" operator="equal">
      <formula>0</formula>
    </cfRule>
  </conditionalFormatting>
  <conditionalFormatting sqref="AD28 T28:V28">
    <cfRule type="cellIs" dxfId="0" priority="392" operator="equal">
      <formula>0</formula>
    </cfRule>
  </conditionalFormatting>
  <conditionalFormatting sqref="X29:Z29 S29">
    <cfRule type="cellIs" dxfId="0" priority="68" operator="equal">
      <formula>0</formula>
    </cfRule>
  </conditionalFormatting>
  <conditionalFormatting sqref="AD29 T29:V29">
    <cfRule type="cellIs" dxfId="0" priority="67" operator="equal">
      <formula>0</formula>
    </cfRule>
  </conditionalFormatting>
  <conditionalFormatting sqref="S30 X30:Z30">
    <cfRule type="cellIs" dxfId="0" priority="137" operator="equal">
      <formula>0</formula>
    </cfRule>
  </conditionalFormatting>
  <conditionalFormatting sqref="T30:V30 AD30">
    <cfRule type="cellIs" dxfId="0" priority="136" operator="equal">
      <formula>0</formula>
    </cfRule>
  </conditionalFormatting>
  <conditionalFormatting sqref="Z31 S31 X31">
    <cfRule type="cellIs" dxfId="0" priority="229" operator="equal">
      <formula>0</formula>
    </cfRule>
  </conditionalFormatting>
  <conditionalFormatting sqref="T31:V31 AD31">
    <cfRule type="cellIs" dxfId="0" priority="228" operator="equal">
      <formula>0</formula>
    </cfRule>
  </conditionalFormatting>
  <conditionalFormatting sqref="S32 X32:AA32">
    <cfRule type="cellIs" dxfId="0" priority="223" operator="equal">
      <formula>0</formula>
    </cfRule>
  </conditionalFormatting>
  <conditionalFormatting sqref="T32:W32 AD32">
    <cfRule type="cellIs" dxfId="0" priority="222" operator="equal">
      <formula>0</formula>
    </cfRule>
  </conditionalFormatting>
  <conditionalFormatting sqref="S33 X33:AA33">
    <cfRule type="cellIs" dxfId="0" priority="132" operator="equal">
      <formula>0</formula>
    </cfRule>
  </conditionalFormatting>
  <conditionalFormatting sqref="T33:W33 AD33">
    <cfRule type="cellIs" dxfId="0" priority="131" operator="equal">
      <formula>0</formula>
    </cfRule>
  </conditionalFormatting>
  <conditionalFormatting sqref="X34:AA34 S34">
    <cfRule type="cellIs" dxfId="0" priority="203" operator="equal">
      <formula>0</formula>
    </cfRule>
  </conditionalFormatting>
  <conditionalFormatting sqref="AD34 T34:W34">
    <cfRule type="cellIs" dxfId="0" priority="202" operator="equal">
      <formula>0</formula>
    </cfRule>
  </conditionalFormatting>
  <conditionalFormatting sqref="S37 X37:AA37">
    <cfRule type="cellIs" dxfId="0" priority="418" operator="equal">
      <formula>0</formula>
    </cfRule>
  </conditionalFormatting>
  <conditionalFormatting sqref="T37:W37 AD37">
    <cfRule type="cellIs" dxfId="0" priority="417" operator="equal">
      <formula>0</formula>
    </cfRule>
  </conditionalFormatting>
  <conditionalFormatting sqref="S38 X38:AA38">
    <cfRule type="cellIs" dxfId="0" priority="198" operator="equal">
      <formula>0</formula>
    </cfRule>
  </conditionalFormatting>
  <conditionalFormatting sqref="T38:W38 AD38">
    <cfRule type="cellIs" dxfId="0" priority="197" operator="equal">
      <formula>0</formula>
    </cfRule>
  </conditionalFormatting>
  <conditionalFormatting sqref="S39 X39:AA39">
    <cfRule type="cellIs" dxfId="0" priority="273" operator="equal">
      <formula>0</formula>
    </cfRule>
  </conditionalFormatting>
  <conditionalFormatting sqref="T39:W39 AD39">
    <cfRule type="cellIs" dxfId="0" priority="272" operator="equal">
      <formula>0</formula>
    </cfRule>
  </conditionalFormatting>
  <conditionalFormatting sqref="S40 X40:Z40">
    <cfRule type="cellIs" dxfId="0" priority="350" operator="equal">
      <formula>0</formula>
    </cfRule>
  </conditionalFormatting>
  <conditionalFormatting sqref="T40:V40 AD40">
    <cfRule type="cellIs" dxfId="0" priority="349" operator="equal">
      <formula>0</formula>
    </cfRule>
  </conditionalFormatting>
  <conditionalFormatting sqref="X42:Z42 S42">
    <cfRule type="cellIs" dxfId="0" priority="294" operator="equal">
      <formula>0</formula>
    </cfRule>
  </conditionalFormatting>
  <conditionalFormatting sqref="AD42 T42:V42">
    <cfRule type="cellIs" dxfId="0" priority="293" operator="equal">
      <formula>0</formula>
    </cfRule>
  </conditionalFormatting>
  <conditionalFormatting sqref="S45 X45:AA45">
    <cfRule type="cellIs" dxfId="0" priority="163" operator="equal">
      <formula>0</formula>
    </cfRule>
  </conditionalFormatting>
  <conditionalFormatting sqref="AD45 T45:W45">
    <cfRule type="cellIs" dxfId="0" priority="162" operator="equal">
      <formula>0</formula>
    </cfRule>
  </conditionalFormatting>
  <conditionalFormatting sqref="X47:AA47 S47">
    <cfRule type="cellIs" dxfId="0" priority="168" operator="equal">
      <formula>0</formula>
    </cfRule>
  </conditionalFormatting>
  <conditionalFormatting sqref="T47:W47 AD47">
    <cfRule type="cellIs" dxfId="0" priority="167" operator="equal">
      <formula>0</formula>
    </cfRule>
  </conditionalFormatting>
  <conditionalFormatting sqref="X48:AA48 S48">
    <cfRule type="cellIs" dxfId="0" priority="148" operator="equal">
      <formula>0</formula>
    </cfRule>
  </conditionalFormatting>
  <conditionalFormatting sqref="T48:W48 AD48">
    <cfRule type="cellIs" dxfId="0" priority="147" operator="equal">
      <formula>0</formula>
    </cfRule>
  </conditionalFormatting>
  <conditionalFormatting sqref="S49 X49:AA49">
    <cfRule type="cellIs" dxfId="0" priority="158" operator="equal">
      <formula>0</formula>
    </cfRule>
  </conditionalFormatting>
  <conditionalFormatting sqref="AD49 T49:W49">
    <cfRule type="cellIs" dxfId="0" priority="157" operator="equal">
      <formula>0</formula>
    </cfRule>
  </conditionalFormatting>
  <conditionalFormatting sqref="S50 X50:AA50">
    <cfRule type="cellIs" dxfId="0" priority="153" operator="equal">
      <formula>0</formula>
    </cfRule>
  </conditionalFormatting>
  <conditionalFormatting sqref="AD50 T50:W50">
    <cfRule type="cellIs" dxfId="0" priority="152" operator="equal">
      <formula>0</formula>
    </cfRule>
  </conditionalFormatting>
  <conditionalFormatting sqref="S51 X51:AA51">
    <cfRule type="cellIs" dxfId="0" priority="143" operator="equal">
      <formula>0</formula>
    </cfRule>
  </conditionalFormatting>
  <conditionalFormatting sqref="AD51 T51:W51">
    <cfRule type="cellIs" dxfId="0" priority="142" operator="equal">
      <formula>0</formula>
    </cfRule>
  </conditionalFormatting>
  <conditionalFormatting sqref="S55 X55:AA55">
    <cfRule type="cellIs" dxfId="0" priority="12" operator="equal">
      <formula>0</formula>
    </cfRule>
  </conditionalFormatting>
  <conditionalFormatting sqref="AD55 V55:W55 T55">
    <cfRule type="cellIs" dxfId="0" priority="11" operator="equal">
      <formula>0</formula>
    </cfRule>
  </conditionalFormatting>
  <conditionalFormatting sqref="S56 X56:AA56">
    <cfRule type="cellIs" dxfId="0" priority="7" operator="equal">
      <formula>0</formula>
    </cfRule>
  </conditionalFormatting>
  <conditionalFormatting sqref="AD56 V56:W56 T56">
    <cfRule type="cellIs" dxfId="0" priority="6" operator="equal">
      <formula>0</formula>
    </cfRule>
  </conditionalFormatting>
  <conditionalFormatting sqref="X57:AA57 S57">
    <cfRule type="cellIs" dxfId="0" priority="278" operator="equal">
      <formula>0</formula>
    </cfRule>
  </conditionalFormatting>
  <conditionalFormatting sqref="AD57 T57:W57">
    <cfRule type="cellIs" dxfId="0" priority="277" operator="equal">
      <formula>0</formula>
    </cfRule>
  </conditionalFormatting>
  <conditionalFormatting sqref="X58:AA58 S58">
    <cfRule type="cellIs" dxfId="0" priority="77" operator="equal">
      <formula>0</formula>
    </cfRule>
  </conditionalFormatting>
  <conditionalFormatting sqref="AD58 T58:W58">
    <cfRule type="cellIs" dxfId="0" priority="76" operator="equal">
      <formula>0</formula>
    </cfRule>
  </conditionalFormatting>
  <conditionalFormatting sqref="S59 X59:AA59">
    <cfRule type="cellIs" dxfId="0" priority="126" operator="equal">
      <formula>0</formula>
    </cfRule>
  </conditionalFormatting>
  <conditionalFormatting sqref="T59:W59 AD59">
    <cfRule type="cellIs" dxfId="0" priority="125" operator="equal">
      <formula>0</formula>
    </cfRule>
  </conditionalFormatting>
  <conditionalFormatting sqref="S60 X60:AA60">
    <cfRule type="cellIs" dxfId="0" priority="115" operator="equal">
      <formula>0</formula>
    </cfRule>
  </conditionalFormatting>
  <conditionalFormatting sqref="T60:W60 AD60">
    <cfRule type="cellIs" dxfId="0" priority="114" operator="equal">
      <formula>0</formula>
    </cfRule>
  </conditionalFormatting>
  <conditionalFormatting sqref="S61 X61:AA61">
    <cfRule type="cellIs" dxfId="0" priority="99" operator="equal">
      <formula>0</formula>
    </cfRule>
  </conditionalFormatting>
  <conditionalFormatting sqref="T61:W61 AD61">
    <cfRule type="cellIs" dxfId="0" priority="98" operator="equal">
      <formula>0</formula>
    </cfRule>
  </conditionalFormatting>
  <conditionalFormatting sqref="S62 X62:AA62">
    <cfRule type="cellIs" dxfId="0" priority="94" operator="equal">
      <formula>0</formula>
    </cfRule>
  </conditionalFormatting>
  <conditionalFormatting sqref="T62:W62 AD62">
    <cfRule type="cellIs" dxfId="0" priority="93" operator="equal">
      <formula>0</formula>
    </cfRule>
  </conditionalFormatting>
  <conditionalFormatting sqref="S63 X63:AA63">
    <cfRule type="cellIs" dxfId="0" priority="82" operator="equal">
      <formula>0</formula>
    </cfRule>
  </conditionalFormatting>
  <conditionalFormatting sqref="T63:W63 AD63">
    <cfRule type="cellIs" dxfId="0" priority="81" operator="equal">
      <formula>0</formula>
    </cfRule>
  </conditionalFormatting>
  <conditionalFormatting sqref="S64 X64:Z64">
    <cfRule type="cellIs" dxfId="0" priority="121" operator="equal">
      <formula>0</formula>
    </cfRule>
  </conditionalFormatting>
  <conditionalFormatting sqref="T64:V64 AD64">
    <cfRule type="cellIs" dxfId="0" priority="120" operator="equal">
      <formula>0</formula>
    </cfRule>
  </conditionalFormatting>
  <conditionalFormatting sqref="S65 X65:Z65">
    <cfRule type="cellIs" dxfId="0" priority="62" operator="equal">
      <formula>0</formula>
    </cfRule>
  </conditionalFormatting>
  <conditionalFormatting sqref="T65:V65 AD65">
    <cfRule type="cellIs" dxfId="0" priority="61" operator="equal">
      <formula>0</formula>
    </cfRule>
  </conditionalFormatting>
  <conditionalFormatting sqref="S66 X66:Z66">
    <cfRule type="cellIs" dxfId="0" priority="55" operator="equal">
      <formula>0</formula>
    </cfRule>
  </conditionalFormatting>
  <conditionalFormatting sqref="T66:V66 AD66">
    <cfRule type="cellIs" dxfId="0" priority="53" operator="equal">
      <formula>0</formula>
    </cfRule>
  </conditionalFormatting>
  <conditionalFormatting sqref="S67 X67:Z67">
    <cfRule type="cellIs" dxfId="0" priority="54" operator="equal">
      <formula>0</formula>
    </cfRule>
  </conditionalFormatting>
  <conditionalFormatting sqref="T67:V67 AD67">
    <cfRule type="cellIs" dxfId="0" priority="52" operator="equal">
      <formula>0</formula>
    </cfRule>
  </conditionalFormatting>
  <conditionalFormatting sqref="S68 X68:Z68">
    <cfRule type="cellIs" dxfId="0" priority="43" operator="equal">
      <formula>0</formula>
    </cfRule>
  </conditionalFormatting>
  <conditionalFormatting sqref="T68:V68 AD68">
    <cfRule type="cellIs" dxfId="0" priority="41" operator="equal">
      <formula>0</formula>
    </cfRule>
  </conditionalFormatting>
  <conditionalFormatting sqref="S69 X69:Z69">
    <cfRule type="cellIs" dxfId="0" priority="42" operator="equal">
      <formula>0</formula>
    </cfRule>
  </conditionalFormatting>
  <conditionalFormatting sqref="T69:V69 AD69">
    <cfRule type="cellIs" dxfId="0" priority="40" operator="equal">
      <formula>0</formula>
    </cfRule>
  </conditionalFormatting>
  <conditionalFormatting sqref="X70:Z70 S70">
    <cfRule type="cellIs" dxfId="0" priority="424" operator="equal">
      <formula>0</formula>
    </cfRule>
  </conditionalFormatting>
  <conditionalFormatting sqref="AD70 T70:V70">
    <cfRule type="cellIs" dxfId="0" priority="423" operator="equal">
      <formula>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X24"/>
  <sheetViews>
    <sheetView zoomScale="55" zoomScaleNormal="55" topLeftCell="AF2" workbookViewId="0">
      <selection activeCell="AS4" sqref="AS4"/>
    </sheetView>
  </sheetViews>
  <sheetFormatPr defaultColWidth="9.90740740740741" defaultRowHeight="44" customHeight="1"/>
  <cols>
    <col min="1" max="173" width="13.7777777777778" style="1" customWidth="1"/>
    <col min="174" max="16384" width="13.7777777777778" style="1"/>
  </cols>
  <sheetData>
    <row r="2" customHeight="1" spans="3:154">
      <c r="C2" s="42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62"/>
      <c r="EE2" s="49"/>
      <c r="EF2" s="43"/>
      <c r="EG2" s="43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</row>
    <row r="3" customHeight="1" spans="1:154">
      <c r="A3" s="1" t="s">
        <v>3</v>
      </c>
      <c r="B3" s="1" t="s">
        <v>4</v>
      </c>
      <c r="C3" s="44" t="s">
        <v>14</v>
      </c>
      <c r="D3" s="1" t="s">
        <v>348</v>
      </c>
      <c r="E3" s="44" t="s">
        <v>15</v>
      </c>
      <c r="F3" s="44" t="s">
        <v>16</v>
      </c>
      <c r="G3" s="44" t="s">
        <v>49</v>
      </c>
      <c r="H3" s="44" t="s">
        <v>349</v>
      </c>
      <c r="I3" s="44" t="s">
        <v>350</v>
      </c>
      <c r="J3" s="44" t="s">
        <v>351</v>
      </c>
      <c r="K3" s="44" t="s">
        <v>55</v>
      </c>
      <c r="L3" s="44" t="s">
        <v>56</v>
      </c>
      <c r="M3" s="44" t="s">
        <v>57</v>
      </c>
      <c r="N3" s="44" t="s">
        <v>352</v>
      </c>
      <c r="O3" s="44" t="s">
        <v>353</v>
      </c>
      <c r="P3" s="44" t="s">
        <v>354</v>
      </c>
      <c r="Q3" s="44" t="s">
        <v>355</v>
      </c>
      <c r="R3" s="44" t="s">
        <v>356</v>
      </c>
      <c r="S3" s="44" t="s">
        <v>357</v>
      </c>
      <c r="T3" s="53" t="s">
        <v>358</v>
      </c>
      <c r="U3" s="53" t="s">
        <v>359</v>
      </c>
      <c r="V3" s="53" t="s">
        <v>360</v>
      </c>
      <c r="W3" s="53" t="s">
        <v>361</v>
      </c>
      <c r="X3" s="53" t="s">
        <v>362</v>
      </c>
      <c r="Y3" s="53" t="s">
        <v>363</v>
      </c>
      <c r="Z3" s="53" t="s">
        <v>364</v>
      </c>
      <c r="AA3" s="53" t="s">
        <v>365</v>
      </c>
      <c r="AB3" s="53" t="s">
        <v>366</v>
      </c>
      <c r="AC3" s="53" t="s">
        <v>367</v>
      </c>
      <c r="AD3" s="53" t="s">
        <v>368</v>
      </c>
      <c r="AE3" s="53" t="s">
        <v>369</v>
      </c>
      <c r="AF3" s="53" t="s">
        <v>168</v>
      </c>
      <c r="AG3" s="44" t="s">
        <v>370</v>
      </c>
      <c r="AH3" s="44" t="s">
        <v>10</v>
      </c>
      <c r="AI3" s="44" t="s">
        <v>11</v>
      </c>
      <c r="AJ3" s="44" t="s">
        <v>371</v>
      </c>
      <c r="AK3" s="44" t="s">
        <v>372</v>
      </c>
      <c r="AL3" s="44" t="s">
        <v>70</v>
      </c>
      <c r="AM3" s="44" t="s">
        <v>114</v>
      </c>
      <c r="AN3" s="44" t="s">
        <v>373</v>
      </c>
      <c r="AO3" s="44" t="s">
        <v>222</v>
      </c>
      <c r="AP3" s="44" t="s">
        <v>374</v>
      </c>
      <c r="AQ3" s="44" t="s">
        <v>375</v>
      </c>
      <c r="AR3" s="44" t="s">
        <v>376</v>
      </c>
      <c r="AS3" s="44" t="s">
        <v>377</v>
      </c>
      <c r="AT3" s="44" t="s">
        <v>31</v>
      </c>
      <c r="AU3" s="44" t="s">
        <v>26</v>
      </c>
      <c r="AV3" s="44" t="s">
        <v>378</v>
      </c>
      <c r="AW3" s="44" t="s">
        <v>379</v>
      </c>
      <c r="AX3" s="44" t="s">
        <v>20</v>
      </c>
      <c r="AY3" s="1" t="s">
        <v>380</v>
      </c>
      <c r="AZ3" s="1" t="s">
        <v>381</v>
      </c>
      <c r="BA3" s="1" t="s">
        <v>382</v>
      </c>
      <c r="BB3" s="4" t="s">
        <v>201</v>
      </c>
      <c r="BC3" s="4" t="s">
        <v>383</v>
      </c>
      <c r="BD3" s="1" t="s">
        <v>384</v>
      </c>
      <c r="BE3" s="1" t="s">
        <v>165</v>
      </c>
      <c r="BF3" s="1" t="s">
        <v>385</v>
      </c>
      <c r="BG3" s="1" t="s">
        <v>209</v>
      </c>
      <c r="BH3" s="1" t="s">
        <v>386</v>
      </c>
      <c r="BI3" s="1" t="s">
        <v>166</v>
      </c>
      <c r="BJ3" s="1" t="s">
        <v>387</v>
      </c>
      <c r="BK3" s="1" t="s">
        <v>388</v>
      </c>
      <c r="BL3" s="1" t="s">
        <v>389</v>
      </c>
      <c r="BM3" s="1" t="s">
        <v>70</v>
      </c>
      <c r="BN3" s="1" t="s">
        <v>216</v>
      </c>
      <c r="BO3" s="1" t="s">
        <v>82</v>
      </c>
      <c r="BP3" s="1" t="s">
        <v>69</v>
      </c>
      <c r="BQ3" s="1" t="s">
        <v>374</v>
      </c>
      <c r="BR3" s="1" t="s">
        <v>390</v>
      </c>
      <c r="BS3" s="44" t="s">
        <v>21</v>
      </c>
      <c r="BT3" s="1" t="s">
        <v>380</v>
      </c>
      <c r="BU3" s="1" t="s">
        <v>381</v>
      </c>
      <c r="BV3" s="1" t="s">
        <v>382</v>
      </c>
      <c r="BW3" s="4" t="s">
        <v>201</v>
      </c>
      <c r="BX3" s="4" t="s">
        <v>383</v>
      </c>
      <c r="BY3" s="1" t="s">
        <v>384</v>
      </c>
      <c r="BZ3" s="1" t="s">
        <v>165</v>
      </c>
      <c r="CA3" s="1" t="s">
        <v>385</v>
      </c>
      <c r="CB3" s="1" t="s">
        <v>209</v>
      </c>
      <c r="CC3" s="1" t="s">
        <v>386</v>
      </c>
      <c r="CD3" s="1" t="s">
        <v>166</v>
      </c>
      <c r="CE3" s="1" t="s">
        <v>387</v>
      </c>
      <c r="CF3" s="1" t="s">
        <v>388</v>
      </c>
      <c r="CG3" s="1" t="s">
        <v>389</v>
      </c>
      <c r="CH3" s="1" t="s">
        <v>70</v>
      </c>
      <c r="CI3" s="1" t="s">
        <v>216</v>
      </c>
      <c r="CJ3" s="1" t="s">
        <v>82</v>
      </c>
      <c r="CK3" s="1" t="s">
        <v>69</v>
      </c>
      <c r="CL3" s="1" t="s">
        <v>374</v>
      </c>
      <c r="CM3" s="1" t="s">
        <v>390</v>
      </c>
      <c r="CN3" s="44" t="s">
        <v>22</v>
      </c>
      <c r="CO3" s="1" t="s">
        <v>380</v>
      </c>
      <c r="CP3" s="1" t="s">
        <v>381</v>
      </c>
      <c r="CQ3" s="1" t="s">
        <v>382</v>
      </c>
      <c r="CR3" s="4" t="s">
        <v>201</v>
      </c>
      <c r="CS3" s="4" t="s">
        <v>383</v>
      </c>
      <c r="CT3" s="1" t="s">
        <v>384</v>
      </c>
      <c r="CU3" s="1" t="s">
        <v>165</v>
      </c>
      <c r="CV3" s="1" t="s">
        <v>385</v>
      </c>
      <c r="CW3" s="1" t="s">
        <v>209</v>
      </c>
      <c r="CX3" s="1" t="s">
        <v>386</v>
      </c>
      <c r="CY3" s="1" t="s">
        <v>166</v>
      </c>
      <c r="CZ3" s="1" t="s">
        <v>387</v>
      </c>
      <c r="DA3" s="1" t="s">
        <v>388</v>
      </c>
      <c r="DB3" s="1" t="s">
        <v>389</v>
      </c>
      <c r="DC3" s="1" t="s">
        <v>70</v>
      </c>
      <c r="DD3" s="1" t="s">
        <v>216</v>
      </c>
      <c r="DE3" s="1" t="s">
        <v>82</v>
      </c>
      <c r="DF3" s="1" t="s">
        <v>69</v>
      </c>
      <c r="DG3" s="1" t="s">
        <v>374</v>
      </c>
      <c r="DH3" s="1" t="s">
        <v>390</v>
      </c>
      <c r="DI3" s="44" t="s">
        <v>23</v>
      </c>
      <c r="DJ3" s="1" t="s">
        <v>380</v>
      </c>
      <c r="DK3" s="1" t="s">
        <v>381</v>
      </c>
      <c r="DL3" s="1" t="s">
        <v>382</v>
      </c>
      <c r="DM3" s="4" t="s">
        <v>201</v>
      </c>
      <c r="DN3" s="4" t="s">
        <v>383</v>
      </c>
      <c r="DO3" s="1" t="s">
        <v>384</v>
      </c>
      <c r="DP3" s="1" t="s">
        <v>165</v>
      </c>
      <c r="DQ3" s="1" t="s">
        <v>385</v>
      </c>
      <c r="DR3" s="1" t="s">
        <v>209</v>
      </c>
      <c r="DS3" s="1" t="s">
        <v>386</v>
      </c>
      <c r="DT3" s="1" t="s">
        <v>166</v>
      </c>
      <c r="DU3" s="1" t="s">
        <v>387</v>
      </c>
      <c r="DV3" s="1" t="s">
        <v>388</v>
      </c>
      <c r="DW3" s="1" t="s">
        <v>389</v>
      </c>
      <c r="DX3" s="1" t="s">
        <v>70</v>
      </c>
      <c r="DY3" s="1" t="s">
        <v>216</v>
      </c>
      <c r="DZ3" s="1" t="s">
        <v>82</v>
      </c>
      <c r="EA3" s="1" t="s">
        <v>69</v>
      </c>
      <c r="EB3" s="1" t="s">
        <v>374</v>
      </c>
      <c r="EC3" s="1" t="s">
        <v>390</v>
      </c>
      <c r="ED3" s="44" t="s">
        <v>24</v>
      </c>
      <c r="EE3" s="1" t="s">
        <v>380</v>
      </c>
      <c r="EF3" s="1" t="s">
        <v>381</v>
      </c>
      <c r="EG3" s="1" t="s">
        <v>382</v>
      </c>
      <c r="EH3" s="4" t="s">
        <v>201</v>
      </c>
      <c r="EI3" s="4" t="s">
        <v>383</v>
      </c>
      <c r="EJ3" s="1" t="s">
        <v>384</v>
      </c>
      <c r="EK3" s="1" t="s">
        <v>165</v>
      </c>
      <c r="EL3" s="1" t="s">
        <v>385</v>
      </c>
      <c r="EM3" s="1" t="s">
        <v>209</v>
      </c>
      <c r="EN3" s="1" t="s">
        <v>386</v>
      </c>
      <c r="EO3" s="1" t="s">
        <v>166</v>
      </c>
      <c r="EP3" s="1" t="s">
        <v>387</v>
      </c>
      <c r="EQ3" s="1" t="s">
        <v>388</v>
      </c>
      <c r="ER3" s="1" t="s">
        <v>389</v>
      </c>
      <c r="ES3" s="1" t="s">
        <v>70</v>
      </c>
      <c r="ET3" s="1" t="s">
        <v>216</v>
      </c>
      <c r="EU3" s="1" t="s">
        <v>82</v>
      </c>
      <c r="EV3" s="1" t="s">
        <v>69</v>
      </c>
      <c r="EW3" s="1" t="s">
        <v>374</v>
      </c>
      <c r="EX3" s="1" t="s">
        <v>390</v>
      </c>
    </row>
    <row r="4" customHeight="1" spans="1:154">
      <c r="A4" s="1">
        <f>云配队!C4</f>
        <v>60</v>
      </c>
      <c r="B4" s="1">
        <f>云配队!D4</f>
        <v>70</v>
      </c>
      <c r="C4" s="45" t="str">
        <f>云配队!F6</f>
        <v>雅</v>
      </c>
      <c r="D4" s="1">
        <f>MATCH(C4,角色!$F$3:$F$33,0)</f>
        <v>13</v>
      </c>
      <c r="E4" s="46" t="str">
        <f>INDEX(角色!$A$3:$DF$33,$D4,角色!H$1)</f>
        <v>冰</v>
      </c>
      <c r="F4" s="46" t="str">
        <f>INDEX(角色!$A$3:$DF$33,$D4,角色!I$1)</f>
        <v>六科</v>
      </c>
      <c r="G4" s="46">
        <f>INDEX(角色!$A$3:$DF$33,$D4,角色!J$1)</f>
        <v>0</v>
      </c>
      <c r="H4" s="46" t="str">
        <f>VLOOKUP($C4,配装!$A$2:$S$27,配装!$D$1,FALSE)</f>
        <v>雅专武</v>
      </c>
      <c r="I4" s="46" t="str">
        <f>VLOOKUP($C4,配装!$A$2:$S$27,配装!G$1,FALSE)</f>
        <v>极地重金属</v>
      </c>
      <c r="J4" s="46" t="str">
        <f>VLOOKUP($C4,配装!$A$2:$S$27,配装!J$1,FALSE)</f>
        <v>啄木鸟电音</v>
      </c>
      <c r="K4" s="46" t="str">
        <f>VLOOKUP($C4,配装!$A$2:$S$27,配装!K$1,FALSE)</f>
        <v>暴伤</v>
      </c>
      <c r="L4" s="46" t="str">
        <f>VLOOKUP($C4,配装!$A$2:$S$27,配装!L$1,FALSE)</f>
        <v>攻击</v>
      </c>
      <c r="M4" s="46" t="str">
        <f>VLOOKUP($C4,配装!$A$2:$S$27,配装!M$1,FALSE)</f>
        <v>攻击</v>
      </c>
      <c r="N4" s="46">
        <f>VLOOKUP($C4,配装!$A$2:$S$27,配装!$H$1,FALSE)</f>
        <v>1</v>
      </c>
      <c r="O4" s="46">
        <f>MATCH(H4,音擎!$A$3:$A$42,0)</f>
        <v>20</v>
      </c>
      <c r="P4" s="46">
        <f>VLOOKUP($C4,配装!$A$2:$N$27,配装!$E$1,FALSE)</f>
        <v>1</v>
      </c>
      <c r="Q4" s="46">
        <f>INDEX(音擎!$A$3:$AJ$47,O4,音擎!$C$1)</f>
        <v>714</v>
      </c>
      <c r="R4" s="46">
        <f>MATCH(I4,驱动盘!$A$3:$A$17,0)</f>
        <v>4</v>
      </c>
      <c r="S4" s="46">
        <f>MATCH(J4,驱动盘!$A$3:$A$17,0)</f>
        <v>1</v>
      </c>
      <c r="T4" s="46">
        <f>INDEX(音擎!$A$3:$AI$42,$O4,音擎!D$1)+INDEX(驱动盘!$A$3:$Y$17,$R4,驱动盘!C$1)+INDEX(驱动盘!$A$3:$Y$17,$S4,驱动盘!C$1)+IF($K4="攻击",30%,0%)+IF($L4="攻击",30%,0%)+IF($M4="攻击",30%,0%)+VLOOKUP($C4,配装!$A$2:$S$27,配装!P$1,FALSE)*3%</f>
        <v>0.84</v>
      </c>
      <c r="U4" s="46">
        <f>VLOOKUP($C4,配装!$A$2:$S$27,配装!Q$1,FALSE)*22</f>
        <v>0</v>
      </c>
      <c r="V4" s="46">
        <f>INDEX(音擎!$A$3:$AI$42,$O4,音擎!E$1)+INDEX(音擎!$A$3:$AI$42,$O4,音擎!M$1)*$P4+INDEX(驱动盘!$A$3:$Y$17,$R4,驱动盘!D$1)+INDEX(驱动盘!$A$3:$Y$17,$S4,驱动盘!D$1)+INDEX(驱动盘!$A$3:$Y$17,$R4,驱动盘!L$1)*$N4+IF($K4="暴击",24%,0%)+VLOOKUP($C4,配装!$A$2:$S$27,配装!N$1,FALSE)*2.4%</f>
        <v>0.76</v>
      </c>
      <c r="W4" s="46">
        <f>INDEX(音擎!$A$3:$AI$42,$O4,音擎!F$1)+INDEX(音擎!$A$3:$AI$42,$O4,音擎!N$1)*$P4+INDEX(驱动盘!$A$3:$Y$17,$R4,驱动盘!E$1)+INDEX(驱动盘!$A$3:$Y$17,$S4,驱动盘!E$1)+INDEX(驱动盘!$A$3:$Y$17,$R4,驱动盘!M$1)*$N4+IF($K4="暴伤",48%,0%)+VLOOKUP($C4,配装!$A$2:$S$27,配装!O$1,FALSE)*4.8%</f>
        <v>0.96</v>
      </c>
      <c r="X4" s="46">
        <f>INDEX(音擎!$A$3:$AI$42,$O4,音擎!G$1)+INDEX(音擎!$A$3:$AI$42,$O4,音擎!O$1)*$P4+INDEX(驱动盘!$A$3:$Y$17,$R4,驱动盘!F$1)+INDEX(驱动盘!$A$3:$Y$17,$S4,驱动盘!F$1)+IF($L4="穿透",24%,0%)</f>
        <v>0</v>
      </c>
      <c r="Y4" s="46">
        <f>VLOOKUP($C4,配装!$A$2:$S$27,配装!S$1,FALSE)*9</f>
        <v>0</v>
      </c>
      <c r="Z4" s="46">
        <f>INDEX(音擎!$A$3:$AI$42,$O4,音擎!H$1)+INDEX(音擎!$A$3:$AI$42,$O4,音擎!P$1)*$P4+INDEX(驱动盘!$A$3:$Y$17,$R4,驱动盘!G$1)+INDEX(驱动盘!$A$3:$Y$17,$S4,驱动盘!G$1)+IF($K4="精通",92%,0%)+VLOOKUP($C4,配装!$A$2:$S$27,配装!R$1,FALSE)*9%</f>
        <v>0</v>
      </c>
      <c r="AA4" s="46">
        <f>INDEX(音擎!$A$3:$AI$42,$O4,音擎!Q$1)*$P4+IF($M4="掌控",30%,0%)</f>
        <v>0</v>
      </c>
      <c r="AB4" s="46">
        <f>INDEX(音擎!$A$3:$AI$42,$O4,音擎!U$1)*$P4</f>
        <v>0</v>
      </c>
      <c r="AC4" s="46">
        <f>(1.2+INDEX(角色!$A$3:$DF$33,$D4,角色!$AA$1))*(1+INDEX(音擎!$A$3:$AI$42,$O4,音擎!J$1)+INDEX(驱动盘!$A$3:$Y$17,$R4,驱动盘!I$1)+INDEX(驱动盘!$A$3:$Y$17,$S4,驱动盘!I$1)+IF($M4="回能",50%,0%))</f>
        <v>1.2</v>
      </c>
      <c r="AD4" s="46">
        <f>INDEX(音擎!$A$3:$AI$42,$O4,音擎!S$1)</f>
        <v>0</v>
      </c>
      <c r="AE4" s="46">
        <f>INDEX(角色!$A$3:$DF$33,$D4,角色!$AB$1)+INDEX(音擎!$A$3:$AI$42,$O4,音擎!T$1)*$P4</f>
        <v>0</v>
      </c>
      <c r="AF4" s="46">
        <f>INDEX(角色!$A$3:$DF$32,$D4,角色!$V$1)+AA4</f>
        <v>0.52</v>
      </c>
      <c r="AG4" s="46">
        <f>INDEX(角色!$A$3:$DF$33,$D4,角色!$O$1)*(1+INDEX(角色!$A$3:$DF$33,$D4,角色!$P$1)+INDEX(音擎!$A$3:$AI$42,$O4,音擎!I$1)+INDEX(驱动盘!$A$3:$Y$17,$R4,驱动盘!H$1)+INDEX(驱动盘!$A$3:$Y$17,$S4,驱动盘!H$1)+IF($M4="冲击",18%,0%))</f>
        <v>86</v>
      </c>
      <c r="AH4" s="46">
        <f t="array" ref="AH4">INDEX(角色!$A$3:$DF$33,$D4,角色!$S$1)+$V4</f>
        <v>0.81</v>
      </c>
      <c r="AI4" s="46">
        <f t="array" ref="AI4">INDEX(角色!$A$3:$DF$33,$D4,角色!$T$1)+$W4</f>
        <v>1.46</v>
      </c>
      <c r="AJ4" s="46">
        <f>(INDEX(角色!$A$3:$DF$33,$D4,角色!$K$1)+$Q4)*(1+INDEX(角色!$A$3:$DF$33,$D4,角色!$L$1)+T4)+316+$U4</f>
        <v>3250.8</v>
      </c>
      <c r="AK4" s="46">
        <f>INDEX(角色!$A$3:$DF$33,$D4,角色!$N$1)+INDEX(音擎!$A$3:$AI$42,$O4,音擎!L$1)*$P4*$AJ4+INDEX(角色!$A$3:$DF$33,$D4,角色!$M$1)*$AJ4+INDEX(驱动盘!$A$3:$Y$17,$R4,驱动盘!K$1)*$N4*$AJ4</f>
        <v>0</v>
      </c>
      <c r="AL4" s="46">
        <f t="shared" ref="AL4:AL6" si="0">AJ4*(1+$AN$14)+$AM$14+AK4</f>
        <v>3250.8</v>
      </c>
      <c r="AM4" s="54">
        <f>INDEX(角色!$A$3:$DF$33,$D4,角色!$R$1)+$Z4+$AO$14</f>
        <v>0.18</v>
      </c>
      <c r="AN4" s="46">
        <f>INDEX(角色!$A$3:$DF$33,$D4,数值!$H$16)+INDEX(音擎!$A$3:$AI$42,$O4,音擎!$AF$1)*$P4+INDEX(驱动盘!$A$3:$Y$17,$R4,驱动盘!X$1)*$N4+INDEX(驱动盘!$A$3:$Y$17,$R4,驱动盘!$B$1)+INDEX(驱动盘!$A$3:$Y$17,$S4,驱动盘!$B$1)+IF($L4="属伤",30%,0%)+$AP$14</f>
        <v>0.85</v>
      </c>
      <c r="AO4" s="46">
        <f>VLOOKUP(E4,数值!$AR$2:$AT$7,2,FALSE)</f>
        <v>5</v>
      </c>
      <c r="AP4" s="46">
        <f>1/(MAX($B$8*MAX(1-INDEX(角色!$A$3:$DF$33,$D4,角色!$U$1)-$X4-$AQ$14,0)*MAX(1-$AR$14,0)-$Y4,0)/$A$8+1)</f>
        <v>0.5</v>
      </c>
      <c r="AQ4" s="46">
        <f>AL4*(1+AM4)*(1+AN4)*AP4*(58/59+$A$4/59)*(1+$AK$14)*(1+$AJ$14)*(1+$AL$14)</f>
        <v>7096.4964</v>
      </c>
      <c r="AR4" s="46">
        <f>AO4*AQ4</f>
        <v>35482.482</v>
      </c>
      <c r="AS4" s="46">
        <f>AL4*(1+AM4)*(1+AN4+云配队!$Q$10)*AP4*(58/59+$A$4/59)*(1+$AK$14)*(1+$AJ$14)*(1+$AL$14)</f>
        <v>7096.4964</v>
      </c>
      <c r="AT4" s="46">
        <f>450%+云配队!$Q6*VLOOKUP(E4,数值!$AR$2:$AT$7,3,FALSE)+云配队!$Q$9</f>
        <v>4.5</v>
      </c>
      <c r="AU4" s="46">
        <f>AS4*AT4</f>
        <v>31934.2338</v>
      </c>
      <c r="AV4" s="46">
        <f t="shared" ref="AV4:AV6" si="1">AZ4+BU4+CP4+DK4+EF4</f>
        <v>0</v>
      </c>
      <c r="AW4" s="46">
        <f>(BA4+BV4+CQ4+DL4+EG4+AC4*$ED$16)*(1+$AE4)</f>
        <v>0</v>
      </c>
      <c r="AX4" s="45">
        <f>云配队!L6</f>
        <v>0</v>
      </c>
      <c r="AY4" s="1">
        <f>IFERROR(VLOOKUP(AX4,数值!$F$3:$H$15,2,FALSE),1)</f>
        <v>1</v>
      </c>
      <c r="AZ4" s="1">
        <f>IFERROR(INDEX(角色!$A$3:$DF$32,$D4,AY4+4)+VLOOKUP(AX4,数值!$F$2:$O$16,10,FALSE),0)</f>
        <v>0</v>
      </c>
      <c r="BA4" s="1">
        <f>AZ4*IFERROR(VLOOKUP(AX4,数值!$F$3:$N$15,9,FALSE),0)+$AD4*BR$8+IFERROR(VLOOKUP($C4&amp;AX4,数值!$AV$1:$AW$11,2,FALSE),0)</f>
        <v>0</v>
      </c>
      <c r="BB4" s="1">
        <f>IFERROR(INDEX(角色!$A$3:$DF$33,$D4,VLOOKUP(AX4,数值!$F$3:$H$15,3,FALSE)),0)</f>
        <v>0</v>
      </c>
      <c r="BC4" s="1">
        <f>IFERROR(INDEX(音擎!$A$3:$AI$42,$O4,VLOOKUP(AX4,数值!$F$3:$L$15,4,FALSE))*$P4+INDEX(驱动盘!$A$3:$Y$17,$R4,VLOOKUP(AX4,数值!$F$3:$L$15,5,FALSE))*$N4+INDEX(驱动盘!$A$3:$Y$17,$R4,驱动盘!$B$1)+INDEX(驱动盘!$A$3:$Y$17,$S4,驱动盘!$B$1)+IF($L4="属伤",30%,0%),0)</f>
        <v>0</v>
      </c>
      <c r="BD4" s="1">
        <f>IFERROR(INDEX(角色!$A$3:$DF$33,$D4,VLOOKUP(AX4,数值!$F$3:$L$15,6,FALSE))+INDEX(音擎!$A$3:$AI$42,$O4,VLOOKUP(AX4,数值!$F$3:$L$15,7,FALSE))+INDEX(驱动盘!$A$3:$Z$17,$R4,VLOOKUP(AX4,数值!$F$3:$M$15,8,FALSE))+BQ$14,0)</f>
        <v>0</v>
      </c>
      <c r="BE4" s="1">
        <f>INDEX(角色!$A$3:$DF$32,$D4,AY4)*1.909*IF($G4&gt;=3,IF($G4&gt;=5,1.19,1.095),1)</f>
        <v>0</v>
      </c>
      <c r="BF4" s="1">
        <f>INDEX(角色!$A$3:$DF$32,$D4,AY4+3)</f>
        <v>0</v>
      </c>
      <c r="BG4" s="1">
        <f>$AB4+INDEX(角色!$A$3:$DF$32,$D4,IFERROR(VLOOKUP(AX4,数值!$F$3:$P$15,11,FALSE),1))+BH$14</f>
        <v>0</v>
      </c>
      <c r="BH4" s="1">
        <f>BF4*(1+$AF4)*(1+BG4)*(1+BG$14)</f>
        <v>0</v>
      </c>
      <c r="BI4" s="1">
        <f>INDEX(角色!$A$3:$DF$32,$D4,AY4+1)*1.4556</f>
        <v>0</v>
      </c>
      <c r="BJ4" s="1">
        <f>$AG4*(1+INDEX(音擎!$A$3:$AI$42,$O4,音擎!$R$1)*$P4+INDEX(角色!$A$3:$DF$33,$D4,角色!$Q$1)+BP$14)</f>
        <v>86</v>
      </c>
      <c r="BK4" s="1">
        <f>INDEX(角色!$A$3:$DF$32,$D4,AY4+2)</f>
        <v>0</v>
      </c>
      <c r="BL4" s="1">
        <f t="shared" ref="BL4:BL6" si="2">BJ4*(1+BD4)*BI4%</f>
        <v>0</v>
      </c>
      <c r="BM4" s="1">
        <f t="shared" ref="BM4:BM6" si="3">$AJ4*(1+BJ$14)+BI$14+$AK4</f>
        <v>3250.8</v>
      </c>
      <c r="BN4" s="1">
        <f>BB4+BC4+BK$14</f>
        <v>0</v>
      </c>
      <c r="BO4" s="1">
        <f>MIN($AH4+BL$14,1)</f>
        <v>0.81</v>
      </c>
      <c r="BP4" s="4">
        <f t="shared" ref="BP4:BP6" si="4">$AI4+BM$14</f>
        <v>1.46</v>
      </c>
      <c r="BQ4" s="1">
        <f>1/(MAX($B$8*MAX(1-INDEX(角色!$A$3:$DF$33,$D4,角色!$U$1)-$X4-BN$14,0)*MAX(1-BO$14,0)-$Y4,0)/$A$8+1)</f>
        <v>0.5</v>
      </c>
      <c r="BR4" s="1">
        <f t="shared" ref="BR4:BR6" si="5">BM4*BE4%*(1+BN4)*(1+BO4*BP4)*BQ4*(1+BE$14)*(1+BF$14)</f>
        <v>0</v>
      </c>
      <c r="BS4" s="45">
        <f>云配队!M6</f>
        <v>0</v>
      </c>
      <c r="BT4" s="1">
        <f>IFERROR(VLOOKUP(BS4,数值!$F$3:$H$15,2,FALSE),1)</f>
        <v>1</v>
      </c>
      <c r="BU4" s="1">
        <f>IFERROR(INDEX(角色!$A$3:$DF$32,$D4,BT4+4)+VLOOKUP(BS4,数值!$F$2:$O$16,10,FALSE),0)</f>
        <v>0</v>
      </c>
      <c r="BV4" s="1">
        <f>BU4*IFERROR(VLOOKUP(BS4,数值!$F$3:$N$15,9,FALSE),0)+$AD4*CM$8+IFERROR(VLOOKUP($C4&amp;BS4,数值!$AV$1:$AW$11,2,FALSE),0)</f>
        <v>0</v>
      </c>
      <c r="BW4" s="1">
        <f>IFERROR(INDEX(角色!$A$3:$DF$33,$D4,VLOOKUP(BS4,数值!$F$3:$H$15,3,FALSE)),0)</f>
        <v>0</v>
      </c>
      <c r="BX4" s="1">
        <f>IFERROR(INDEX(音擎!$A$3:$AI$42,$O4,VLOOKUP(BS4,数值!$F$3:$L$15,4,FALSE))*$P4+INDEX(驱动盘!$A$3:$Y$17,$R4,VLOOKUP(BS4,数值!$F$3:$L$15,5,FALSE))*$N4+INDEX(驱动盘!$A$3:$Y$17,$R4,驱动盘!$B$1)+INDEX(驱动盘!$A$3:$Y$17,$S4,驱动盘!$B$1)+IF($L4="属伤",30%,0%),0)</f>
        <v>0</v>
      </c>
      <c r="BY4" s="1">
        <f>IFERROR(INDEX(角色!$A$3:$DF$33,$D4,VLOOKUP(BS4,数值!$F$3:$L$15,6,FALSE))+INDEX(音擎!$A$3:$AI$42,$O4,VLOOKUP(BS4,数值!$F$3:$L$15,7,FALSE))+INDEX(驱动盘!$A$3:$Z$17,$R4,VLOOKUP(BS4,数值!$F$3:$M$15,8,FALSE))+CL$14,0)</f>
        <v>0</v>
      </c>
      <c r="BZ4" s="1">
        <f>INDEX(角色!$A$3:$DF$32,$D4,BT4)*1.909*IF($G4&gt;=3,IF($G4&gt;=5,1.19,1.095),1)</f>
        <v>0</v>
      </c>
      <c r="CA4" s="1">
        <f>INDEX(角色!$A$3:$DF$32,$D4,BT4+3)</f>
        <v>0</v>
      </c>
      <c r="CB4" s="1">
        <f>$AB4+INDEX(角色!$A$3:$DF$32,$D4,IFERROR(VLOOKUP(BS4,数值!$F$3:$P$15,11,FALSE),1))+CC$14</f>
        <v>0</v>
      </c>
      <c r="CC4" s="1">
        <f t="shared" ref="CC4:CC6" si="6">CA4*(1+$AF4)*(1+CB4)*(1+CB$14)</f>
        <v>0</v>
      </c>
      <c r="CD4" s="1">
        <f>INDEX(角色!$A$3:$DF$32,$D4,BT4+1)*1.4556</f>
        <v>0</v>
      </c>
      <c r="CE4" s="1">
        <f>$AG4*(1+INDEX(音擎!$A$3:$AI$42,$O4,音擎!$R$1)*$P4+INDEX(角色!$A$3:$DF$33,$D4,角色!$Q$1)+CK$14)</f>
        <v>86</v>
      </c>
      <c r="CF4" s="1">
        <f>INDEX(角色!$A$3:$DF$32,$D4,BT4+2)</f>
        <v>0</v>
      </c>
      <c r="CG4" s="1">
        <f t="shared" ref="CG4:CG6" si="7">CE4*(1+BY4)*CD4%</f>
        <v>0</v>
      </c>
      <c r="CH4" s="1">
        <f t="shared" ref="CH4:CH6" si="8">$AJ4*(1+CE$14)+CD$14+$AK4</f>
        <v>3250.8</v>
      </c>
      <c r="CI4" s="1">
        <f t="shared" ref="CI4:CI6" si="9">BW4+BX4+CF$14</f>
        <v>0</v>
      </c>
      <c r="CJ4" s="1">
        <f t="shared" ref="CJ4:CJ6" si="10">MIN($AH4+CG$14,1)</f>
        <v>0.81</v>
      </c>
      <c r="CK4" s="4">
        <f t="shared" ref="CK4:CK6" si="11">$AI4+CH$14</f>
        <v>1.46</v>
      </c>
      <c r="CL4" s="1">
        <f>1/(MAX($B$8*MAX(1-INDEX(角色!$A$3:$DF$33,$D4,角色!$U$1)-$X4-CI$14,0)*MAX(1-CJ$14,0)-$Y4,0)/$A$8+1)</f>
        <v>0.5</v>
      </c>
      <c r="CM4" s="1">
        <f t="shared" ref="CM4:CM6" si="12">CH4*BZ4%*(1+CI4)*(1+CJ4*CK4)*CL4*(1+BZ$14)*(1+CA$14)</f>
        <v>0</v>
      </c>
      <c r="CN4" s="45">
        <f>云配队!N6</f>
        <v>0</v>
      </c>
      <c r="CO4" s="1">
        <f>IFERROR(VLOOKUP(CN4,数值!$F$3:$H$15,2,FALSE),1)</f>
        <v>1</v>
      </c>
      <c r="CP4" s="1">
        <f>IFERROR(INDEX(角色!$A$3:$DF$32,$D4,CO4+4)+VLOOKUP(CN4,数值!$F$2:$O$16,10,FALSE),0)</f>
        <v>0</v>
      </c>
      <c r="CQ4" s="1">
        <f>CP4*IFERROR(VLOOKUP(CN4,数值!$F$3:$N$15,9,FALSE),0)+$AD4*DH$8+IFERROR(VLOOKUP($C4&amp;CN4,数值!$AV$1:$AW$11,2,FALSE),0)</f>
        <v>0</v>
      </c>
      <c r="CR4" s="1">
        <f>IFERROR(INDEX(角色!$A$3:$DF$33,$D4,VLOOKUP(CN4,数值!$F$3:$H$15,3,FALSE)),0)</f>
        <v>0</v>
      </c>
      <c r="CS4" s="1">
        <f>IFERROR(INDEX(音擎!$A$3:$AI$42,$O4,VLOOKUP(CN4,数值!$F$3:$L$15,4,FALSE))*$P4+INDEX(驱动盘!$A$3:$Y$17,$R4,VLOOKUP(CN4,数值!$F$3:$L$15,5,FALSE))*$N4+INDEX(驱动盘!$A$3:$Y$17,$R4,驱动盘!$B$1)+INDEX(驱动盘!$A$3:$Y$17,$S4,驱动盘!$B$1)+IF($L4="属伤",30%,0%),0)</f>
        <v>0</v>
      </c>
      <c r="CT4" s="1">
        <f>IFERROR(INDEX(角色!$A$3:$DF$33,$D4,VLOOKUP(CN4,数值!$F$3:$L$15,6,FALSE))+INDEX(音擎!$A$3:$AI$42,$O4,VLOOKUP(CN4,数值!$F$3:$L$15,7,FALSE))+INDEX(驱动盘!$A$3:$Z$17,$R4,VLOOKUP(CN4,数值!$F$3:$M$15,8,FALSE))+DG$14,0)</f>
        <v>0</v>
      </c>
      <c r="CU4" s="1">
        <f>INDEX(角色!$A$3:$DF$32,$D4,CO4)*1.909*IF($G4&gt;=3,IF($G4&gt;=5,1.19,1.095),1)</f>
        <v>0</v>
      </c>
      <c r="CV4" s="1">
        <f>INDEX(角色!$A$3:$DF$32,$D4,CO4+3)</f>
        <v>0</v>
      </c>
      <c r="CW4" s="1">
        <f>$AB4+INDEX(角色!$A$3:$DF$32,$D4,IFERROR(VLOOKUP(CN4,数值!$F$3:$P$15,11,FALSE),1))+CX$14</f>
        <v>0</v>
      </c>
      <c r="CX4" s="1">
        <f t="shared" ref="CX4:CX6" si="13">CV4*(1+$AF4)*(1+CW4)*(1+CW$14)</f>
        <v>0</v>
      </c>
      <c r="CY4" s="1">
        <f>INDEX(角色!$A$3:$DF$32,$D4,CO4+1)*1.4556</f>
        <v>0</v>
      </c>
      <c r="CZ4" s="1">
        <f>$AG4*(1+INDEX(音擎!$A$3:$AI$42,$O4,音擎!$R$1)*$P4+INDEX(角色!$A$3:$DF$33,$D4,角色!$Q$1)+DF$14)</f>
        <v>86</v>
      </c>
      <c r="DA4" s="1">
        <f>INDEX(角色!$A$3:$DF$32,$D4,CO4+2)</f>
        <v>0</v>
      </c>
      <c r="DB4" s="1">
        <f t="shared" ref="DB4:DB6" si="14">CZ4*(1+CT4)*CY4%</f>
        <v>0</v>
      </c>
      <c r="DC4" s="1">
        <f t="shared" ref="DC4:DC6" si="15">$AJ4*(1+CZ$14)+CY$14+$AK4</f>
        <v>3250.8</v>
      </c>
      <c r="DD4" s="1">
        <f t="shared" ref="DD4:DD6" si="16">CR4+CS4+DA$14</f>
        <v>0</v>
      </c>
      <c r="DE4" s="1">
        <f t="shared" ref="DE4:DE6" si="17">MIN($AH4+DB$14,1)</f>
        <v>0.81</v>
      </c>
      <c r="DF4" s="4">
        <f t="shared" ref="DF4:DF6" si="18">$AI4+DC$14</f>
        <v>1.46</v>
      </c>
      <c r="DG4" s="1">
        <f>1/(MAX($B$8*MAX(1-INDEX(角色!$A$3:$DF$33,$D4,角色!$U$1)-$X4-DD$14,0)*MAX(1-DE$14,0)-$Y4,0)/$A$8+1)</f>
        <v>0.5</v>
      </c>
      <c r="DH4" s="1">
        <f t="shared" ref="DH4:DH6" si="19">DC4*CU4%*(1+DD4)*(1+DE4*DF4)*DG4*(1+CU$14)*(1+CV$14)</f>
        <v>0</v>
      </c>
      <c r="DI4" s="45">
        <f>云配队!O6</f>
        <v>0</v>
      </c>
      <c r="DJ4" s="1">
        <f>IFERROR(VLOOKUP(DI4,数值!$F$3:$H$15,2,FALSE),1)</f>
        <v>1</v>
      </c>
      <c r="DK4" s="1">
        <f>IFERROR(INDEX(角色!$A$3:$DF$32,$D4,DJ4+4)+VLOOKUP(DI4,数值!$F$2:$O$16,10,FALSE),0)</f>
        <v>0</v>
      </c>
      <c r="DL4" s="1">
        <f>DK4*IFERROR(VLOOKUP(DI4,数值!$F$3:$N$15,9,FALSE),0)+$AD4*EC$8+IFERROR(VLOOKUP($C4&amp;DI4,数值!$AV$1:$AW$11,2,FALSE),0)</f>
        <v>0</v>
      </c>
      <c r="DM4" s="1">
        <f>IFERROR(INDEX(角色!$A$3:$DF$33,$D4,VLOOKUP(DI4,数值!$F$3:$H$15,3,FALSE)),0)</f>
        <v>0</v>
      </c>
      <c r="DN4" s="1">
        <f>IFERROR(INDEX(音擎!$A$3:$AI$42,$O4,VLOOKUP(DI4,数值!$F$3:$L$15,4,FALSE))*$P4+INDEX(驱动盘!$A$3:$Y$17,$R4,VLOOKUP(DI4,数值!$F$3:$L$15,5,FALSE))*$N4+INDEX(驱动盘!$A$3:$Y$17,$R4,驱动盘!$B$1)+INDEX(驱动盘!$A$3:$Y$17,$S4,驱动盘!$B$1)+IF($L4="属伤",30%,0%),0)</f>
        <v>0</v>
      </c>
      <c r="DO4" s="1">
        <f>IFERROR(INDEX(角色!$A$3:$DF$33,$D4,VLOOKUP(DI4,数值!$F$3:$L$15,6,FALSE))+INDEX(音擎!$A$3:$AI$42,$O4,VLOOKUP(DI4,数值!$F$3:$L$15,7,FALSE))+INDEX(驱动盘!$A$3:$Z$17,$R4,VLOOKUP(DI4,数值!$F$3:$M$15,8,FALSE))+EB$14,0)</f>
        <v>0</v>
      </c>
      <c r="DP4" s="1">
        <f>INDEX(角色!$A$3:$DF$32,$D4,DJ4)*1.909*IF($G4&gt;=3,IF($G4&gt;=5,1.19,1.095),1)</f>
        <v>0</v>
      </c>
      <c r="DQ4" s="1">
        <f>INDEX(角色!$A$3:$DF$32,$D4,DJ4+3)</f>
        <v>0</v>
      </c>
      <c r="DR4" s="1">
        <f>$AB4+INDEX(角色!$A$3:$DF$32,$D4,IFERROR(VLOOKUP(DI4,数值!$F$3:$P$15,11,FALSE),1))+DS$14</f>
        <v>0</v>
      </c>
      <c r="DS4" s="1">
        <f t="shared" ref="DS4:DS6" si="20">DQ4*(1+$AF4)*(1+DR4)*(1+DR$14)</f>
        <v>0</v>
      </c>
      <c r="DT4" s="1">
        <f>INDEX(角色!$A$3:$DF$32,$D4,DJ4+1)*1.4556</f>
        <v>0</v>
      </c>
      <c r="DU4" s="1">
        <f>$AG4*(1+INDEX(音擎!$A$3:$AI$42,$O4,音擎!$R$1)*$P4+INDEX(角色!$A$3:$DF$33,$D4,角色!$Q$1)+EA$14)</f>
        <v>86</v>
      </c>
      <c r="DV4" s="1">
        <f>INDEX(角色!$A$3:$DF$32,$D4,DJ4+2)</f>
        <v>0</v>
      </c>
      <c r="DW4" s="1">
        <f t="shared" ref="DW4:DW6" si="21">DU4*(1+DO4)*DT4%</f>
        <v>0</v>
      </c>
      <c r="DX4" s="1">
        <f t="shared" ref="DX4:DX6" si="22">$AJ4*(1+DU$14)+DT$14+$AK4</f>
        <v>3250.8</v>
      </c>
      <c r="DY4" s="1">
        <f t="shared" ref="DY4:DY6" si="23">DM4+DN4+DV$14</f>
        <v>0</v>
      </c>
      <c r="DZ4" s="1">
        <f t="shared" ref="DZ4:DZ6" si="24">MIN($AH4+DW$14,1)</f>
        <v>0.81</v>
      </c>
      <c r="EA4" s="4">
        <f t="shared" ref="EA4:EA6" si="25">$AI4+DX$14</f>
        <v>1.46</v>
      </c>
      <c r="EB4" s="1">
        <f>1/(MAX($B$8*MAX(1-INDEX(角色!$A$3:$DF$33,$D4,角色!$U$1)-$X4-DY$14,0)*MAX(1-DZ$14,0)-$Y4,0)/$A$8+1)</f>
        <v>0.5</v>
      </c>
      <c r="EC4" s="1">
        <f t="shared" ref="EC4:EC6" si="26">DX4*DP4%*(1+DY4)*(1+DZ4*EA4)*EB4*(1+DP$14)*(1+DQ$14)</f>
        <v>0</v>
      </c>
      <c r="ED4" s="45">
        <f>云配队!P6</f>
        <v>0</v>
      </c>
      <c r="EE4" s="1">
        <f>IFERROR(VLOOKUP(ED4,数值!$F$3:$H$15,2,FALSE),1)</f>
        <v>1</v>
      </c>
      <c r="EF4" s="1">
        <f>IFERROR(INDEX(角色!$A$3:$DF$32,$D4,EE4+4)+VLOOKUP(ED4,数值!$F$2:$O$16,10,FALSE),0)</f>
        <v>0</v>
      </c>
      <c r="EG4" s="1">
        <f>EF4*IFERROR(VLOOKUP(ED4,数值!$F$3:$N$15,9,FALSE),0)+$AD4*EX$8+IFERROR(VLOOKUP($C4&amp;ED4,数值!$AV$1:$AW$11,2,FALSE),0)</f>
        <v>0</v>
      </c>
      <c r="EH4" s="1">
        <f>IFERROR(INDEX(角色!$A$3:$DF$33,$D4,VLOOKUP(ED4,数值!$F$3:$H$15,3,FALSE)),0)</f>
        <v>0</v>
      </c>
      <c r="EI4" s="1">
        <f>IFERROR(INDEX(音擎!$A$3:$AI$42,$O4,VLOOKUP(ED4,数值!$F$3:$L$15,4,FALSE))*$P4+INDEX(驱动盘!$A$3:$Y$17,$R4,VLOOKUP(ED4,数值!$F$3:$L$15,5,FALSE))*$N4+INDEX(驱动盘!$A$3:$Y$17,$R4,驱动盘!$B$1)+INDEX(驱动盘!$A$3:$Y$17,$S4,驱动盘!$B$1)+IF($L4="属伤",30%,0%),0)</f>
        <v>0</v>
      </c>
      <c r="EJ4" s="1">
        <f>IFERROR(INDEX(角色!$A$3:$DF$33,$D4,VLOOKUP(ED4,数值!$F$3:$L$15,6,FALSE))+INDEX(音擎!$A$3:$AI$42,$O4,VLOOKUP(ED4,数值!$F$3:$L$15,7,FALSE))+INDEX(驱动盘!$A$3:$Z$17,$R4,VLOOKUP(ED4,数值!$F$3:$M$15,8,FALSE))+EW$14,0)</f>
        <v>0</v>
      </c>
      <c r="EK4" s="1">
        <f>INDEX(角色!$A$3:$DF$32,$D4,EE4)*1.909*IF($G4&gt;=3,IF($G4&gt;=5,1.19,1.095),1)</f>
        <v>0</v>
      </c>
      <c r="EL4" s="1">
        <f>INDEX(角色!$A$3:$DF$32,$D4,EE4+3)</f>
        <v>0</v>
      </c>
      <c r="EM4" s="1">
        <f>$AB4+INDEX(角色!$A$3:$DF$32,$D4,IFERROR(VLOOKUP(ED4,数值!$F$3:$P$15,11,FALSE),1))+EN$14</f>
        <v>0</v>
      </c>
      <c r="EN4" s="1">
        <f t="shared" ref="EN4:EN6" si="27">EL4*(1+$AF4)*(1+EM4)*(1+EM$14)</f>
        <v>0</v>
      </c>
      <c r="EO4" s="1">
        <f>INDEX(角色!$A$3:$DF$32,$D4,EE4+1)*1.4556</f>
        <v>0</v>
      </c>
      <c r="EP4" s="1">
        <f>$AG4*(1+INDEX(音擎!$A$3:$AI$42,$O4,音擎!$R$1)*$P4+INDEX(角色!$A$3:$DF$33,$D4,角色!$Q$1)+EV$14)</f>
        <v>86</v>
      </c>
      <c r="EQ4" s="1">
        <f>INDEX(角色!$A$3:$DF$32,$D4,EE4+2)</f>
        <v>0</v>
      </c>
      <c r="ER4" s="1">
        <f t="shared" ref="ER4:ER6" si="28">EP4*(1+EJ4)*EO4%</f>
        <v>0</v>
      </c>
      <c r="ES4" s="1">
        <f t="shared" ref="ES4:ES6" si="29">$AJ4*(1+EP$14)+EO$14+$AK4</f>
        <v>3250.8</v>
      </c>
      <c r="ET4" s="1">
        <f t="shared" ref="ET4:ET6" si="30">EH4+EI4+EQ$14</f>
        <v>0</v>
      </c>
      <c r="EU4" s="1">
        <f t="shared" ref="EU4:EU6" si="31">MIN($AH4+ER$14,1)</f>
        <v>0.81</v>
      </c>
      <c r="EV4" s="4">
        <f t="shared" ref="EV4:EV6" si="32">$AI4+ES$14</f>
        <v>1.46</v>
      </c>
      <c r="EW4" s="1">
        <f>1/(MAX($B$8*MAX(1-INDEX(角色!$A$3:$DF$33,$D4,角色!$U$1)-$X4-ET$14,0)*MAX(1-EU$14,0)-$Y4,0)/$A$8+1)</f>
        <v>0.5</v>
      </c>
      <c r="EX4" s="1">
        <f>ES4*EK4%*(1+ET4)*(1+EU4*EV4)*EW4*(1+EK$14)*(1+EL$14)</f>
        <v>0</v>
      </c>
    </row>
    <row r="5" customHeight="1" spans="2:154">
      <c r="B5" s="1" t="s">
        <v>5</v>
      </c>
      <c r="C5" s="45" t="str">
        <f>云配队!F7</f>
        <v>朱鸢</v>
      </c>
      <c r="D5" s="1">
        <f>MATCH(C5,角色!$F$3:$F$33,0)</f>
        <v>1</v>
      </c>
      <c r="E5" s="46" t="str">
        <f>INDEX(角色!$A$3:$DF$33,$D5,角色!H$1)</f>
        <v>以太</v>
      </c>
      <c r="F5" s="46" t="str">
        <f>INDEX(角色!$A$3:$DF$33,$D5,角色!I$1)</f>
        <v>治安局</v>
      </c>
      <c r="G5" s="46">
        <f>INDEX(角色!$A$3:$DF$33,$D5,角色!J$1)</f>
        <v>0</v>
      </c>
      <c r="H5" s="46" t="str">
        <f>VLOOKUP($C5,配装!$A$2:$S$27,配装!$D$1,FALSE)</f>
        <v>防爆者VI型</v>
      </c>
      <c r="I5" s="46" t="str">
        <f>VLOOKUP($C5,配装!$A$2:$S$27,配装!G$1,FALSE)</f>
        <v>混沌重金属</v>
      </c>
      <c r="J5" s="46" t="str">
        <f>VLOOKUP($C5,配装!$A$2:$S$27,配装!J$1,FALSE)</f>
        <v>啄木鸟电音</v>
      </c>
      <c r="K5" s="46" t="str">
        <f>VLOOKUP($C5,配装!$A$2:$S$27,配装!K$1,FALSE)</f>
        <v>暴伤</v>
      </c>
      <c r="L5" s="46" t="str">
        <f>VLOOKUP($C5,配装!$A$2:$S$27,配装!L$1,FALSE)</f>
        <v>攻击</v>
      </c>
      <c r="M5" s="46" t="str">
        <f>VLOOKUP($C5,配装!$A$2:$S$27,配装!M$1,FALSE)</f>
        <v>攻击</v>
      </c>
      <c r="N5" s="46">
        <f>VLOOKUP($C5,配装!$A$2:$S$27,配装!$H$1,FALSE)</f>
        <v>0.6</v>
      </c>
      <c r="O5" s="46">
        <f>MATCH(H5,音擎!$A$3:$A$42,0)</f>
        <v>10</v>
      </c>
      <c r="P5" s="46">
        <f>VLOOKUP($C5,配装!$A$2:$N$27,配装!$E$1,FALSE)</f>
        <v>1</v>
      </c>
      <c r="Q5" s="46">
        <f>INDEX(音擎!$A$3:$AJ$47,O5,音擎!$C$1)</f>
        <v>714</v>
      </c>
      <c r="R5" s="46">
        <f>MATCH(I5,驱动盘!$A$3:$A$17,0)</f>
        <v>5</v>
      </c>
      <c r="S5" s="46">
        <f>MATCH(J5,驱动盘!$A$3:$A$17,0)</f>
        <v>1</v>
      </c>
      <c r="T5" s="46">
        <f>INDEX(音擎!$A$3:$AI$42,$O5,音擎!D$1)+INDEX(驱动盘!$A$3:$Y$17,$R5,驱动盘!C$1)+INDEX(驱动盘!$A$3:$Y$17,$S5,驱动盘!C$1)+IF($K5="攻击",30%,0%)+IF($L5="攻击",30%,0%)+IF($M5="攻击",30%,0%)+VLOOKUP($C5,配装!$A$2:$S$27,配装!P$1,FALSE)*3%</f>
        <v>0.84</v>
      </c>
      <c r="U5" s="46">
        <f>VLOOKUP($C5,配装!$A$2:$S$27,配装!Q$1,FALSE)*22</f>
        <v>0</v>
      </c>
      <c r="V5" s="46">
        <f>INDEX(音擎!$A$3:$AI$42,$O5,音擎!E$1)+INDEX(音擎!$A$3:$AI$42,$O5,音擎!M$1)*$P5+INDEX(驱动盘!$A$3:$Y$17,$R5,驱动盘!D$1)+INDEX(驱动盘!$A$3:$Y$17,$S5,驱动盘!D$1)+INDEX(驱动盘!$A$3:$Y$17,$R5,驱动盘!L$1)*$N5+IF($K5="暴击",24%,0%)+VLOOKUP($C5,配装!$A$2:$S$27,配装!N$1,FALSE)*2.4%</f>
        <v>0.47</v>
      </c>
      <c r="W5" s="46">
        <f>INDEX(音擎!$A$3:$AI$42,$O5,音擎!F$1)+INDEX(音擎!$A$3:$AI$42,$O5,音擎!N$1)*$P5+INDEX(驱动盘!$A$3:$Y$17,$R5,驱动盘!E$1)+INDEX(驱动盘!$A$3:$Y$17,$S5,驱动盘!E$1)+INDEX(驱动盘!$A$3:$Y$17,$R5,驱动盘!M$1)*$N5+IF($K5="暴伤",48%,0%)+VLOOKUP($C5,配装!$A$2:$S$27,配装!O$1,FALSE)*4.8%</f>
        <v>1.758</v>
      </c>
      <c r="X5" s="46">
        <f>INDEX(音擎!$A$3:$AI$42,$O5,音擎!G$1)+INDEX(音擎!$A$3:$AI$42,$O5,音擎!O$1)*$P5+INDEX(驱动盘!$A$3:$Y$17,$R5,驱动盘!F$1)+INDEX(驱动盘!$A$3:$Y$17,$S5,驱动盘!F$1)+IF($L5="穿透",24%,0%)</f>
        <v>0</v>
      </c>
      <c r="Y5" s="46">
        <f>VLOOKUP($C5,配装!$A$2:$S$27,配装!S$1,FALSE)*9</f>
        <v>0</v>
      </c>
      <c r="Z5" s="46">
        <f>INDEX(音擎!$A$3:$AI$42,$O5,音擎!H$1)+INDEX(音擎!$A$3:$AI$42,$O5,音擎!P$1)*$P5+INDEX(驱动盘!$A$3:$Y$17,$R5,驱动盘!G$1)+INDEX(驱动盘!$A$3:$Y$17,$S5,驱动盘!G$1)+IF($K5="精通",92%,0%)+VLOOKUP($C5,配装!$A$2:$S$27,配装!R$1,FALSE)*9%</f>
        <v>0</v>
      </c>
      <c r="AA5" s="46">
        <f>INDEX(音擎!$A$3:$AI$42,$O5,音擎!Q$1)*$P5+IF($M5="掌控",30%,0%)</f>
        <v>0</v>
      </c>
      <c r="AB5" s="46">
        <f>INDEX(音擎!$A$3:$AI$42,$O5,音擎!U$1)*$P5</f>
        <v>0</v>
      </c>
      <c r="AC5" s="46">
        <f>(1.2+INDEX(角色!$A$3:$DF$33,$D5,角色!$AA$1))*(1+INDEX(音擎!$A$3:$AI$42,$O5,音擎!J$1)+INDEX(驱动盘!$A$3:$Y$17,$R5,驱动盘!I$1)+INDEX(驱动盘!$A$3:$Y$17,$S5,驱动盘!I$1)+IF($M5="回能",50%,0%))</f>
        <v>1.2</v>
      </c>
      <c r="AD5" s="46">
        <f>INDEX(音擎!$A$3:$AI$42,$O5,音擎!S$1)</f>
        <v>0</v>
      </c>
      <c r="AE5" s="46">
        <f>INDEX(角色!$A$3:$DF$33,$D5,角色!$AB$1)+INDEX(音擎!$A$3:$AI$42,$O5,音擎!T$1)*$P5</f>
        <v>0</v>
      </c>
      <c r="AF5" s="46">
        <f>INDEX(角色!$A$3:$DF$32,$D5,角色!$V$1)+AA5</f>
        <v>-0.07</v>
      </c>
      <c r="AG5" s="46">
        <f>INDEX(角色!$A$3:$DF$33,$D5,角色!$O$1)*(1+INDEX(角色!$A$3:$DF$33,$D5,角色!$P$1)+INDEX(音擎!$A$3:$AI$42,$O5,音擎!I$1)+INDEX(驱动盘!$A$3:$Y$17,$R5,驱动盘!H$1)+INDEX(驱动盘!$A$3:$Y$17,$S5,驱动盘!H$1)+IF($M5="冲击",18%,0%))</f>
        <v>90</v>
      </c>
      <c r="AH5" s="46">
        <f t="array" ref="AH5">INDEX(角色!$A$3:$DF$33,$D5,角色!$S$1)+$V5</f>
        <v>0.82</v>
      </c>
      <c r="AI5" s="46">
        <f t="array" ref="AI5">INDEX(角色!$A$3:$DF$33,$D5,角色!$T$1)+$W5</f>
        <v>2.546</v>
      </c>
      <c r="AJ5" s="46">
        <f>(INDEX(角色!$A$3:$DF$33,$D5,角色!$K$1)+$Q5)*(1+INDEX(角色!$A$3:$DF$33,$D5,角色!$L$1)+T5)+316+$U5</f>
        <v>3304.16</v>
      </c>
      <c r="AK5" s="46">
        <f>INDEX(角色!$A$3:$DF$33,$D5,角色!$N$1)+INDEX(音擎!$A$3:$AI$42,$O5,音擎!L$1)*$P5*$AJ5+INDEX(角色!$A$3:$DF$33,$D5,角色!$M$1)*$AJ5+INDEX(驱动盘!$A$3:$Y$17,$R5,驱动盘!K$1)*$N5*$AJ5</f>
        <v>0</v>
      </c>
      <c r="AL5" s="46">
        <f t="shared" si="0"/>
        <v>3304.16</v>
      </c>
      <c r="AM5" s="54">
        <f>INDEX(角色!$A$3:$DF$33,$D5,角色!$R$1)+$Z5+$AO$14</f>
        <v>0.02</v>
      </c>
      <c r="AN5" s="46">
        <f>INDEX(角色!$A$3:$DF$33,$D5,数值!$H$16)+INDEX(音擎!$A$3:$AI$42,$O5,音擎!$AF$1)*$P5+INDEX(驱动盘!$A$3:$Y$17,$R5,驱动盘!X$1)*$N5+INDEX(驱动盘!$A$3:$Y$17,$R5,驱动盘!$B$1)+INDEX(驱动盘!$A$3:$Y$17,$S5,驱动盘!$B$1)+IF($L5="属伤",30%,0%)+$AP$14</f>
        <v>0.5</v>
      </c>
      <c r="AO5" s="46">
        <f>VLOOKUP(E5,数值!$AR$2:$AT$7,2,FALSE)</f>
        <v>0.725</v>
      </c>
      <c r="AP5" s="46">
        <f>1/(MAX($B$8*MAX(1-INDEX(角色!$A$3:$DF$33,$D5,角色!$U$1)-$X5-$AQ$14,0)*MAX(1-$AR$14,0)-$Y5,0)/$A$8+1)</f>
        <v>0.5</v>
      </c>
      <c r="AQ5" s="46">
        <f>AL5*(1+AM5)*(1+AN5)*AP5*(58/59+$A$4/59)*(1+$AK$14)*(1+$AJ$14)*(1+$AL$14)</f>
        <v>5055.3648</v>
      </c>
      <c r="AR5" s="46">
        <f t="shared" ref="AR4:AR6" si="33">AO5*AQ5</f>
        <v>3665.13948</v>
      </c>
      <c r="AS5" s="46">
        <f>AL5*(1+AM5)*(1+AN5+云配队!$Q$10)*AP5*(58/59+$A$4/59)*(1+$AK$14)*(1+$AJ$14)*(1+$AL$14)</f>
        <v>5055.3648</v>
      </c>
      <c r="AT5" s="46">
        <f>450%+云配队!$Q7*VLOOKUP(E5,数值!$AR$2:$AT$7,3,FALSE)+云配队!$Q$9</f>
        <v>4.5</v>
      </c>
      <c r="AU5" s="46">
        <f t="shared" ref="AU4:AU6" si="34">AS5*AT5</f>
        <v>22749.1416</v>
      </c>
      <c r="AV5" s="46">
        <f t="shared" si="1"/>
        <v>0</v>
      </c>
      <c r="AW5" s="46">
        <f t="shared" ref="AW4:AW6" si="35">(BA5+BV5+CQ5+DL5+EG5+AC5*$ED$16)*(1+$AE5)</f>
        <v>0</v>
      </c>
      <c r="AX5" s="45">
        <f>云配队!L7</f>
        <v>0</v>
      </c>
      <c r="AY5" s="1">
        <f>IFERROR(VLOOKUP(AX5,数值!$F$3:$H$15,2,FALSE),1)</f>
        <v>1</v>
      </c>
      <c r="AZ5" s="1">
        <f>IFERROR(INDEX(角色!$A$3:$DF$32,$D5,AY5+4)+VLOOKUP(AX5,数值!$F$2:$O$16,10,FALSE),0)</f>
        <v>0</v>
      </c>
      <c r="BA5" s="1">
        <f>AZ5*IFERROR(VLOOKUP(AX5,数值!$F$3:$N$15,9,FALSE),0)+$AD5*BR$8+IFERROR(VLOOKUP($C5&amp;AX5,数值!$AV$1:$AW$11,2,FALSE),0)</f>
        <v>0</v>
      </c>
      <c r="BB5" s="1">
        <f>IFERROR(INDEX(角色!$A$3:$DF$33,$D5,VLOOKUP(AX5,数值!$F$3:$H$15,3,FALSE)),0)</f>
        <v>0</v>
      </c>
      <c r="BC5" s="1">
        <f>IFERROR(INDEX(音擎!$A$3:$AI$42,$O5,VLOOKUP(AX5,数值!$F$3:$L$15,4,FALSE))*$P5+INDEX(驱动盘!$A$3:$Y$17,$R5,VLOOKUP(AX5,数值!$F$3:$L$15,5,FALSE))*$N5+INDEX(驱动盘!$A$3:$Y$17,$R5,驱动盘!$B$1)+INDEX(驱动盘!$A$3:$Y$17,$S5,驱动盘!$B$1)+IF($L5="属伤",30%,0%),0)</f>
        <v>0</v>
      </c>
      <c r="BD5" s="1">
        <f>IFERROR(INDEX(角色!$A$3:$DF$33,$D5,VLOOKUP(AX5,数值!$F$3:$L$15,6,FALSE))+INDEX(音擎!$A$3:$AI$42,$O5,VLOOKUP(AX5,数值!$F$3:$L$15,7,FALSE))+INDEX(驱动盘!$A$3:$Z$17,$R5,VLOOKUP(AX5,数值!$F$3:$M$15,8,FALSE))+BQ$14,0)</f>
        <v>0</v>
      </c>
      <c r="BE5" s="1">
        <f>INDEX(角色!$A$3:$DF$32,$D5,AY5)*1.909*IF($G5&gt;=3,IF($G5&gt;=5,1.19,1.095),1)</f>
        <v>0</v>
      </c>
      <c r="BF5" s="1">
        <f>INDEX(角色!$A$3:$DF$32,$D5,AY5+3)</f>
        <v>0</v>
      </c>
      <c r="BG5" s="1">
        <f>$AB5+INDEX(角色!$A$3:$DF$32,$D5,IFERROR(VLOOKUP(AX5,数值!$F$3:$P$15,11,FALSE),1))+BH$14</f>
        <v>0</v>
      </c>
      <c r="BH5" s="1">
        <f>BF5*(1+$AF5)*(1+BG5)*(1+BG$14)</f>
        <v>0</v>
      </c>
      <c r="BI5" s="1">
        <f>INDEX(角色!$A$3:$DF$32,$D5,AY5+1)*1.4556</f>
        <v>0</v>
      </c>
      <c r="BJ5" s="1">
        <f>$AG5*(1+INDEX(音擎!$A$3:$AI$42,$O5,音擎!$R$1)*$P5+INDEX(角色!$A$3:$DF$33,$D5,角色!$Q$1)+BP$14)</f>
        <v>90</v>
      </c>
      <c r="BK5" s="1">
        <f>INDEX(角色!$A$3:$DF$32,$D5,AY5+2)</f>
        <v>0</v>
      </c>
      <c r="BL5" s="1">
        <f t="shared" si="2"/>
        <v>0</v>
      </c>
      <c r="BM5" s="1">
        <f t="shared" si="3"/>
        <v>3304.16</v>
      </c>
      <c r="BN5" s="1">
        <f t="shared" ref="BN4:BN6" si="36">BB5+BC5+BK$14</f>
        <v>0</v>
      </c>
      <c r="BO5" s="1">
        <f t="shared" ref="BO4:BO6" si="37">MIN($AH5+BL$14,1)</f>
        <v>0.82</v>
      </c>
      <c r="BP5" s="4">
        <f t="shared" si="4"/>
        <v>2.546</v>
      </c>
      <c r="BQ5" s="1">
        <f>1/(MAX($B$8*MAX(1-INDEX(角色!$A$3:$DF$33,$D5,角色!$U$1)-$X5-BN$14,0)*MAX(1-BO$14,0)-$Y5,0)/$A$8+1)</f>
        <v>0.5</v>
      </c>
      <c r="BR5" s="1">
        <f t="shared" si="5"/>
        <v>0</v>
      </c>
      <c r="BS5" s="45">
        <f>云配队!M7</f>
        <v>0</v>
      </c>
      <c r="BT5" s="1">
        <f>IFERROR(VLOOKUP(BS5,数值!$F$3:$H$15,2,FALSE),1)</f>
        <v>1</v>
      </c>
      <c r="BU5" s="1">
        <f>IFERROR(INDEX(角色!$A$3:$DF$32,$D5,BT5+4)+VLOOKUP(BS5,数值!$F$2:$O$16,10,FALSE),0)</f>
        <v>0</v>
      </c>
      <c r="BV5" s="1">
        <f>BU5*IFERROR(VLOOKUP(BS5,数值!$F$3:$N$15,9,FALSE),0)+$AD5*CM$8+IFERROR(VLOOKUP($C5&amp;BS5,数值!$AV$1:$AW$11,2,FALSE),0)</f>
        <v>0</v>
      </c>
      <c r="BW5" s="1">
        <f>IFERROR(INDEX(角色!$A$3:$DF$33,$D5,VLOOKUP(BS5,数值!$F$3:$H$15,3,FALSE)),0)</f>
        <v>0</v>
      </c>
      <c r="BX5" s="1">
        <f>IFERROR(INDEX(音擎!$A$3:$AI$42,$O5,VLOOKUP(BS5,数值!$F$3:$L$15,4,FALSE))*$P5+INDEX(驱动盘!$A$3:$Y$17,$R5,VLOOKUP(BS5,数值!$F$3:$L$15,5,FALSE))*$N5+INDEX(驱动盘!$A$3:$Y$17,$R5,驱动盘!$B$1)+INDEX(驱动盘!$A$3:$Y$17,$S5,驱动盘!$B$1)+IF($L5="属伤",30%,0%),0)</f>
        <v>0</v>
      </c>
      <c r="BY5" s="1">
        <f>IFERROR(INDEX(角色!$A$3:$DF$33,$D5,VLOOKUP(BS5,数值!$F$3:$L$15,6,FALSE))+INDEX(音擎!$A$3:$AI$42,$O5,VLOOKUP(BS5,数值!$F$3:$L$15,7,FALSE))+INDEX(驱动盘!$A$3:$Z$17,$R5,VLOOKUP(BS5,数值!$F$3:$M$15,8,FALSE))+CL$14,0)</f>
        <v>0</v>
      </c>
      <c r="BZ5" s="1">
        <f>INDEX(角色!$A$3:$DF$32,$D5,BT5)*1.909*IF($G5&gt;=3,IF($G5&gt;=5,1.19,1.095),1)</f>
        <v>0</v>
      </c>
      <c r="CA5" s="1">
        <f>INDEX(角色!$A$3:$DF$32,$D5,BT5+3)</f>
        <v>0</v>
      </c>
      <c r="CB5" s="1">
        <f>$AB5+INDEX(角色!$A$3:$DF$32,$D5,IFERROR(VLOOKUP(BS5,数值!$F$3:$P$15,11,FALSE),1))+CC$14</f>
        <v>0</v>
      </c>
      <c r="CC5" s="1">
        <f t="shared" si="6"/>
        <v>0</v>
      </c>
      <c r="CD5" s="1">
        <f>INDEX(角色!$A$3:$DF$32,$D5,BT5+1)*1.4556</f>
        <v>0</v>
      </c>
      <c r="CE5" s="1">
        <f>$AG5*(1+INDEX(音擎!$A$3:$AI$42,$O5,音擎!$R$1)*$P5+INDEX(角色!$A$3:$DF$33,$D5,角色!$Q$1)+CK$14)</f>
        <v>90</v>
      </c>
      <c r="CF5" s="1">
        <f>INDEX(角色!$A$3:$DF$32,$D5,BT5+2)</f>
        <v>0</v>
      </c>
      <c r="CG5" s="1">
        <f t="shared" si="7"/>
        <v>0</v>
      </c>
      <c r="CH5" s="1">
        <f t="shared" si="8"/>
        <v>3304.16</v>
      </c>
      <c r="CI5" s="1">
        <f t="shared" si="9"/>
        <v>0</v>
      </c>
      <c r="CJ5" s="1">
        <f t="shared" si="10"/>
        <v>0.82</v>
      </c>
      <c r="CK5" s="4">
        <f t="shared" si="11"/>
        <v>2.546</v>
      </c>
      <c r="CL5" s="1">
        <f>1/(MAX($B$8*MAX(1-INDEX(角色!$A$3:$DF$33,$D5,角色!$U$1)-$X5-CI$14,0)*MAX(1-CJ$14,0)-$Y5,0)/$A$8+1)</f>
        <v>0.5</v>
      </c>
      <c r="CM5" s="1">
        <f t="shared" si="12"/>
        <v>0</v>
      </c>
      <c r="CN5" s="45">
        <f>云配队!N7</f>
        <v>0</v>
      </c>
      <c r="CO5" s="1">
        <f>IFERROR(VLOOKUP(CN5,数值!$F$3:$H$15,2,FALSE),1)</f>
        <v>1</v>
      </c>
      <c r="CP5" s="1">
        <f>IFERROR(INDEX(角色!$A$3:$DF$32,$D5,CO5+4)+VLOOKUP(CN5,数值!$F$2:$O$16,10,FALSE),0)</f>
        <v>0</v>
      </c>
      <c r="CQ5" s="1">
        <f>CP5*IFERROR(VLOOKUP(CN5,数值!$F$3:$N$15,9,FALSE),0)+$AD5*DH$8+IFERROR(VLOOKUP($C5&amp;CN5,数值!$AV$1:$AW$11,2,FALSE),0)</f>
        <v>0</v>
      </c>
      <c r="CR5" s="1">
        <f>IFERROR(INDEX(角色!$A$3:$DF$33,$D5,VLOOKUP(CN5,数值!$F$3:$H$15,3,FALSE)),0)</f>
        <v>0</v>
      </c>
      <c r="CS5" s="1">
        <f>IFERROR(INDEX(音擎!$A$3:$AI$42,$O5,VLOOKUP(CN5,数值!$F$3:$L$15,4,FALSE))*$P5+INDEX(驱动盘!$A$3:$Y$17,$R5,VLOOKUP(CN5,数值!$F$3:$L$15,5,FALSE))*$N5+INDEX(驱动盘!$A$3:$Y$17,$R5,驱动盘!$B$1)+INDEX(驱动盘!$A$3:$Y$17,$S5,驱动盘!$B$1)+IF($L5="属伤",30%,0%),0)</f>
        <v>0</v>
      </c>
      <c r="CT5" s="1">
        <f>IFERROR(INDEX(角色!$A$3:$DF$33,$D5,VLOOKUP(CN5,数值!$F$3:$L$15,6,FALSE))+INDEX(音擎!$A$3:$AI$42,$O5,VLOOKUP(CN5,数值!$F$3:$L$15,7,FALSE))+INDEX(驱动盘!$A$3:$Z$17,$R5,VLOOKUP(CN5,数值!$F$3:$M$15,8,FALSE))+DG$14,0)</f>
        <v>0</v>
      </c>
      <c r="CU5" s="1">
        <f>INDEX(角色!$A$3:$DF$32,$D5,CO5)*1.909*IF($G5&gt;=3,IF($G5&gt;=5,1.19,1.095),1)</f>
        <v>0</v>
      </c>
      <c r="CV5" s="1">
        <f>INDEX(角色!$A$3:$DF$32,$D5,CO5+3)</f>
        <v>0</v>
      </c>
      <c r="CW5" s="1">
        <f>$AB5+INDEX(角色!$A$3:$DF$32,$D5,IFERROR(VLOOKUP(CN5,数值!$F$3:$P$15,11,FALSE),1))+CX$14</f>
        <v>0</v>
      </c>
      <c r="CX5" s="1">
        <f t="shared" si="13"/>
        <v>0</v>
      </c>
      <c r="CY5" s="1">
        <f>INDEX(角色!$A$3:$DF$32,$D5,CO5+1)*1.4556</f>
        <v>0</v>
      </c>
      <c r="CZ5" s="1">
        <f>$AG5*(1+INDEX(音擎!$A$3:$AI$42,$O5,音擎!$R$1)*$P5+INDEX(角色!$A$3:$DF$33,$D5,角色!$Q$1)+DF$14)</f>
        <v>90</v>
      </c>
      <c r="DA5" s="1">
        <f>INDEX(角色!$A$3:$DF$32,$D5,CO5+2)</f>
        <v>0</v>
      </c>
      <c r="DB5" s="1">
        <f t="shared" si="14"/>
        <v>0</v>
      </c>
      <c r="DC5" s="1">
        <f t="shared" si="15"/>
        <v>3304.16</v>
      </c>
      <c r="DD5" s="1">
        <f t="shared" si="16"/>
        <v>0</v>
      </c>
      <c r="DE5" s="1">
        <f t="shared" si="17"/>
        <v>0.82</v>
      </c>
      <c r="DF5" s="4">
        <f t="shared" si="18"/>
        <v>2.546</v>
      </c>
      <c r="DG5" s="1">
        <f>1/(MAX($B$8*MAX(1-INDEX(角色!$A$3:$DF$33,$D5,角色!$U$1)-$X5-DD$14,0)*MAX(1-DE$14,0)-$Y5,0)/$A$8+1)</f>
        <v>0.5</v>
      </c>
      <c r="DH5" s="1">
        <f t="shared" si="19"/>
        <v>0</v>
      </c>
      <c r="DI5" s="45">
        <f>云配队!O7</f>
        <v>0</v>
      </c>
      <c r="DJ5" s="1">
        <f>IFERROR(VLOOKUP(DI5,数值!$F$3:$H$15,2,FALSE),1)</f>
        <v>1</v>
      </c>
      <c r="DK5" s="1">
        <f>IFERROR(INDEX(角色!$A$3:$DF$32,$D5,DJ5+4)+VLOOKUP(DI5,数值!$F$2:$O$16,10,FALSE),0)</f>
        <v>0</v>
      </c>
      <c r="DL5" s="1">
        <f>DK5*IFERROR(VLOOKUP(DI5,数值!$F$3:$N$15,9,FALSE),0)+$AD5*EC$8+IFERROR(VLOOKUP($C5&amp;DI5,数值!$AV$1:$AW$11,2,FALSE),0)</f>
        <v>0</v>
      </c>
      <c r="DM5" s="1">
        <f>IFERROR(INDEX(角色!$A$3:$DF$33,$D5,VLOOKUP(DI5,数值!$F$3:$H$15,3,FALSE)),0)</f>
        <v>0</v>
      </c>
      <c r="DN5" s="1">
        <f>IFERROR(INDEX(音擎!$A$3:$AI$42,$O5,VLOOKUP(DI5,数值!$F$3:$L$15,4,FALSE))*$P5+INDEX(驱动盘!$A$3:$Y$17,$R5,VLOOKUP(DI5,数值!$F$3:$L$15,5,FALSE))*$N5+INDEX(驱动盘!$A$3:$Y$17,$R5,驱动盘!$B$1)+INDEX(驱动盘!$A$3:$Y$17,$S5,驱动盘!$B$1)+IF($L5="属伤",30%,0%),0)</f>
        <v>0</v>
      </c>
      <c r="DO5" s="1">
        <f>IFERROR(INDEX(角色!$A$3:$DF$33,$D5,VLOOKUP(DI5,数值!$F$3:$L$15,6,FALSE))+INDEX(音擎!$A$3:$AI$42,$O5,VLOOKUP(DI5,数值!$F$3:$L$15,7,FALSE))+INDEX(驱动盘!$A$3:$Z$17,$R5,VLOOKUP(DI5,数值!$F$3:$M$15,8,FALSE))+EB$14,0)</f>
        <v>0</v>
      </c>
      <c r="DP5" s="1">
        <f>INDEX(角色!$A$3:$DF$32,$D5,DJ5)*1.909*IF($G5&gt;=3,IF($G5&gt;=5,1.19,1.095),1)</f>
        <v>0</v>
      </c>
      <c r="DQ5" s="1">
        <f>INDEX(角色!$A$3:$DF$32,$D5,DJ5+3)</f>
        <v>0</v>
      </c>
      <c r="DR5" s="1">
        <f>$AB5+INDEX(角色!$A$3:$DF$32,$D5,IFERROR(VLOOKUP(DI5,数值!$F$3:$P$15,11,FALSE),1))+DS$14</f>
        <v>0</v>
      </c>
      <c r="DS5" s="1">
        <f t="shared" si="20"/>
        <v>0</v>
      </c>
      <c r="DT5" s="1">
        <f>INDEX(角色!$A$3:$DF$32,$D5,DJ5+1)*1.4556</f>
        <v>0</v>
      </c>
      <c r="DU5" s="1">
        <f>$AG5*(1+INDEX(音擎!$A$3:$AI$42,$O5,音擎!$R$1)*$P5+INDEX(角色!$A$3:$DF$33,$D5,角色!$Q$1)+EA$14)</f>
        <v>90</v>
      </c>
      <c r="DV5" s="1">
        <f>INDEX(角色!$A$3:$DF$32,$D5,DJ5+2)</f>
        <v>0</v>
      </c>
      <c r="DW5" s="1">
        <f t="shared" si="21"/>
        <v>0</v>
      </c>
      <c r="DX5" s="1">
        <f t="shared" si="22"/>
        <v>3304.16</v>
      </c>
      <c r="DY5" s="1">
        <f t="shared" si="23"/>
        <v>0</v>
      </c>
      <c r="DZ5" s="1">
        <f t="shared" si="24"/>
        <v>0.82</v>
      </c>
      <c r="EA5" s="4">
        <f t="shared" si="25"/>
        <v>2.546</v>
      </c>
      <c r="EB5" s="1">
        <f>1/(MAX($B$8*MAX(1-INDEX(角色!$A$3:$DF$33,$D5,角色!$U$1)-$X5-DY$14,0)*MAX(1-DZ$14,0)-$Y5,0)/$A$8+1)</f>
        <v>0.5</v>
      </c>
      <c r="EC5" s="1">
        <f t="shared" si="26"/>
        <v>0</v>
      </c>
      <c r="ED5" s="45">
        <f>云配队!P7</f>
        <v>0</v>
      </c>
      <c r="EE5" s="1">
        <f>IFERROR(VLOOKUP(ED5,数值!$F$3:$H$15,2,FALSE),1)</f>
        <v>1</v>
      </c>
      <c r="EF5" s="1">
        <f>IFERROR(INDEX(角色!$A$3:$DF$32,$D5,EE5+4)+VLOOKUP(ED5,数值!$F$2:$O$16,10,FALSE),0)</f>
        <v>0</v>
      </c>
      <c r="EG5" s="1">
        <f>EF5*IFERROR(VLOOKUP(ED5,数值!$F$3:$N$15,9,FALSE),0)+$AD5*EX$8+IFERROR(VLOOKUP($C5&amp;ED5,数值!$AV$1:$AW$11,2,FALSE),0)</f>
        <v>0</v>
      </c>
      <c r="EH5" s="1">
        <f>IFERROR(INDEX(角色!$A$3:$DF$33,$D5,VLOOKUP(ED5,数值!$F$3:$H$15,3,FALSE)),0)</f>
        <v>0</v>
      </c>
      <c r="EI5" s="1">
        <f>IFERROR(INDEX(音擎!$A$3:$AI$42,$O5,VLOOKUP(ED5,数值!$F$3:$L$15,4,FALSE))*$P5+INDEX(驱动盘!$A$3:$Y$17,$R5,VLOOKUP(ED5,数值!$F$3:$L$15,5,FALSE))*$N5+INDEX(驱动盘!$A$3:$Y$17,$R5,驱动盘!$B$1)+INDEX(驱动盘!$A$3:$Y$17,$S5,驱动盘!$B$1)+IF($L5="属伤",30%,0%),0)</f>
        <v>0</v>
      </c>
      <c r="EJ5" s="1">
        <f>IFERROR(INDEX(角色!$A$3:$DF$33,$D5,VLOOKUP(ED5,数值!$F$3:$L$15,6,FALSE))+INDEX(音擎!$A$3:$AI$42,$O5,VLOOKUP(ED5,数值!$F$3:$L$15,7,FALSE))+INDEX(驱动盘!$A$3:$Z$17,$R5,VLOOKUP(ED5,数值!$F$3:$M$15,8,FALSE))+EW$14,0)</f>
        <v>0</v>
      </c>
      <c r="EK5" s="1">
        <f>INDEX(角色!$A$3:$DF$32,$D5,EE5)*1.909*IF($G5&gt;=3,IF($G5&gt;=5,1.19,1.095),1)</f>
        <v>0</v>
      </c>
      <c r="EL5" s="1">
        <f>INDEX(角色!$A$3:$DF$32,$D5,EE5+3)</f>
        <v>0</v>
      </c>
      <c r="EM5" s="1">
        <f>$AB5+INDEX(角色!$A$3:$DF$32,$D5,IFERROR(VLOOKUP(ED5,数值!$F$3:$P$15,11,FALSE),1))+EN$14</f>
        <v>0</v>
      </c>
      <c r="EN5" s="1">
        <f t="shared" si="27"/>
        <v>0</v>
      </c>
      <c r="EO5" s="1">
        <f>INDEX(角色!$A$3:$DF$32,$D5,EE5+1)*1.4556</f>
        <v>0</v>
      </c>
      <c r="EP5" s="1">
        <f>$AG5*(1+INDEX(音擎!$A$3:$AI$42,$O5,音擎!$R$1)*$P5+INDEX(角色!$A$3:$DF$33,$D5,角色!$Q$1)+EV$14)</f>
        <v>90</v>
      </c>
      <c r="EQ5" s="1">
        <f>INDEX(角色!$A$3:$DF$32,$D5,EE5+2)</f>
        <v>0</v>
      </c>
      <c r="ER5" s="1">
        <f t="shared" si="28"/>
        <v>0</v>
      </c>
      <c r="ES5" s="1">
        <f t="shared" si="29"/>
        <v>3304.16</v>
      </c>
      <c r="ET5" s="1">
        <f t="shared" si="30"/>
        <v>0</v>
      </c>
      <c r="EU5" s="1">
        <f t="shared" si="31"/>
        <v>0.82</v>
      </c>
      <c r="EV5" s="4">
        <f t="shared" si="32"/>
        <v>2.546</v>
      </c>
      <c r="EW5" s="1">
        <f>1/(MAX($B$8*MAX(1-INDEX(角色!$A$3:$DF$33,$D5,角色!$U$1)-$X5-ET$14,0)*MAX(1-EU$14,0)-$Y5,0)/$A$8+1)</f>
        <v>0.5</v>
      </c>
      <c r="EX5" s="1">
        <f>ES5*EK5%*(1+ET5)*(1+EU5*EV5)*EW5*(1+EK$14)*(1+EL$14)</f>
        <v>0</v>
      </c>
    </row>
    <row r="6" customHeight="1" spans="2:154">
      <c r="B6" s="1" t="str">
        <f>云配队!E4</f>
        <v>精英</v>
      </c>
      <c r="C6" s="47" t="str">
        <f>云配队!F8</f>
        <v>柳</v>
      </c>
      <c r="D6" s="1">
        <f>MATCH(C6,角色!$F$3:$F$33,0)</f>
        <v>14</v>
      </c>
      <c r="E6" s="46" t="str">
        <f>INDEX(角色!$A$3:$DF$33,$D6,角色!H$1)</f>
        <v>电</v>
      </c>
      <c r="F6" s="46" t="str">
        <f>INDEX(角色!$A$3:$DF$33,$D6,角色!I$1)</f>
        <v>六科</v>
      </c>
      <c r="G6" s="46">
        <f>INDEX(角色!$A$3:$DF$33,$D6,角色!J$1)</f>
        <v>0</v>
      </c>
      <c r="H6" s="46" t="str">
        <f>VLOOKUP($C6,配装!$A$2:$S$27,配装!$D$1,FALSE)</f>
        <v>时流贤者</v>
      </c>
      <c r="I6" s="46" t="str">
        <f>VLOOKUP($C6,配装!$A$2:$S$27,配装!G$1,FALSE)</f>
        <v>雷暴重金属</v>
      </c>
      <c r="J6" s="46" t="str">
        <f>VLOOKUP($C6,配装!$A$2:$S$27,配装!J$1,FALSE)</f>
        <v>自由蓝调</v>
      </c>
      <c r="K6" s="46" t="str">
        <f>VLOOKUP($C6,配装!$A$2:$S$27,配装!K$1,FALSE)</f>
        <v>精通</v>
      </c>
      <c r="L6" s="46" t="str">
        <f>VLOOKUP($C6,配装!$A$2:$S$27,配装!L$1,FALSE)</f>
        <v>属伤</v>
      </c>
      <c r="M6" s="46" t="str">
        <f>VLOOKUP($C6,配装!$A$2:$S$27,配装!M$1,FALSE)</f>
        <v>攻击</v>
      </c>
      <c r="N6" s="46">
        <f>VLOOKUP($C6,配装!$A$2:$S$27,配装!$H$1,FALSE)</f>
        <v>0.7</v>
      </c>
      <c r="O6" s="46">
        <f>MATCH(H6,音擎!$A$3:$A$42,0)</f>
        <v>21</v>
      </c>
      <c r="P6" s="46">
        <f>VLOOKUP($C6,配装!$A$2:$N$27,配装!$E$1,FALSE)</f>
        <v>1</v>
      </c>
      <c r="Q6" s="46">
        <f>INDEX(音擎!$A$3:$AJ$47,O6,音擎!$C$1)</f>
        <v>714</v>
      </c>
      <c r="R6" s="46">
        <f>MATCH(I6,驱动盘!$A$3:$A$17,0)</f>
        <v>7</v>
      </c>
      <c r="S6" s="46">
        <f>MATCH(J6,驱动盘!$A$3:$A$17,0)</f>
        <v>11</v>
      </c>
      <c r="T6" s="46">
        <f>INDEX(音擎!$A$3:$AI$42,$O6,音擎!D$1)+INDEX(驱动盘!$A$3:$Y$17,$R6,驱动盘!C$1)+INDEX(驱动盘!$A$3:$Y$17,$S6,驱动盘!C$1)+IF($K6="攻击",30%,0%)+IF($L6="攻击",30%,0%)+IF($M6="攻击",30%,0%)+VLOOKUP($C6,配装!$A$2:$S$27,配装!P$1,FALSE)*3%</f>
        <v>0.9</v>
      </c>
      <c r="U6" s="46">
        <f>VLOOKUP($C6,配装!$A$2:$S$27,配装!Q$1,FALSE)*22</f>
        <v>176</v>
      </c>
      <c r="V6" s="46">
        <f>INDEX(音擎!$A$3:$AI$42,$O6,音擎!E$1)+INDEX(音擎!$A$3:$AI$42,$O6,音擎!M$1)*$P6+INDEX(驱动盘!$A$3:$Y$17,$R6,驱动盘!D$1)+INDEX(驱动盘!$A$3:$Y$17,$S6,驱动盘!D$1)+INDEX(驱动盘!$A$3:$Y$17,$R6,驱动盘!L$1)*$N6+IF($K6="暴击",24%,0%)+VLOOKUP($C6,配装!$A$2:$S$27,配装!N$1,FALSE)*2.4%</f>
        <v>0</v>
      </c>
      <c r="W6" s="46">
        <f>INDEX(音擎!$A$3:$AI$42,$O6,音擎!F$1)+INDEX(音擎!$A$3:$AI$42,$O6,音擎!N$1)*$P6+INDEX(驱动盘!$A$3:$Y$17,$R6,驱动盘!E$1)+INDEX(驱动盘!$A$3:$Y$17,$S6,驱动盘!E$1)+INDEX(驱动盘!$A$3:$Y$17,$R6,驱动盘!M$1)*$N6+IF($K6="暴伤",48%,0%)+VLOOKUP($C6,配装!$A$2:$S$27,配装!O$1,FALSE)*4.8%</f>
        <v>0</v>
      </c>
      <c r="X6" s="46">
        <f>INDEX(音擎!$A$3:$AI$42,$O6,音擎!G$1)+INDEX(音擎!$A$3:$AI$42,$O6,音擎!O$1)*$P6+INDEX(驱动盘!$A$3:$Y$17,$R6,驱动盘!F$1)+INDEX(驱动盘!$A$3:$Y$17,$S6,驱动盘!F$1)+IF($L6="穿透",24%,0%)</f>
        <v>0</v>
      </c>
      <c r="Y6" s="46">
        <f>VLOOKUP($C6,配装!$A$2:$S$27,配装!S$1,FALSE)*9</f>
        <v>0</v>
      </c>
      <c r="Z6" s="46">
        <f>INDEX(音擎!$A$3:$AI$42,$O6,音擎!H$1)+INDEX(音擎!$A$3:$AI$42,$O6,音擎!P$1)*$P6+INDEX(驱动盘!$A$3:$Y$17,$R6,驱动盘!G$1)+INDEX(驱动盘!$A$3:$Y$17,$S6,驱动盘!G$1)+IF($K6="精通",92%,0%)+VLOOKUP($C6,配装!$A$2:$S$27,配装!R$1,FALSE)*9%</f>
        <v>2.87</v>
      </c>
      <c r="AA6" s="46">
        <f>INDEX(音擎!$A$3:$AI$42,$O6,音擎!Q$1)*$P6+IF($M6="掌控",30%,0%)</f>
        <v>0</v>
      </c>
      <c r="AB6" s="46">
        <f>INDEX(音擎!$A$3:$AI$42,$O6,音擎!U$1)*$P6</f>
        <v>0.3</v>
      </c>
      <c r="AC6" s="46">
        <f>(1.2+INDEX(角色!$A$3:$DF$33,$D6,角色!$AA$1))*(1+INDEX(音擎!$A$3:$AI$42,$O6,音擎!J$1)+INDEX(驱动盘!$A$3:$Y$17,$R6,驱动盘!I$1)+INDEX(驱动盘!$A$3:$Y$17,$S6,驱动盘!I$1)+IF($M6="回能",50%,0%))</f>
        <v>1.2</v>
      </c>
      <c r="AD6" s="46">
        <f>INDEX(音擎!$A$3:$AI$42,$O6,音擎!S$1)</f>
        <v>0</v>
      </c>
      <c r="AE6" s="46">
        <f>INDEX(角色!$A$3:$DF$33,$D6,角色!$AB$1)+INDEX(音擎!$A$3:$AI$42,$O6,音擎!T$1)*$P6</f>
        <v>0</v>
      </c>
      <c r="AF6" s="46">
        <f>INDEX(角色!$A$3:$DF$32,$D6,角色!$V$1)+AA6</f>
        <v>0.48</v>
      </c>
      <c r="AG6" s="46">
        <f>INDEX(角色!$A$3:$DF$33,$D6,角色!$O$1)*(1+INDEX(角色!$A$3:$DF$33,$D6,角色!$P$1)+INDEX(音擎!$A$3:$AI$42,$O6,音擎!I$1)+INDEX(驱动盘!$A$3:$Y$17,$R6,驱动盘!H$1)+INDEX(驱动盘!$A$3:$Y$17,$S6,驱动盘!H$1)+IF($M6="冲击",18%,0%))</f>
        <v>86</v>
      </c>
      <c r="AH6" s="46">
        <f t="array" ref="AH6">INDEX(角色!$A$3:$DF$33,$D6,角色!$S$1)+$V6</f>
        <v>0.05</v>
      </c>
      <c r="AI6" s="46">
        <f t="array" ref="AI6">INDEX(角色!$A$3:$DF$33,$D6,角色!$T$1)+$W6</f>
        <v>0.5</v>
      </c>
      <c r="AJ6" s="46">
        <f>(INDEX(角色!$A$3:$DF$33,$D6,角色!$K$1)+$Q6)*(1+INDEX(角色!$A$3:$DF$33,$D6,角色!$L$1)+T6)+316+$U6</f>
        <v>3505.4</v>
      </c>
      <c r="AK6" s="46">
        <f>INDEX(角色!$A$3:$DF$33,$D6,角色!$N$1)+INDEX(音擎!$A$3:$AI$42,$O6,音擎!L$1)*$P6*$AJ6+INDEX(角色!$A$3:$DF$33,$D6,角色!$M$1)*$AJ6+INDEX(驱动盘!$A$3:$Y$17,$R6,驱动盘!K$1)*$N6*$AJ6</f>
        <v>662.5206</v>
      </c>
      <c r="AL6" s="46">
        <f t="shared" si="0"/>
        <v>4167.9206</v>
      </c>
      <c r="AM6" s="54">
        <f>INDEX(角色!$A$3:$DF$33,$D6,角色!$R$1)+$Z6+$AO$14</f>
        <v>3.01</v>
      </c>
      <c r="AN6" s="46">
        <f>INDEX(角色!$A$3:$DF$33,$D6,数值!$H$16)+INDEX(音擎!$A$3:$AI$42,$O6,音擎!$AF$1)*$P6+INDEX(驱动盘!$A$3:$Y$17,$R6,驱动盘!X$1)*$N6+INDEX(驱动盘!$A$3:$Y$17,$R6,驱动盘!$B$1)+INDEX(驱动盘!$A$3:$Y$17,$S6,驱动盘!$B$1)+IF($L6="属伤",30%,0%)+$AP$14</f>
        <v>0.7</v>
      </c>
      <c r="AO6" s="46">
        <f>VLOOKUP(E6,数值!$AR$2:$AT$7,2,FALSE)</f>
        <v>1.25</v>
      </c>
      <c r="AP6" s="46">
        <f>1/(MAX($B$8*MAX(1-INDEX(角色!$A$3:$DF$33,$D6,角色!$U$1)-$X6-$AQ$14,0)*MAX(1-$AR$14,0)-$Y6,0)/$A$8+1)</f>
        <v>0.526315789473684</v>
      </c>
      <c r="AQ6" s="46">
        <f>AL6*(1+AM6)*(1+AN6)*AP6*(58/59+$A$4/59)*(1+$AK$14)*(1+$AJ$14)*(1+$AL$14)</f>
        <v>29908.1207686316</v>
      </c>
      <c r="AR6" s="46">
        <f t="shared" si="33"/>
        <v>37385.1509607895</v>
      </c>
      <c r="AS6" s="46">
        <f>AL6*(1+AM6)*(1+AN6+云配队!$Q$10)*AP6*(58/59+$A$4/59)*(1+$AK$14)*(1+$AJ$14)*(1+$AL$14)</f>
        <v>29908.1207686316</v>
      </c>
      <c r="AT6" s="46">
        <f>450%+云配队!$Q8*VLOOKUP(E6,数值!$AR$2:$AT$7,3,FALSE)+云配队!$Q$9</f>
        <v>4.5</v>
      </c>
      <c r="AU6" s="46">
        <f t="shared" si="34"/>
        <v>134586.543458842</v>
      </c>
      <c r="AV6" s="46">
        <f t="shared" si="1"/>
        <v>0</v>
      </c>
      <c r="AW6" s="46">
        <f t="shared" si="35"/>
        <v>0</v>
      </c>
      <c r="AX6" s="45">
        <f>云配队!L8</f>
        <v>0</v>
      </c>
      <c r="AY6" s="1">
        <f>IFERROR(VLOOKUP(AX6,数值!$F$3:$H$15,2,FALSE),1)</f>
        <v>1</v>
      </c>
      <c r="AZ6" s="1">
        <f>IFERROR(INDEX(角色!$A$3:$DF$32,$D6,AY6+4)+VLOOKUP(AX6,数值!$F$2:$O$16,10,FALSE),0)</f>
        <v>0</v>
      </c>
      <c r="BA6" s="1">
        <f>AZ6*IFERROR(VLOOKUP(AX6,数值!$F$3:$N$15,9,FALSE),0)+$AD6*BR$8+IFERROR(VLOOKUP($C6&amp;AX6,数值!$AV$1:$AW$11,2,FALSE),0)</f>
        <v>0</v>
      </c>
      <c r="BB6" s="1">
        <f>IFERROR(INDEX(角色!$A$3:$DF$33,$D6,VLOOKUP(AX6,数值!$F$3:$H$15,3,FALSE)),0)</f>
        <v>0</v>
      </c>
      <c r="BC6" s="1">
        <f>IFERROR(INDEX(音擎!$A$3:$AI$42,$O6,VLOOKUP(AX6,数值!$F$3:$L$15,4,FALSE))*$P6+INDEX(驱动盘!$A$3:$Y$17,$R6,VLOOKUP(AX6,数值!$F$3:$L$15,5,FALSE))*$N6+INDEX(驱动盘!$A$3:$Y$17,$R6,驱动盘!$B$1)+INDEX(驱动盘!$A$3:$Y$17,$S6,驱动盘!$B$1)+IF($L6="属伤",30%,0%),0)</f>
        <v>0</v>
      </c>
      <c r="BD6" s="1">
        <f>IFERROR(INDEX(角色!$A$3:$DF$33,$D6,VLOOKUP(AX6,数值!$F$3:$L$15,6,FALSE))+INDEX(音擎!$A$3:$AI$42,$O6,VLOOKUP(AX6,数值!$F$3:$L$15,7,FALSE))+INDEX(驱动盘!$A$3:$Z$17,$R6,VLOOKUP(AX6,数值!$F$3:$M$15,8,FALSE))+BQ$14,0)</f>
        <v>0</v>
      </c>
      <c r="BE6" s="1">
        <f>INDEX(角色!$A$3:$DF$32,$D6,AY6)*1.909*IF($G6&gt;=3,IF($G6&gt;=5,1.19,1.095),1)</f>
        <v>0</v>
      </c>
      <c r="BF6" s="1">
        <f>INDEX(角色!$A$3:$DF$32,$D6,AY6+3)</f>
        <v>0</v>
      </c>
      <c r="BG6" s="1">
        <f>$AB6+INDEX(角色!$A$3:$DF$32,$D6,IFERROR(VLOOKUP(AX6,数值!$F$3:$P$15,11,FALSE),1))+BH$14</f>
        <v>0.3</v>
      </c>
      <c r="BH6" s="1">
        <f>BF6*(1+$AF6)*(1+BG6)*(1+BG$14)</f>
        <v>0</v>
      </c>
      <c r="BI6" s="1">
        <f>INDEX(角色!$A$3:$DF$32,$D6,AY6+1)*1.4556</f>
        <v>0</v>
      </c>
      <c r="BJ6" s="1">
        <f>$AG6*(1+INDEX(音擎!$A$3:$AI$42,$O6,音擎!$R$1)*$P6+INDEX(角色!$A$3:$DF$33,$D6,角色!$Q$1)+BP$14)</f>
        <v>86</v>
      </c>
      <c r="BK6" s="1">
        <f>INDEX(角色!$A$3:$DF$32,$D6,AY6+2)</f>
        <v>0</v>
      </c>
      <c r="BL6" s="1">
        <f t="shared" si="2"/>
        <v>0</v>
      </c>
      <c r="BM6" s="1">
        <f t="shared" si="3"/>
        <v>4167.9206</v>
      </c>
      <c r="BN6" s="1">
        <f t="shared" si="36"/>
        <v>0</v>
      </c>
      <c r="BO6" s="1">
        <f t="shared" si="37"/>
        <v>0.05</v>
      </c>
      <c r="BP6" s="4">
        <f t="shared" si="4"/>
        <v>0.5</v>
      </c>
      <c r="BQ6" s="1">
        <f>1/(MAX($B$8*MAX(1-INDEX(角色!$A$3:$DF$33,$D6,角色!$U$1)-$X6-BN$14,0)*MAX(1-BO$14,0)-$Y6,0)/$A$8+1)</f>
        <v>0.526315789473684</v>
      </c>
      <c r="BR6" s="1">
        <f t="shared" si="5"/>
        <v>0</v>
      </c>
      <c r="BS6" s="45">
        <f>云配队!M8</f>
        <v>0</v>
      </c>
      <c r="BT6" s="1">
        <f>IFERROR(VLOOKUP(BS6,数值!$F$3:$H$15,2,FALSE),1)</f>
        <v>1</v>
      </c>
      <c r="BU6" s="1">
        <f>IFERROR(INDEX(角色!$A$3:$DF$32,$D6,BT6+4)+VLOOKUP(BS6,数值!$F$2:$O$16,10,FALSE),0)</f>
        <v>0</v>
      </c>
      <c r="BV6" s="1">
        <f>BU6*IFERROR(VLOOKUP(BS6,数值!$F$3:$N$15,9,FALSE),0)+$AD6*CM$8+IFERROR(VLOOKUP($C6&amp;BS6,数值!$AV$1:$AW$11,2,FALSE),0)</f>
        <v>0</v>
      </c>
      <c r="BW6" s="1">
        <f>IFERROR(INDEX(角色!$A$3:$DF$33,$D6,VLOOKUP(BS6,数值!$F$3:$H$15,3,FALSE)),0)</f>
        <v>0</v>
      </c>
      <c r="BX6" s="1">
        <f>IFERROR(INDEX(音擎!$A$3:$AI$42,$O6,VLOOKUP(BS6,数值!$F$3:$L$15,4,FALSE))*$P6+INDEX(驱动盘!$A$3:$Y$17,$R6,VLOOKUP(BS6,数值!$F$3:$L$15,5,FALSE))*$N6+INDEX(驱动盘!$A$3:$Y$17,$R6,驱动盘!$B$1)+INDEX(驱动盘!$A$3:$Y$17,$S6,驱动盘!$B$1)+IF($L6="属伤",30%,0%),0)</f>
        <v>0</v>
      </c>
      <c r="BY6" s="1">
        <f>IFERROR(INDEX(角色!$A$3:$DF$33,$D6,VLOOKUP(BS6,数值!$F$3:$L$15,6,FALSE))+INDEX(音擎!$A$3:$AI$42,$O6,VLOOKUP(BS6,数值!$F$3:$L$15,7,FALSE))+INDEX(驱动盘!$A$3:$Z$17,$R6,VLOOKUP(BS6,数值!$F$3:$M$15,8,FALSE))+CL$14,0)</f>
        <v>0</v>
      </c>
      <c r="BZ6" s="1">
        <f>INDEX(角色!$A$3:$DF$32,$D6,BT6)*1.909*IF($G6&gt;=3,IF($G6&gt;=5,1.19,1.095),1)</f>
        <v>0</v>
      </c>
      <c r="CA6" s="1">
        <f>INDEX(角色!$A$3:$DF$32,$D6,BT6+3)</f>
        <v>0</v>
      </c>
      <c r="CB6" s="1">
        <f>$AB6+INDEX(角色!$A$3:$DF$32,$D6,IFERROR(VLOOKUP(BS6,数值!$F$3:$P$15,11,FALSE),1))+CC$14</f>
        <v>0.3</v>
      </c>
      <c r="CC6" s="1">
        <f t="shared" si="6"/>
        <v>0</v>
      </c>
      <c r="CD6" s="1">
        <f>INDEX(角色!$A$3:$DF$32,$D6,BT6+1)*1.4556</f>
        <v>0</v>
      </c>
      <c r="CE6" s="1">
        <f>$AG6*(1+INDEX(音擎!$A$3:$AI$42,$O6,音擎!$R$1)*$P6+INDEX(角色!$A$3:$DF$33,$D6,角色!$Q$1)+CK$14)</f>
        <v>86</v>
      </c>
      <c r="CF6" s="1">
        <f>INDEX(角色!$A$3:$DF$32,$D6,BT6+2)</f>
        <v>0</v>
      </c>
      <c r="CG6" s="1">
        <f t="shared" si="7"/>
        <v>0</v>
      </c>
      <c r="CH6" s="1">
        <f t="shared" si="8"/>
        <v>4167.9206</v>
      </c>
      <c r="CI6" s="1">
        <f t="shared" si="9"/>
        <v>0</v>
      </c>
      <c r="CJ6" s="1">
        <f t="shared" si="10"/>
        <v>0.05</v>
      </c>
      <c r="CK6" s="4">
        <f t="shared" si="11"/>
        <v>0.5</v>
      </c>
      <c r="CL6" s="1">
        <f>1/(MAX($B$8*MAX(1-INDEX(角色!$A$3:$DF$33,$D6,角色!$U$1)-$X6-CI$14,0)*MAX(1-CJ$14,0)-$Y6,0)/$A$8+1)</f>
        <v>0.526315789473684</v>
      </c>
      <c r="CM6" s="1">
        <f t="shared" si="12"/>
        <v>0</v>
      </c>
      <c r="CN6" s="45">
        <f>云配队!N8</f>
        <v>0</v>
      </c>
      <c r="CO6" s="1">
        <f>IFERROR(VLOOKUP(CN6,数值!$F$3:$H$15,2,FALSE),1)</f>
        <v>1</v>
      </c>
      <c r="CP6" s="1">
        <f>IFERROR(INDEX(角色!$A$3:$DF$32,$D6,CO6+4)+VLOOKUP(CN6,数值!$F$2:$O$16,10,FALSE),0)</f>
        <v>0</v>
      </c>
      <c r="CQ6" s="1">
        <f>CP6*IFERROR(VLOOKUP(CN6,数值!$F$3:$N$15,9,FALSE),0)+$AD6*DH$8+IFERROR(VLOOKUP($C6&amp;CN6,数值!$AV$1:$AW$11,2,FALSE),0)</f>
        <v>0</v>
      </c>
      <c r="CR6" s="1">
        <f>IFERROR(INDEX(角色!$A$3:$DF$33,$D6,VLOOKUP(CN6,数值!$F$3:$H$15,3,FALSE)),0)</f>
        <v>0</v>
      </c>
      <c r="CS6" s="1">
        <f>IFERROR(INDEX(音擎!$A$3:$AI$42,$O6,VLOOKUP(CN6,数值!$F$3:$L$15,4,FALSE))*$P6+INDEX(驱动盘!$A$3:$Y$17,$R6,VLOOKUP(CN6,数值!$F$3:$L$15,5,FALSE))*$N6+INDEX(驱动盘!$A$3:$Y$17,$R6,驱动盘!$B$1)+INDEX(驱动盘!$A$3:$Y$17,$S6,驱动盘!$B$1)+IF($L6="属伤",30%,0%),0)</f>
        <v>0</v>
      </c>
      <c r="CT6" s="1">
        <f>IFERROR(INDEX(角色!$A$3:$DF$33,$D6,VLOOKUP(CN6,数值!$F$3:$L$15,6,FALSE))+INDEX(音擎!$A$3:$AI$42,$O6,VLOOKUP(CN6,数值!$F$3:$L$15,7,FALSE))+INDEX(驱动盘!$A$3:$Z$17,$R6,VLOOKUP(CN6,数值!$F$3:$M$15,8,FALSE))+DG$14,0)</f>
        <v>0</v>
      </c>
      <c r="CU6" s="1">
        <f>INDEX(角色!$A$3:$DF$32,$D6,CO6)*1.909*IF($G6&gt;=3,IF($G6&gt;=5,1.19,1.095),1)</f>
        <v>0</v>
      </c>
      <c r="CV6" s="1">
        <f>INDEX(角色!$A$3:$DF$32,$D6,CO6+3)</f>
        <v>0</v>
      </c>
      <c r="CW6" s="1">
        <f>$AB6+INDEX(角色!$A$3:$DF$32,$D6,IFERROR(VLOOKUP(CN6,数值!$F$3:$P$15,11,FALSE),1))+CX$14</f>
        <v>0.3</v>
      </c>
      <c r="CX6" s="1">
        <f t="shared" si="13"/>
        <v>0</v>
      </c>
      <c r="CY6" s="1">
        <f>INDEX(角色!$A$3:$DF$32,$D6,CO6+1)*1.4556</f>
        <v>0</v>
      </c>
      <c r="CZ6" s="1">
        <f>$AG6*(1+INDEX(音擎!$A$3:$AI$42,$O6,音擎!$R$1)*$P6+INDEX(角色!$A$3:$DF$33,$D6,角色!$Q$1)+DF$14)</f>
        <v>86</v>
      </c>
      <c r="DA6" s="1">
        <f>INDEX(角色!$A$3:$DF$32,$D6,CO6+2)</f>
        <v>0</v>
      </c>
      <c r="DB6" s="1">
        <f t="shared" si="14"/>
        <v>0</v>
      </c>
      <c r="DC6" s="1">
        <f t="shared" si="15"/>
        <v>4167.9206</v>
      </c>
      <c r="DD6" s="1">
        <f t="shared" si="16"/>
        <v>0</v>
      </c>
      <c r="DE6" s="1">
        <f t="shared" si="17"/>
        <v>0.05</v>
      </c>
      <c r="DF6" s="4">
        <f t="shared" si="18"/>
        <v>0.5</v>
      </c>
      <c r="DG6" s="1">
        <f>1/(MAX($B$8*MAX(1-INDEX(角色!$A$3:$DF$33,$D6,角色!$U$1)-$X6-DD$14,0)*MAX(1-DE$14,0)-$Y6,0)/$A$8+1)</f>
        <v>0.526315789473684</v>
      </c>
      <c r="DH6" s="1">
        <f t="shared" si="19"/>
        <v>0</v>
      </c>
      <c r="DI6" s="45">
        <f>云配队!O8</f>
        <v>0</v>
      </c>
      <c r="DJ6" s="1">
        <f>IFERROR(VLOOKUP(DI6,数值!$F$3:$H$15,2,FALSE),1)</f>
        <v>1</v>
      </c>
      <c r="DK6" s="1">
        <f>IFERROR(INDEX(角色!$A$3:$DF$32,$D6,DJ6+4)+VLOOKUP(DI6,数值!$F$2:$O$16,10,FALSE),0)</f>
        <v>0</v>
      </c>
      <c r="DL6" s="1">
        <f>DK6*IFERROR(VLOOKUP(DI6,数值!$F$3:$N$15,9,FALSE),0)+$AD6*EC$8+IFERROR(VLOOKUP($C6&amp;DI6,数值!$AV$1:$AW$11,2,FALSE),0)</f>
        <v>0</v>
      </c>
      <c r="DM6" s="1">
        <f>IFERROR(INDEX(角色!$A$3:$DF$33,$D6,VLOOKUP(DI6,数值!$F$3:$H$15,3,FALSE)),0)</f>
        <v>0</v>
      </c>
      <c r="DN6" s="1">
        <f>IFERROR(INDEX(音擎!$A$3:$AI$42,$O6,VLOOKUP(DI6,数值!$F$3:$L$15,4,FALSE))*$P6+INDEX(驱动盘!$A$3:$Y$17,$R6,VLOOKUP(DI6,数值!$F$3:$L$15,5,FALSE))*$N6+INDEX(驱动盘!$A$3:$Y$17,$R6,驱动盘!$B$1)+INDEX(驱动盘!$A$3:$Y$17,$S6,驱动盘!$B$1)+IF($L6="属伤",30%,0%),0)</f>
        <v>0</v>
      </c>
      <c r="DO6" s="1">
        <f>IFERROR(INDEX(角色!$A$3:$DF$33,$D6,VLOOKUP(DI6,数值!$F$3:$L$15,6,FALSE))+INDEX(音擎!$A$3:$AI$42,$O6,VLOOKUP(DI6,数值!$F$3:$L$15,7,FALSE))+INDEX(驱动盘!$A$3:$Z$17,$R6,VLOOKUP(DI6,数值!$F$3:$M$15,8,FALSE))+EB$14,0)</f>
        <v>0</v>
      </c>
      <c r="DP6" s="1">
        <f>INDEX(角色!$A$3:$DF$32,$D6,DJ6)*1.909*IF($G6&gt;=3,IF($G6&gt;=5,1.19,1.095),1)</f>
        <v>0</v>
      </c>
      <c r="DQ6" s="1">
        <f>INDEX(角色!$A$3:$DF$32,$D6,DJ6+3)</f>
        <v>0</v>
      </c>
      <c r="DR6" s="1">
        <f>$AB6+INDEX(角色!$A$3:$DF$32,$D6,IFERROR(VLOOKUP(DI6,数值!$F$3:$P$15,11,FALSE),1))+DS$14</f>
        <v>0.3</v>
      </c>
      <c r="DS6" s="1">
        <f t="shared" si="20"/>
        <v>0</v>
      </c>
      <c r="DT6" s="1">
        <f>INDEX(角色!$A$3:$DF$32,$D6,DJ6+1)*1.4556</f>
        <v>0</v>
      </c>
      <c r="DU6" s="1">
        <f>$AG6*(1+INDEX(音擎!$A$3:$AI$42,$O6,音擎!$R$1)*$P6+INDEX(角色!$A$3:$DF$33,$D6,角色!$Q$1)+EA$14)</f>
        <v>86</v>
      </c>
      <c r="DV6" s="1">
        <f>INDEX(角色!$A$3:$DF$32,$D6,DJ6+2)</f>
        <v>0</v>
      </c>
      <c r="DW6" s="1">
        <f t="shared" si="21"/>
        <v>0</v>
      </c>
      <c r="DX6" s="1">
        <f t="shared" si="22"/>
        <v>4167.9206</v>
      </c>
      <c r="DY6" s="1">
        <f t="shared" si="23"/>
        <v>0</v>
      </c>
      <c r="DZ6" s="1">
        <f t="shared" si="24"/>
        <v>0.05</v>
      </c>
      <c r="EA6" s="4">
        <f t="shared" si="25"/>
        <v>0.5</v>
      </c>
      <c r="EB6" s="1">
        <f>1/(MAX($B$8*MAX(1-INDEX(角色!$A$3:$DF$33,$D6,角色!$U$1)-$X6-DY$14,0)*MAX(1-DZ$14,0)-$Y6,0)/$A$8+1)</f>
        <v>0.526315789473684</v>
      </c>
      <c r="EC6" s="1">
        <f t="shared" si="26"/>
        <v>0</v>
      </c>
      <c r="ED6" s="45">
        <f>云配队!P8</f>
        <v>0</v>
      </c>
      <c r="EE6" s="1">
        <f>IFERROR(VLOOKUP(ED6,数值!$F$3:$H$15,2,FALSE),1)</f>
        <v>1</v>
      </c>
      <c r="EF6" s="1">
        <f>IFERROR(INDEX(角色!$A$3:$DF$32,$D6,EE6+4)+VLOOKUP(ED6,数值!$F$2:$O$16,10,FALSE),0)</f>
        <v>0</v>
      </c>
      <c r="EG6" s="1">
        <f>EF6*IFERROR(VLOOKUP(ED6,数值!$F$3:$N$15,9,FALSE),0)+$AD6*EX$8+IFERROR(VLOOKUP($C6&amp;ED6,数值!$AV$1:$AW$11,2,FALSE),0)</f>
        <v>0</v>
      </c>
      <c r="EH6" s="1">
        <f>IFERROR(INDEX(角色!$A$3:$DF$33,$D6,VLOOKUP(ED6,数值!$F$3:$H$15,3,FALSE)),0)</f>
        <v>0</v>
      </c>
      <c r="EI6" s="1">
        <f>IFERROR(INDEX(音擎!$A$3:$AI$42,$O6,VLOOKUP(ED6,数值!$F$3:$L$15,4,FALSE))*$P6+INDEX(驱动盘!$A$3:$Y$17,$R6,VLOOKUP(ED6,数值!$F$3:$L$15,5,FALSE))*$N6+INDEX(驱动盘!$A$3:$Y$17,$R6,驱动盘!$B$1)+INDEX(驱动盘!$A$3:$Y$17,$S6,驱动盘!$B$1)+IF($L6="属伤",30%,0%),0)</f>
        <v>0</v>
      </c>
      <c r="EJ6" s="1">
        <f>IFERROR(INDEX(角色!$A$3:$DF$33,$D6,VLOOKUP(ED6,数值!$F$3:$L$15,6,FALSE))+INDEX(音擎!$A$3:$AI$42,$O6,VLOOKUP(ED6,数值!$F$3:$L$15,7,FALSE))+INDEX(驱动盘!$A$3:$Z$17,$R6,VLOOKUP(ED6,数值!$F$3:$M$15,8,FALSE))+EW$14,0)</f>
        <v>0</v>
      </c>
      <c r="EK6" s="1">
        <f>INDEX(角色!$A$3:$DF$32,$D6,EE6)*1.909*IF($G6&gt;=3,IF($G6&gt;=5,1.19,1.095),1)</f>
        <v>0</v>
      </c>
      <c r="EL6" s="1">
        <f>INDEX(角色!$A$3:$DF$32,$D6,EE6+3)</f>
        <v>0</v>
      </c>
      <c r="EM6" s="1">
        <f>$AB6+INDEX(角色!$A$3:$DF$32,$D6,IFERROR(VLOOKUP(ED6,数值!$F$3:$P$15,11,FALSE),1))+EN$14</f>
        <v>0.3</v>
      </c>
      <c r="EN6" s="1">
        <f t="shared" si="27"/>
        <v>0</v>
      </c>
      <c r="EO6" s="1">
        <f>INDEX(角色!$A$3:$DF$32,$D6,EE6+1)*1.4556</f>
        <v>0</v>
      </c>
      <c r="EP6" s="1">
        <f>$AG6*(1+INDEX(音擎!$A$3:$AI$42,$O6,音擎!$R$1)*$P6+INDEX(角色!$A$3:$DF$33,$D6,角色!$Q$1)+EV$14)</f>
        <v>86</v>
      </c>
      <c r="EQ6" s="1">
        <f>INDEX(角色!$A$3:$DF$32,$D6,EE6+2)</f>
        <v>0</v>
      </c>
      <c r="ER6" s="1">
        <f t="shared" si="28"/>
        <v>0</v>
      </c>
      <c r="ES6" s="1">
        <f t="shared" si="29"/>
        <v>4167.9206</v>
      </c>
      <c r="ET6" s="1">
        <f t="shared" si="30"/>
        <v>0</v>
      </c>
      <c r="EU6" s="1">
        <f t="shared" si="31"/>
        <v>0.05</v>
      </c>
      <c r="EV6" s="4">
        <f t="shared" si="32"/>
        <v>0.5</v>
      </c>
      <c r="EW6" s="1">
        <f>1/(MAX($B$8*MAX(1-INDEX(角色!$A$3:$DF$33,$D6,角色!$U$1)-$X6-ET$14,0)*MAX(1-EU$14,0)-$Y6,0)/$A$8+1)</f>
        <v>0.526315789473684</v>
      </c>
      <c r="EX6" s="1">
        <f>ES6*EK6%*(1+ET6)*(1+EU6*EV6)*EW6*(1+EK$14)*(1+EL$14)</f>
        <v>0</v>
      </c>
    </row>
    <row r="7" customHeight="1" spans="1:154">
      <c r="A7" s="1" t="s">
        <v>391</v>
      </c>
      <c r="B7" s="1" t="s">
        <v>392</v>
      </c>
      <c r="C7" s="48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6">
        <v>2</v>
      </c>
      <c r="AK7" s="46">
        <v>3</v>
      </c>
      <c r="AL7" s="46">
        <v>4</v>
      </c>
      <c r="AM7" s="46">
        <v>5</v>
      </c>
      <c r="AN7" s="46">
        <v>6</v>
      </c>
      <c r="AO7" s="46">
        <v>7</v>
      </c>
      <c r="AP7" s="46">
        <v>8</v>
      </c>
      <c r="AQ7" s="46">
        <v>9</v>
      </c>
      <c r="AR7" s="46">
        <v>10</v>
      </c>
      <c r="AS7" s="49"/>
      <c r="AT7" s="49"/>
      <c r="AU7" s="49"/>
      <c r="AV7" s="49"/>
      <c r="AW7" s="49"/>
      <c r="AX7" s="49"/>
      <c r="BD7" s="1" t="s">
        <v>393</v>
      </c>
      <c r="BE7" s="1">
        <v>2</v>
      </c>
      <c r="BF7" s="1">
        <v>3</v>
      </c>
      <c r="BG7" s="1">
        <v>4</v>
      </c>
      <c r="BH7" s="1">
        <v>5</v>
      </c>
      <c r="BI7" s="1">
        <v>6</v>
      </c>
      <c r="BJ7" s="1">
        <v>7</v>
      </c>
      <c r="BK7" s="1">
        <v>8</v>
      </c>
      <c r="BL7" s="1">
        <v>9</v>
      </c>
      <c r="BM7" s="1">
        <v>10</v>
      </c>
      <c r="BN7" s="1">
        <v>11</v>
      </c>
      <c r="BO7" s="1">
        <v>12</v>
      </c>
      <c r="BP7" s="1">
        <v>13</v>
      </c>
      <c r="BQ7" s="1">
        <v>14</v>
      </c>
      <c r="BR7" s="1" t="s">
        <v>394</v>
      </c>
      <c r="BS7" s="49"/>
      <c r="BY7" s="1" t="s">
        <v>393</v>
      </c>
      <c r="BZ7" s="1">
        <v>2</v>
      </c>
      <c r="CA7" s="1">
        <v>3</v>
      </c>
      <c r="CB7" s="1">
        <v>4</v>
      </c>
      <c r="CC7" s="1">
        <v>5</v>
      </c>
      <c r="CD7" s="1">
        <v>6</v>
      </c>
      <c r="CE7" s="1">
        <v>7</v>
      </c>
      <c r="CF7" s="1">
        <v>8</v>
      </c>
      <c r="CG7" s="1">
        <v>9</v>
      </c>
      <c r="CH7" s="1">
        <v>10</v>
      </c>
      <c r="CI7" s="1">
        <v>11</v>
      </c>
      <c r="CJ7" s="1">
        <v>12</v>
      </c>
      <c r="CK7" s="1">
        <v>13</v>
      </c>
      <c r="CL7" s="1">
        <v>14</v>
      </c>
      <c r="CM7" s="1" t="s">
        <v>394</v>
      </c>
      <c r="CN7" s="49"/>
      <c r="CT7" s="1" t="s">
        <v>393</v>
      </c>
      <c r="CU7" s="1">
        <v>2</v>
      </c>
      <c r="CV7" s="1">
        <v>3</v>
      </c>
      <c r="CW7" s="1">
        <v>4</v>
      </c>
      <c r="CX7" s="1">
        <v>5</v>
      </c>
      <c r="CY7" s="1">
        <v>6</v>
      </c>
      <c r="CZ7" s="1">
        <v>7</v>
      </c>
      <c r="DA7" s="1">
        <v>8</v>
      </c>
      <c r="DB7" s="1">
        <v>9</v>
      </c>
      <c r="DC7" s="1">
        <v>10</v>
      </c>
      <c r="DD7" s="1">
        <v>11</v>
      </c>
      <c r="DE7" s="1">
        <v>12</v>
      </c>
      <c r="DF7" s="1">
        <v>13</v>
      </c>
      <c r="DG7" s="1">
        <v>14</v>
      </c>
      <c r="DH7" s="1" t="s">
        <v>394</v>
      </c>
      <c r="DI7" s="45"/>
      <c r="DO7" s="1" t="s">
        <v>393</v>
      </c>
      <c r="DP7" s="1">
        <v>2</v>
      </c>
      <c r="DQ7" s="1">
        <v>3</v>
      </c>
      <c r="DR7" s="1">
        <v>4</v>
      </c>
      <c r="DS7" s="1">
        <v>5</v>
      </c>
      <c r="DT7" s="1">
        <v>6</v>
      </c>
      <c r="DU7" s="1">
        <v>7</v>
      </c>
      <c r="DV7" s="1">
        <v>8</v>
      </c>
      <c r="DW7" s="1">
        <v>9</v>
      </c>
      <c r="DX7" s="1">
        <v>10</v>
      </c>
      <c r="DY7" s="1">
        <v>11</v>
      </c>
      <c r="DZ7" s="1">
        <v>12</v>
      </c>
      <c r="EA7" s="1">
        <v>13</v>
      </c>
      <c r="EB7" s="1">
        <v>14</v>
      </c>
      <c r="EC7" s="1" t="s">
        <v>394</v>
      </c>
      <c r="ED7" s="45"/>
      <c r="EJ7" s="1" t="s">
        <v>393</v>
      </c>
      <c r="EK7" s="1">
        <v>2</v>
      </c>
      <c r="EL7" s="1">
        <v>3</v>
      </c>
      <c r="EM7" s="1">
        <v>4</v>
      </c>
      <c r="EN7" s="1">
        <v>5</v>
      </c>
      <c r="EO7" s="1">
        <v>6</v>
      </c>
      <c r="EP7" s="1">
        <v>7</v>
      </c>
      <c r="EQ7" s="1">
        <v>8</v>
      </c>
      <c r="ER7" s="1">
        <v>9</v>
      </c>
      <c r="ES7" s="1">
        <v>10</v>
      </c>
      <c r="ET7" s="1">
        <v>11</v>
      </c>
      <c r="EU7" s="1">
        <v>12</v>
      </c>
      <c r="EV7" s="1">
        <v>13</v>
      </c>
      <c r="EW7" s="1">
        <v>14</v>
      </c>
      <c r="EX7" s="1" t="s">
        <v>394</v>
      </c>
    </row>
    <row r="8" customHeight="1" spans="1:154">
      <c r="A8" s="1">
        <f>ROUND(0.1551*MIN(A4,60)^2+3.141*MIN(A4,60)+47.2039,0)</f>
        <v>794</v>
      </c>
      <c r="B8" s="1">
        <f>ROUND(0.1551*MIN(B4,60)^2+3.141*MIN(B4,60)+47.2039,0)/50*_xlfn.SWITCH(B6,"普通",40,"精英",50,"首领",60)</f>
        <v>794</v>
      </c>
      <c r="C8" s="50" t="s">
        <v>41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5">
        <f>云配队!J14</f>
        <v>0</v>
      </c>
      <c r="AJ8" s="46">
        <f>IFERROR(VLOOKUP($AI8,数值!$AG$2:$AP$23,AJ$7,FALSE),0)</f>
        <v>0</v>
      </c>
      <c r="AK8" s="46">
        <f>IFERROR(VLOOKUP($AI8,数值!$AG$2:$AP$23,AK$7,FALSE),0)</f>
        <v>0</v>
      </c>
      <c r="AL8" s="46">
        <f>IFERROR(VLOOKUP($AI8,数值!$AG$2:$AP$23,AL$7,FALSE),0)</f>
        <v>0</v>
      </c>
      <c r="AM8" s="46">
        <f>IFERROR(VLOOKUP($AI8,数值!$AG$2:$AP$23,AM$7,FALSE),0)</f>
        <v>0</v>
      </c>
      <c r="AN8" s="46">
        <f>IFERROR(VLOOKUP($AI8,数值!$AG$2:$AP$23,AN$7,FALSE),0)</f>
        <v>0</v>
      </c>
      <c r="AO8" s="46">
        <f>IFERROR(VLOOKUP($AI8,数值!$AG$2:$AP$23,AO$7,FALSE),0)</f>
        <v>0</v>
      </c>
      <c r="AP8" s="46">
        <f>IFERROR(VLOOKUP($AI8,数值!$AG$2:$AP$23,AP$7,FALSE),0)</f>
        <v>0</v>
      </c>
      <c r="AQ8" s="46">
        <f>IFERROR(VLOOKUP($AI8,数值!$AG$2:$AP$23,AQ$7,FALSE),0)</f>
        <v>0</v>
      </c>
      <c r="AR8" s="46">
        <f>IFERROR(VLOOKUP($AI8,数值!$AG$2:$AP$23,AR$7,FALSE),0)</f>
        <v>0</v>
      </c>
      <c r="AS8" s="49"/>
      <c r="AT8" s="49"/>
      <c r="AU8" s="49"/>
      <c r="AV8" s="49"/>
      <c r="AW8" s="49"/>
      <c r="AX8" s="55">
        <f>云配队!L14</f>
        <v>0</v>
      </c>
      <c r="AY8" s="4"/>
      <c r="AZ8" s="4"/>
      <c r="BA8" s="4"/>
      <c r="BD8" s="4">
        <f>IFERROR(MATCH(AX8,数值!$R$2:$R$70,0),1)</f>
        <v>1</v>
      </c>
      <c r="BE8" s="4">
        <f>INDEX(数值!$R$2:$AE$70,BD8,BE$7)</f>
        <v>0</v>
      </c>
      <c r="BF8" s="4">
        <f>INDEX(数值!$R$2:$AE$70,BD8,BF$7)</f>
        <v>0</v>
      </c>
      <c r="BG8" s="4">
        <f>INDEX(数值!$R$2:$AE$70,BD8,BG$7)</f>
        <v>0</v>
      </c>
      <c r="BH8" s="4">
        <f>INDEX(数值!$R$2:$AE$70,BD8,BH$7)</f>
        <v>0</v>
      </c>
      <c r="BI8" s="4">
        <f>INDEX(数值!$R$2:$AE$70,BD8,BI$7)</f>
        <v>0</v>
      </c>
      <c r="BJ8" s="4">
        <f>INDEX(数值!$R$2:$AE$70,BD8,BJ$7)</f>
        <v>0</v>
      </c>
      <c r="BK8" s="4">
        <f>INDEX(数值!$R$2:$AE$70,BD8,BK$7)</f>
        <v>0</v>
      </c>
      <c r="BL8" s="4">
        <f>INDEX(数值!$R$2:$AE$70,BD8,BL$7)</f>
        <v>0</v>
      </c>
      <c r="BM8" s="4">
        <f>INDEX(数值!$R$2:$AE$70,BD8,BM$7)</f>
        <v>0</v>
      </c>
      <c r="BN8" s="4">
        <f>INDEX(数值!$R$2:$AE$70,BD8,BN$7)</f>
        <v>0</v>
      </c>
      <c r="BO8" s="4">
        <f>INDEX(数值!$R$2:$AE$70,BD8,BO$7)</f>
        <v>0</v>
      </c>
      <c r="BP8" s="4">
        <f>INDEX(数值!$R$2:$AE$70,BD8,BP$7)</f>
        <v>0</v>
      </c>
      <c r="BQ8" s="4">
        <f>INDEX(数值!$R$2:$AE$70,BD8,BQ$7)</f>
        <v>0</v>
      </c>
      <c r="BR8" s="4">
        <f>BK4+BK5+BK6</f>
        <v>0</v>
      </c>
      <c r="BS8" s="45">
        <f>云配队!M14</f>
        <v>0</v>
      </c>
      <c r="BT8" s="4"/>
      <c r="BU8" s="4"/>
      <c r="BV8" s="4"/>
      <c r="BY8" s="4">
        <f>IFERROR(MATCH(BS8,数值!$R$2:$R$70,0),1)</f>
        <v>1</v>
      </c>
      <c r="BZ8" s="4">
        <f>INDEX(数值!$R$2:$AE$70,BY8,BZ$7)</f>
        <v>0</v>
      </c>
      <c r="CA8" s="4">
        <f>INDEX(数值!$R$2:$AE$70,BY8,CA$7)</f>
        <v>0</v>
      </c>
      <c r="CB8" s="4">
        <f>INDEX(数值!$R$2:$AE$70,BY8,CB$7)</f>
        <v>0</v>
      </c>
      <c r="CC8" s="4">
        <f>INDEX(数值!$R$2:$AE$70,BY8,CC$7)</f>
        <v>0</v>
      </c>
      <c r="CD8" s="4">
        <f>INDEX(数值!$R$2:$AE$70,BY8,CD$7)</f>
        <v>0</v>
      </c>
      <c r="CE8" s="4">
        <f>INDEX(数值!$R$2:$AE$70,BY8,CE$7)</f>
        <v>0</v>
      </c>
      <c r="CF8" s="4">
        <f>INDEX(数值!$R$2:$AE$70,BY8,CF$7)</f>
        <v>0</v>
      </c>
      <c r="CG8" s="4">
        <f>INDEX(数值!$R$2:$AE$70,BY8,CG$7)</f>
        <v>0</v>
      </c>
      <c r="CH8" s="4">
        <f>INDEX(数值!$R$2:$AE$70,BY8,CH$7)</f>
        <v>0</v>
      </c>
      <c r="CI8" s="4">
        <f>INDEX(数值!$R$2:$AE$70,BY8,CI$7)</f>
        <v>0</v>
      </c>
      <c r="CJ8" s="4">
        <f>INDEX(数值!$R$2:$AE$70,BY8,CJ$7)</f>
        <v>0</v>
      </c>
      <c r="CK8" s="4">
        <f>INDEX(数值!$R$2:$AE$70,BY8,CK$7)</f>
        <v>0</v>
      </c>
      <c r="CL8" s="4">
        <f>INDEX(数值!$R$2:$AE$70,BY8,CL$7)</f>
        <v>0</v>
      </c>
      <c r="CM8" s="4">
        <f>CF4+CF5+CF6</f>
        <v>0</v>
      </c>
      <c r="CN8" s="45">
        <f>云配队!N14</f>
        <v>0</v>
      </c>
      <c r="CO8" s="4"/>
      <c r="CP8" s="4"/>
      <c r="CQ8" s="4"/>
      <c r="CT8" s="4">
        <f>IFERROR(MATCH(CN8,数值!$R$2:$R$70,0),1)</f>
        <v>1</v>
      </c>
      <c r="CU8" s="4">
        <f>INDEX(数值!$R$2:$AE$70,CT8,CU$7)</f>
        <v>0</v>
      </c>
      <c r="CV8" s="4">
        <f>INDEX(数值!$R$2:$AE$70,CT8,CV$7)</f>
        <v>0</v>
      </c>
      <c r="CW8" s="4">
        <f>INDEX(数值!$R$2:$AE$70,CT8,CW$7)</f>
        <v>0</v>
      </c>
      <c r="CX8" s="4">
        <f>INDEX(数值!$R$2:$AE$70,CT8,CX$7)</f>
        <v>0</v>
      </c>
      <c r="CY8" s="4">
        <f>INDEX(数值!$R$2:$AE$70,CT8,CY$7)</f>
        <v>0</v>
      </c>
      <c r="CZ8" s="4">
        <f>INDEX(数值!$R$2:$AE$70,CT8,CZ$7)</f>
        <v>0</v>
      </c>
      <c r="DA8" s="4">
        <f>INDEX(数值!$R$2:$AE$70,CT8,DA$7)</f>
        <v>0</v>
      </c>
      <c r="DB8" s="4">
        <f>INDEX(数值!$R$2:$AE$70,CT8,DB$7)</f>
        <v>0</v>
      </c>
      <c r="DC8" s="4">
        <f>INDEX(数值!$R$2:$AE$70,CT8,DC$7)</f>
        <v>0</v>
      </c>
      <c r="DD8" s="4">
        <f>INDEX(数值!$R$2:$AE$70,CT8,DD$7)</f>
        <v>0</v>
      </c>
      <c r="DE8" s="4">
        <f>INDEX(数值!$R$2:$AE$70,CT8,DE$7)</f>
        <v>0</v>
      </c>
      <c r="DF8" s="4">
        <f>INDEX(数值!$R$2:$AE$70,CT8,DF$7)</f>
        <v>0</v>
      </c>
      <c r="DG8" s="4">
        <f>INDEX(数值!$R$2:$AE$70,CT8,DG$7)</f>
        <v>0</v>
      </c>
      <c r="DH8" s="4">
        <f>DA4+DA5+DA6</f>
        <v>0</v>
      </c>
      <c r="DI8" s="45">
        <f>云配队!O14</f>
        <v>0</v>
      </c>
      <c r="DJ8" s="4"/>
      <c r="DK8" s="4"/>
      <c r="DL8" s="4"/>
      <c r="DO8" s="4">
        <f>IFERROR(MATCH(DI8,数值!$R$2:$R$70,0),1)</f>
        <v>1</v>
      </c>
      <c r="DP8" s="4">
        <f>INDEX(数值!$R$2:$AE$70,DO8,DP$7)</f>
        <v>0</v>
      </c>
      <c r="DQ8" s="4">
        <f>INDEX(数值!$R$2:$AE$70,DO8,DQ$7)</f>
        <v>0</v>
      </c>
      <c r="DR8" s="4">
        <f>INDEX(数值!$R$2:$AE$70,DO8,DR$7)</f>
        <v>0</v>
      </c>
      <c r="DS8" s="4">
        <f>INDEX(数值!$R$2:$AE$70,DO8,DS$7)</f>
        <v>0</v>
      </c>
      <c r="DT8" s="4">
        <f>INDEX(数值!$R$2:$AE$70,DO8,DT$7)</f>
        <v>0</v>
      </c>
      <c r="DU8" s="4">
        <f>INDEX(数值!$R$2:$AE$70,DO8,DU$7)</f>
        <v>0</v>
      </c>
      <c r="DV8" s="4">
        <f>INDEX(数值!$R$2:$AE$70,DO8,DV$7)</f>
        <v>0</v>
      </c>
      <c r="DW8" s="4">
        <f>INDEX(数值!$R$2:$AE$70,DO8,DW$7)</f>
        <v>0</v>
      </c>
      <c r="DX8" s="4">
        <f>INDEX(数值!$R$2:$AE$70,DO8,DX$7)</f>
        <v>0</v>
      </c>
      <c r="DY8" s="4">
        <f>INDEX(数值!$R$2:$AE$70,DO8,DY$7)</f>
        <v>0</v>
      </c>
      <c r="DZ8" s="4">
        <f>INDEX(数值!$R$2:$AE$70,DO8,DZ$7)</f>
        <v>0</v>
      </c>
      <c r="EA8" s="4">
        <f>INDEX(数值!$R$2:$AE$70,DO8,EA$7)</f>
        <v>0</v>
      </c>
      <c r="EB8" s="4">
        <f>INDEX(数值!$R$2:$AE$70,DO8,EB$7)</f>
        <v>0</v>
      </c>
      <c r="EC8" s="4">
        <f>DV4+DV5+DV6</f>
        <v>0</v>
      </c>
      <c r="ED8" s="45">
        <f>云配队!P14</f>
        <v>0</v>
      </c>
      <c r="EE8" s="4"/>
      <c r="EF8" s="4"/>
      <c r="EG8" s="4"/>
      <c r="EJ8" s="4">
        <f>IFERROR(MATCH(ED8,数值!$R$2:$R$70,0),1)</f>
        <v>1</v>
      </c>
      <c r="EK8" s="4">
        <f>INDEX(数值!$R$2:$AE$70,EJ8,EK$7)</f>
        <v>0</v>
      </c>
      <c r="EL8" s="4">
        <f>INDEX(数值!$R$2:$AE$70,EJ8,EL$7)</f>
        <v>0</v>
      </c>
      <c r="EM8" s="4">
        <f>INDEX(数值!$R$2:$AE$70,EJ8,EM$7)</f>
        <v>0</v>
      </c>
      <c r="EN8" s="4">
        <f>INDEX(数值!$R$2:$AE$70,EJ8,EN$7)</f>
        <v>0</v>
      </c>
      <c r="EO8" s="4">
        <f>INDEX(数值!$R$2:$AE$70,EJ8,EO$7)</f>
        <v>0</v>
      </c>
      <c r="EP8" s="4">
        <f>INDEX(数值!$R$2:$AE$70,EJ8,EP$7)</f>
        <v>0</v>
      </c>
      <c r="EQ8" s="4">
        <f>INDEX(数值!$R$2:$AE$70,EJ8,EQ$7)</f>
        <v>0</v>
      </c>
      <c r="ER8" s="4">
        <f>INDEX(数值!$R$2:$AE$70,EJ8,ER$7)</f>
        <v>0</v>
      </c>
      <c r="ES8" s="4">
        <f>INDEX(数值!$R$2:$AE$70,EJ8,ES$7)</f>
        <v>0</v>
      </c>
      <c r="ET8" s="4">
        <f>INDEX(数值!$R$2:$AE$70,EJ8,ET$7)</f>
        <v>0</v>
      </c>
      <c r="EU8" s="4">
        <f>INDEX(数值!$R$2:$AE$70,EJ8,EU$7)</f>
        <v>0</v>
      </c>
      <c r="EV8" s="4">
        <f>INDEX(数值!$R$2:$AE$70,EJ8,EV$7)</f>
        <v>0</v>
      </c>
      <c r="EW8" s="4">
        <f>INDEX(数值!$R$2:$AE$70,EJ8,EW$7)</f>
        <v>0</v>
      </c>
      <c r="EX8" s="4">
        <f>EQ4+EQ5+EQ6</f>
        <v>0</v>
      </c>
    </row>
    <row r="9" customHeight="1" spans="3:153">
      <c r="C9" s="50" t="s">
        <v>42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5">
        <f>云配队!J15</f>
        <v>0</v>
      </c>
      <c r="AJ9" s="46">
        <f>IFERROR(VLOOKUP($AI9,数值!$AG$2:$AP$23,AJ$7,FALSE),0)</f>
        <v>0</v>
      </c>
      <c r="AK9" s="46">
        <f>IFERROR(VLOOKUP($AI9,数值!$AG$2:$AP$23,AK$7,FALSE),0)</f>
        <v>0</v>
      </c>
      <c r="AL9" s="46">
        <f>IFERROR(VLOOKUP($AI9,数值!$AG$2:$AP$23,AL$7,FALSE),0)</f>
        <v>0</v>
      </c>
      <c r="AM9" s="46">
        <f>IFERROR(VLOOKUP($AI9,数值!$AG$2:$AP$23,AM$7,FALSE),0)</f>
        <v>0</v>
      </c>
      <c r="AN9" s="46">
        <f>IFERROR(VLOOKUP($AI9,数值!$AG$2:$AP$23,AN$7,FALSE),0)</f>
        <v>0</v>
      </c>
      <c r="AO9" s="46">
        <f>IFERROR(VLOOKUP($AI9,数值!$AG$2:$AP$23,AO$7,FALSE),0)</f>
        <v>0</v>
      </c>
      <c r="AP9" s="46">
        <f>IFERROR(VLOOKUP($AI9,数值!$AG$2:$AP$23,AP$7,FALSE),0)</f>
        <v>0</v>
      </c>
      <c r="AQ9" s="46">
        <f>IFERROR(VLOOKUP($AI9,数值!$AG$2:$AP$23,AQ$7,FALSE),0)</f>
        <v>0</v>
      </c>
      <c r="AR9" s="46">
        <f>IFERROR(VLOOKUP($AI9,数值!$AG$2:$AP$23,AR$7,FALSE),0)</f>
        <v>0</v>
      </c>
      <c r="AS9" s="49"/>
      <c r="AT9" s="49"/>
      <c r="AU9" s="49"/>
      <c r="AV9" s="49"/>
      <c r="AW9" s="49"/>
      <c r="AX9" s="55">
        <f>云配队!L15</f>
        <v>0</v>
      </c>
      <c r="BD9" s="4">
        <f>IFERROR(MATCH(AX9,数值!$R$2:$R$70,0),1)</f>
        <v>1</v>
      </c>
      <c r="BE9" s="4">
        <f>INDEX(数值!$R$2:$AE$70,BD9,BE$7)</f>
        <v>0</v>
      </c>
      <c r="BF9" s="4">
        <f>INDEX(数值!$R$2:$AE$70,BD9,BF$7)</f>
        <v>0</v>
      </c>
      <c r="BG9" s="4">
        <f>INDEX(数值!$R$2:$AE$70,BD9,BG$7)</f>
        <v>0</v>
      </c>
      <c r="BH9" s="4">
        <f>INDEX(数值!$R$2:$AE$70,BD9,BH$7)</f>
        <v>0</v>
      </c>
      <c r="BI9" s="4">
        <f>INDEX(数值!$R$2:$AE$70,BD9,BI$7)</f>
        <v>0</v>
      </c>
      <c r="BJ9" s="4">
        <f>INDEX(数值!$R$2:$AE$70,BD9,BJ$7)</f>
        <v>0</v>
      </c>
      <c r="BK9" s="4">
        <f>INDEX(数值!$R$2:$AE$70,BD9,BK$7)</f>
        <v>0</v>
      </c>
      <c r="BL9" s="4">
        <f>INDEX(数值!$R$2:$AE$70,BD9,BL$7)</f>
        <v>0</v>
      </c>
      <c r="BM9" s="4">
        <f>INDEX(数值!$R$2:$AE$70,BD9,BM$7)</f>
        <v>0</v>
      </c>
      <c r="BN9" s="4">
        <f>INDEX(数值!$R$2:$AE$70,BD9,BN$7)</f>
        <v>0</v>
      </c>
      <c r="BO9" s="4">
        <f>INDEX(数值!$R$2:$AE$70,BD9,BO$7)</f>
        <v>0</v>
      </c>
      <c r="BP9" s="4">
        <f>INDEX(数值!$R$2:$AE$70,BD9,BP$7)</f>
        <v>0</v>
      </c>
      <c r="BQ9" s="4">
        <f>INDEX(数值!$R$2:$AE$70,BD9,BQ$7)</f>
        <v>0</v>
      </c>
      <c r="BS9" s="45">
        <f>云配队!M15</f>
        <v>0</v>
      </c>
      <c r="BY9" s="4">
        <f>IFERROR(MATCH(BS9,数值!$R$2:$R$70,0),1)</f>
        <v>1</v>
      </c>
      <c r="BZ9" s="4">
        <f>INDEX(数值!$R$2:$AE$70,BY9,BZ$7)</f>
        <v>0</v>
      </c>
      <c r="CA9" s="4">
        <f>INDEX(数值!$R$2:$AE$70,BY9,CA$7)</f>
        <v>0</v>
      </c>
      <c r="CB9" s="4">
        <f>INDEX(数值!$R$2:$AE$70,BY9,CB$7)</f>
        <v>0</v>
      </c>
      <c r="CC9" s="4">
        <f>INDEX(数值!$R$2:$AE$70,BY9,CC$7)</f>
        <v>0</v>
      </c>
      <c r="CD9" s="4">
        <f>INDEX(数值!$R$2:$AE$70,BY9,CD$7)</f>
        <v>0</v>
      </c>
      <c r="CE9" s="4">
        <f>INDEX(数值!$R$2:$AE$70,BY9,CE$7)</f>
        <v>0</v>
      </c>
      <c r="CF9" s="4">
        <f>INDEX(数值!$R$2:$AE$70,BY9,CF$7)</f>
        <v>0</v>
      </c>
      <c r="CG9" s="4">
        <f>INDEX(数值!$R$2:$AE$70,BY9,CG$7)</f>
        <v>0</v>
      </c>
      <c r="CH9" s="4">
        <f>INDEX(数值!$R$2:$AE$70,BY9,CH$7)</f>
        <v>0</v>
      </c>
      <c r="CI9" s="4">
        <f>INDEX(数值!$R$2:$AE$70,BY9,CI$7)</f>
        <v>0</v>
      </c>
      <c r="CJ9" s="4">
        <f>INDEX(数值!$R$2:$AE$70,BY9,CJ$7)</f>
        <v>0</v>
      </c>
      <c r="CK9" s="4">
        <f>INDEX(数值!$R$2:$AE$70,BY9,CK$7)</f>
        <v>0</v>
      </c>
      <c r="CL9" s="4">
        <f>INDEX(数值!$R$2:$AE$70,BY9,CL$7)</f>
        <v>0</v>
      </c>
      <c r="CN9" s="45">
        <f>云配队!N15</f>
        <v>0</v>
      </c>
      <c r="CT9" s="4">
        <f>IFERROR(MATCH(CN9,数值!$R$2:$R$70,0),1)</f>
        <v>1</v>
      </c>
      <c r="CU9" s="4">
        <f>INDEX(数值!$R$2:$AE$70,CT9,CU$7)</f>
        <v>0</v>
      </c>
      <c r="CV9" s="4">
        <f>INDEX(数值!$R$2:$AE$70,CT9,CV$7)</f>
        <v>0</v>
      </c>
      <c r="CW9" s="4">
        <f>INDEX(数值!$R$2:$AE$70,CT9,CW$7)</f>
        <v>0</v>
      </c>
      <c r="CX9" s="4">
        <f>INDEX(数值!$R$2:$AE$70,CT9,CX$7)</f>
        <v>0</v>
      </c>
      <c r="CY9" s="4">
        <f>INDEX(数值!$R$2:$AE$70,CT9,CY$7)</f>
        <v>0</v>
      </c>
      <c r="CZ9" s="4">
        <f>INDEX(数值!$R$2:$AE$70,CT9,CZ$7)</f>
        <v>0</v>
      </c>
      <c r="DA9" s="4">
        <f>INDEX(数值!$R$2:$AE$70,CT9,DA$7)</f>
        <v>0</v>
      </c>
      <c r="DB9" s="4">
        <f>INDEX(数值!$R$2:$AE$70,CT9,DB$7)</f>
        <v>0</v>
      </c>
      <c r="DC9" s="4">
        <f>INDEX(数值!$R$2:$AE$70,CT9,DC$7)</f>
        <v>0</v>
      </c>
      <c r="DD9" s="4">
        <f>INDEX(数值!$R$2:$AE$70,CT9,DD$7)</f>
        <v>0</v>
      </c>
      <c r="DE9" s="4">
        <f>INDEX(数值!$R$2:$AE$70,CT9,DE$7)</f>
        <v>0</v>
      </c>
      <c r="DF9" s="4">
        <f>INDEX(数值!$R$2:$AE$70,CT9,DF$7)</f>
        <v>0</v>
      </c>
      <c r="DG9" s="4">
        <f>INDEX(数值!$R$2:$AE$70,CT9,DG$7)</f>
        <v>0</v>
      </c>
      <c r="DI9" s="45">
        <f>云配队!O15</f>
        <v>0</v>
      </c>
      <c r="DO9" s="4">
        <f>IFERROR(MATCH(DI9,数值!$R$2:$R$70,0),1)</f>
        <v>1</v>
      </c>
      <c r="DP9" s="4">
        <f>INDEX(数值!$R$2:$AE$70,DO9,DP$7)</f>
        <v>0</v>
      </c>
      <c r="DQ9" s="4">
        <f>INDEX(数值!$R$2:$AE$70,DO9,DQ$7)</f>
        <v>0</v>
      </c>
      <c r="DR9" s="4">
        <f>INDEX(数值!$R$2:$AE$70,DO9,DR$7)</f>
        <v>0</v>
      </c>
      <c r="DS9" s="4">
        <f>INDEX(数值!$R$2:$AE$70,DO9,DS$7)</f>
        <v>0</v>
      </c>
      <c r="DT9" s="4">
        <f>INDEX(数值!$R$2:$AE$70,DO9,DT$7)</f>
        <v>0</v>
      </c>
      <c r="DU9" s="4">
        <f>INDEX(数值!$R$2:$AE$70,DO9,DU$7)</f>
        <v>0</v>
      </c>
      <c r="DV9" s="4">
        <f>INDEX(数值!$R$2:$AE$70,DO9,DV$7)</f>
        <v>0</v>
      </c>
      <c r="DW9" s="4">
        <f>INDEX(数值!$R$2:$AE$70,DO9,DW$7)</f>
        <v>0</v>
      </c>
      <c r="DX9" s="4">
        <f>INDEX(数值!$R$2:$AE$70,DO9,DX$7)</f>
        <v>0</v>
      </c>
      <c r="DY9" s="4">
        <f>INDEX(数值!$R$2:$AE$70,DO9,DY$7)</f>
        <v>0</v>
      </c>
      <c r="DZ9" s="4">
        <f>INDEX(数值!$R$2:$AE$70,DO9,DZ$7)</f>
        <v>0</v>
      </c>
      <c r="EA9" s="4">
        <f>INDEX(数值!$R$2:$AE$70,DO9,EA$7)</f>
        <v>0</v>
      </c>
      <c r="EB9" s="4">
        <f>INDEX(数值!$R$2:$AE$70,DO9,EB$7)</f>
        <v>0</v>
      </c>
      <c r="ED9" s="45">
        <f>云配队!P15</f>
        <v>0</v>
      </c>
      <c r="EJ9" s="4">
        <f>IFERROR(MATCH(ED9,数值!$R$2:$R$70,0),1)</f>
        <v>1</v>
      </c>
      <c r="EK9" s="4">
        <f>INDEX(数值!$R$2:$AE$70,EJ9,EK$7)</f>
        <v>0</v>
      </c>
      <c r="EL9" s="4">
        <f>INDEX(数值!$R$2:$AE$70,EJ9,EL$7)</f>
        <v>0</v>
      </c>
      <c r="EM9" s="4">
        <f>INDEX(数值!$R$2:$AE$70,EJ9,EM$7)</f>
        <v>0</v>
      </c>
      <c r="EN9" s="4">
        <f>INDEX(数值!$R$2:$AE$70,EJ9,EN$7)</f>
        <v>0</v>
      </c>
      <c r="EO9" s="4">
        <f>INDEX(数值!$R$2:$AE$70,EJ9,EO$7)</f>
        <v>0</v>
      </c>
      <c r="EP9" s="4">
        <f>INDEX(数值!$R$2:$AE$70,EJ9,EP$7)</f>
        <v>0</v>
      </c>
      <c r="EQ9" s="4">
        <f>INDEX(数值!$R$2:$AE$70,EJ9,EQ$7)</f>
        <v>0</v>
      </c>
      <c r="ER9" s="4">
        <f>INDEX(数值!$R$2:$AE$70,EJ9,ER$7)</f>
        <v>0</v>
      </c>
      <c r="ES9" s="4">
        <f>INDEX(数值!$R$2:$AE$70,EJ9,ES$7)</f>
        <v>0</v>
      </c>
      <c r="ET9" s="4">
        <f>INDEX(数值!$R$2:$AE$70,EJ9,ET$7)</f>
        <v>0</v>
      </c>
      <c r="EU9" s="4">
        <f>INDEX(数值!$R$2:$AE$70,EJ9,EU$7)</f>
        <v>0</v>
      </c>
      <c r="EV9" s="4">
        <f>INDEX(数值!$R$2:$AE$70,EJ9,EV$7)</f>
        <v>0</v>
      </c>
      <c r="EW9" s="4">
        <f>INDEX(数值!$R$2:$AE$70,EJ9,EW$7)</f>
        <v>0</v>
      </c>
    </row>
    <row r="10" customHeight="1" spans="3:153">
      <c r="C10" s="50" t="s">
        <v>43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5">
        <f>云配队!J16</f>
        <v>0</v>
      </c>
      <c r="AJ10" s="46">
        <f>IFERROR(VLOOKUP($AI10,数值!$AG$2:$AP$23,AJ$7,FALSE),0)</f>
        <v>0</v>
      </c>
      <c r="AK10" s="46">
        <f>IFERROR(VLOOKUP($AI10,数值!$AG$2:$AP$23,AK$7,FALSE),0)</f>
        <v>0</v>
      </c>
      <c r="AL10" s="46">
        <f>IFERROR(VLOOKUP($AI10,数值!$AG$2:$AP$23,AL$7,FALSE),0)</f>
        <v>0</v>
      </c>
      <c r="AM10" s="46">
        <f>IFERROR(VLOOKUP($AI10,数值!$AG$2:$AP$23,AM$7,FALSE),0)</f>
        <v>0</v>
      </c>
      <c r="AN10" s="46">
        <f>IFERROR(VLOOKUP($AI10,数值!$AG$2:$AP$23,AN$7,FALSE),0)</f>
        <v>0</v>
      </c>
      <c r="AO10" s="46">
        <f>IFERROR(VLOOKUP($AI10,数值!$AG$2:$AP$23,AO$7,FALSE),0)</f>
        <v>0</v>
      </c>
      <c r="AP10" s="46">
        <f>IFERROR(VLOOKUP($AI10,数值!$AG$2:$AP$23,AP$7,FALSE),0)</f>
        <v>0</v>
      </c>
      <c r="AQ10" s="46">
        <f>IFERROR(VLOOKUP($AI10,数值!$AG$2:$AP$23,AQ$7,FALSE),0)</f>
        <v>0</v>
      </c>
      <c r="AR10" s="46">
        <f>IFERROR(VLOOKUP($AI10,数值!$AG$2:$AP$23,AR$7,FALSE),0)</f>
        <v>0</v>
      </c>
      <c r="AS10" s="49"/>
      <c r="AT10" s="49"/>
      <c r="AU10" s="49"/>
      <c r="AV10" s="49"/>
      <c r="AW10" s="49"/>
      <c r="AX10" s="55">
        <f>云配队!L16</f>
        <v>0</v>
      </c>
      <c r="BD10" s="4">
        <f>IFERROR(MATCH(AX10,数值!$R$2:$R$70,0),1)</f>
        <v>1</v>
      </c>
      <c r="BE10" s="4">
        <f>INDEX(数值!$R$2:$AE$70,BD10,BE$7)</f>
        <v>0</v>
      </c>
      <c r="BF10" s="4">
        <f>INDEX(数值!$R$2:$AE$70,BD10,BF$7)</f>
        <v>0</v>
      </c>
      <c r="BG10" s="4">
        <f>INDEX(数值!$R$2:$AE$70,BD10,BG$7)</f>
        <v>0</v>
      </c>
      <c r="BH10" s="4">
        <f>INDEX(数值!$R$2:$AE$70,BD10,BH$7)</f>
        <v>0</v>
      </c>
      <c r="BI10" s="4">
        <f>INDEX(数值!$R$2:$AE$70,BD10,BI$7)</f>
        <v>0</v>
      </c>
      <c r="BJ10" s="4">
        <f>INDEX(数值!$R$2:$AE$70,BD10,BJ$7)</f>
        <v>0</v>
      </c>
      <c r="BK10" s="4">
        <f>INDEX(数值!$R$2:$AE$70,BD10,BK$7)</f>
        <v>0</v>
      </c>
      <c r="BL10" s="4">
        <f>INDEX(数值!$R$2:$AE$70,BD10,BL$7)</f>
        <v>0</v>
      </c>
      <c r="BM10" s="4">
        <f>INDEX(数值!$R$2:$AE$70,BD10,BM$7)</f>
        <v>0</v>
      </c>
      <c r="BN10" s="4">
        <f>INDEX(数值!$R$2:$AE$70,BD10,BN$7)</f>
        <v>0</v>
      </c>
      <c r="BO10" s="4">
        <f>INDEX(数值!$R$2:$AE$70,BD10,BO$7)</f>
        <v>0</v>
      </c>
      <c r="BP10" s="4">
        <f>INDEX(数值!$R$2:$AE$70,BD10,BP$7)</f>
        <v>0</v>
      </c>
      <c r="BQ10" s="4">
        <f>INDEX(数值!$R$2:$AE$70,BD10,BQ$7)</f>
        <v>0</v>
      </c>
      <c r="BS10" s="45">
        <f>云配队!M16</f>
        <v>0</v>
      </c>
      <c r="BY10" s="4">
        <f>IFERROR(MATCH(BS10,数值!$R$2:$R$70,0),1)</f>
        <v>1</v>
      </c>
      <c r="BZ10" s="4">
        <f>INDEX(数值!$R$2:$AE$70,BY10,BZ$7)</f>
        <v>0</v>
      </c>
      <c r="CA10" s="4">
        <f>INDEX(数值!$R$2:$AE$70,BY10,CA$7)</f>
        <v>0</v>
      </c>
      <c r="CB10" s="4">
        <f>INDEX(数值!$R$2:$AE$70,BY10,CB$7)</f>
        <v>0</v>
      </c>
      <c r="CC10" s="4">
        <f>INDEX(数值!$R$2:$AE$70,BY10,CC$7)</f>
        <v>0</v>
      </c>
      <c r="CD10" s="4">
        <f>INDEX(数值!$R$2:$AE$70,BY10,CD$7)</f>
        <v>0</v>
      </c>
      <c r="CE10" s="4">
        <f>INDEX(数值!$R$2:$AE$70,BY10,CE$7)</f>
        <v>0</v>
      </c>
      <c r="CF10" s="4">
        <f>INDEX(数值!$R$2:$AE$70,BY10,CF$7)</f>
        <v>0</v>
      </c>
      <c r="CG10" s="4">
        <f>INDEX(数值!$R$2:$AE$70,BY10,CG$7)</f>
        <v>0</v>
      </c>
      <c r="CH10" s="4">
        <f>INDEX(数值!$R$2:$AE$70,BY10,CH$7)</f>
        <v>0</v>
      </c>
      <c r="CI10" s="4">
        <f>INDEX(数值!$R$2:$AE$70,BY10,CI$7)</f>
        <v>0</v>
      </c>
      <c r="CJ10" s="4">
        <f>INDEX(数值!$R$2:$AE$70,BY10,CJ$7)</f>
        <v>0</v>
      </c>
      <c r="CK10" s="4">
        <f>INDEX(数值!$R$2:$AE$70,BY10,CK$7)</f>
        <v>0</v>
      </c>
      <c r="CL10" s="4">
        <f>INDEX(数值!$R$2:$AE$70,BY10,CL$7)</f>
        <v>0</v>
      </c>
      <c r="CN10" s="45">
        <f>云配队!N16</f>
        <v>0</v>
      </c>
      <c r="CT10" s="4">
        <f>IFERROR(MATCH(CN10,数值!$R$2:$R$70,0),1)</f>
        <v>1</v>
      </c>
      <c r="CU10" s="4">
        <f>INDEX(数值!$R$2:$AE$70,CT10,CU$7)</f>
        <v>0</v>
      </c>
      <c r="CV10" s="4">
        <f>INDEX(数值!$R$2:$AE$70,CT10,CV$7)</f>
        <v>0</v>
      </c>
      <c r="CW10" s="4">
        <f>INDEX(数值!$R$2:$AE$70,CT10,CW$7)</f>
        <v>0</v>
      </c>
      <c r="CX10" s="4">
        <f>INDEX(数值!$R$2:$AE$70,CT10,CX$7)</f>
        <v>0</v>
      </c>
      <c r="CY10" s="4">
        <f>INDEX(数值!$R$2:$AE$70,CT10,CY$7)</f>
        <v>0</v>
      </c>
      <c r="CZ10" s="4">
        <f>INDEX(数值!$R$2:$AE$70,CT10,CZ$7)</f>
        <v>0</v>
      </c>
      <c r="DA10" s="4">
        <f>INDEX(数值!$R$2:$AE$70,CT10,DA$7)</f>
        <v>0</v>
      </c>
      <c r="DB10" s="4">
        <f>INDEX(数值!$R$2:$AE$70,CT10,DB$7)</f>
        <v>0</v>
      </c>
      <c r="DC10" s="4">
        <f>INDEX(数值!$R$2:$AE$70,CT10,DC$7)</f>
        <v>0</v>
      </c>
      <c r="DD10" s="4">
        <f>INDEX(数值!$R$2:$AE$70,CT10,DD$7)</f>
        <v>0</v>
      </c>
      <c r="DE10" s="4">
        <f>INDEX(数值!$R$2:$AE$70,CT10,DE$7)</f>
        <v>0</v>
      </c>
      <c r="DF10" s="4">
        <f>INDEX(数值!$R$2:$AE$70,CT10,DF$7)</f>
        <v>0</v>
      </c>
      <c r="DG10" s="4">
        <f>INDEX(数值!$R$2:$AE$70,CT10,DG$7)</f>
        <v>0</v>
      </c>
      <c r="DI10" s="45">
        <f>云配队!O16</f>
        <v>0</v>
      </c>
      <c r="DO10" s="4">
        <f>IFERROR(MATCH(DI10,数值!$R$2:$R$70,0),1)</f>
        <v>1</v>
      </c>
      <c r="DP10" s="4">
        <f>INDEX(数值!$R$2:$AE$70,DO10,DP$7)</f>
        <v>0</v>
      </c>
      <c r="DQ10" s="4">
        <f>INDEX(数值!$R$2:$AE$70,DO10,DQ$7)</f>
        <v>0</v>
      </c>
      <c r="DR10" s="4">
        <f>INDEX(数值!$R$2:$AE$70,DO10,DR$7)</f>
        <v>0</v>
      </c>
      <c r="DS10" s="4">
        <f>INDEX(数值!$R$2:$AE$70,DO10,DS$7)</f>
        <v>0</v>
      </c>
      <c r="DT10" s="4">
        <f>INDEX(数值!$R$2:$AE$70,DO10,DT$7)</f>
        <v>0</v>
      </c>
      <c r="DU10" s="4">
        <f>INDEX(数值!$R$2:$AE$70,DO10,DU$7)</f>
        <v>0</v>
      </c>
      <c r="DV10" s="4">
        <f>INDEX(数值!$R$2:$AE$70,DO10,DV$7)</f>
        <v>0</v>
      </c>
      <c r="DW10" s="4">
        <f>INDEX(数值!$R$2:$AE$70,DO10,DW$7)</f>
        <v>0</v>
      </c>
      <c r="DX10" s="4">
        <f>INDEX(数值!$R$2:$AE$70,DO10,DX$7)</f>
        <v>0</v>
      </c>
      <c r="DY10" s="4">
        <f>INDEX(数值!$R$2:$AE$70,DO10,DY$7)</f>
        <v>0</v>
      </c>
      <c r="DZ10" s="4">
        <f>INDEX(数值!$R$2:$AE$70,DO10,DZ$7)</f>
        <v>0</v>
      </c>
      <c r="EA10" s="4">
        <f>INDEX(数值!$R$2:$AE$70,DO10,EA$7)</f>
        <v>0</v>
      </c>
      <c r="EB10" s="4">
        <f>INDEX(数值!$R$2:$AE$70,DO10,EB$7)</f>
        <v>0</v>
      </c>
      <c r="ED10" s="45">
        <f>云配队!P16</f>
        <v>0</v>
      </c>
      <c r="EJ10" s="4">
        <f>IFERROR(MATCH(ED10,数值!$R$2:$R$70,0),1)</f>
        <v>1</v>
      </c>
      <c r="EK10" s="4">
        <f>INDEX(数值!$R$2:$AE$70,EJ10,EK$7)</f>
        <v>0</v>
      </c>
      <c r="EL10" s="4">
        <f>INDEX(数值!$R$2:$AE$70,EJ10,EL$7)</f>
        <v>0</v>
      </c>
      <c r="EM10" s="4">
        <f>INDEX(数值!$R$2:$AE$70,EJ10,EM$7)</f>
        <v>0</v>
      </c>
      <c r="EN10" s="4">
        <f>INDEX(数值!$R$2:$AE$70,EJ10,EN$7)</f>
        <v>0</v>
      </c>
      <c r="EO10" s="4">
        <f>INDEX(数值!$R$2:$AE$70,EJ10,EO$7)</f>
        <v>0</v>
      </c>
      <c r="EP10" s="4">
        <f>INDEX(数值!$R$2:$AE$70,EJ10,EP$7)</f>
        <v>0</v>
      </c>
      <c r="EQ10" s="4">
        <f>INDEX(数值!$R$2:$AE$70,EJ10,EQ$7)</f>
        <v>0</v>
      </c>
      <c r="ER10" s="4">
        <f>INDEX(数值!$R$2:$AE$70,EJ10,ER$7)</f>
        <v>0</v>
      </c>
      <c r="ES10" s="4">
        <f>INDEX(数值!$R$2:$AE$70,EJ10,ES$7)</f>
        <v>0</v>
      </c>
      <c r="ET10" s="4">
        <f>INDEX(数值!$R$2:$AE$70,EJ10,ET$7)</f>
        <v>0</v>
      </c>
      <c r="EU10" s="4">
        <f>INDEX(数值!$R$2:$AE$70,EJ10,EU$7)</f>
        <v>0</v>
      </c>
      <c r="EV10" s="4">
        <f>INDEX(数值!$R$2:$AE$70,EJ10,EV$7)</f>
        <v>0</v>
      </c>
      <c r="EW10" s="4">
        <f>INDEX(数值!$R$2:$AE$70,EJ10,EW$7)</f>
        <v>0</v>
      </c>
    </row>
    <row r="11" customHeight="1" spans="3:153">
      <c r="C11" s="50" t="s">
        <v>44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5">
        <f>云配队!J17</f>
        <v>0</v>
      </c>
      <c r="AJ11" s="46">
        <f>IFERROR(VLOOKUP($AI11,数值!$AG$2:$AP$23,AJ$7,FALSE),0)</f>
        <v>0</v>
      </c>
      <c r="AK11" s="46">
        <f>IFERROR(VLOOKUP($AI11,数值!$AG$2:$AP$23,AK$7,FALSE),0)</f>
        <v>0</v>
      </c>
      <c r="AL11" s="46">
        <f>IFERROR(VLOOKUP($AI11,数值!$AG$2:$AP$23,AL$7,FALSE),0)</f>
        <v>0</v>
      </c>
      <c r="AM11" s="46">
        <f>IFERROR(VLOOKUP($AI11,数值!$AG$2:$AP$23,AM$7,FALSE),0)</f>
        <v>0</v>
      </c>
      <c r="AN11" s="46">
        <f>IFERROR(VLOOKUP($AI11,数值!$AG$2:$AP$23,AN$7,FALSE),0)</f>
        <v>0</v>
      </c>
      <c r="AO11" s="46">
        <f>IFERROR(VLOOKUP($AI11,数值!$AG$2:$AP$23,AO$7,FALSE),0)</f>
        <v>0</v>
      </c>
      <c r="AP11" s="46">
        <f>IFERROR(VLOOKUP($AI11,数值!$AG$2:$AP$23,AP$7,FALSE),0)</f>
        <v>0</v>
      </c>
      <c r="AQ11" s="46">
        <f>IFERROR(VLOOKUP($AI11,数值!$AG$2:$AP$23,AQ$7,FALSE),0)</f>
        <v>0</v>
      </c>
      <c r="AR11" s="46">
        <f>IFERROR(VLOOKUP($AI11,数值!$AG$2:$AP$23,AR$7,FALSE),0)</f>
        <v>0</v>
      </c>
      <c r="AS11" s="49"/>
      <c r="AT11" s="49"/>
      <c r="AU11" s="49"/>
      <c r="AV11" s="49"/>
      <c r="AW11" s="49"/>
      <c r="AX11" s="55">
        <f>云配队!L17</f>
        <v>0</v>
      </c>
      <c r="BD11" s="4">
        <f>IFERROR(MATCH(AX11,数值!$R$2:$R$70,0),1)</f>
        <v>1</v>
      </c>
      <c r="BE11" s="4">
        <f>INDEX(数值!$R$2:$AE$70,BD11,BE$7)</f>
        <v>0</v>
      </c>
      <c r="BF11" s="4">
        <f>INDEX(数值!$R$2:$AE$70,BD11,BF$7)</f>
        <v>0</v>
      </c>
      <c r="BG11" s="4">
        <f>INDEX(数值!$R$2:$AE$70,BD11,BG$7)</f>
        <v>0</v>
      </c>
      <c r="BH11" s="4">
        <f>INDEX(数值!$R$2:$AE$70,BD11,BH$7)</f>
        <v>0</v>
      </c>
      <c r="BI11" s="4">
        <f>INDEX(数值!$R$2:$AE$70,BD11,BI$7)</f>
        <v>0</v>
      </c>
      <c r="BJ11" s="4">
        <f>INDEX(数值!$R$2:$AE$70,BD11,BJ$7)</f>
        <v>0</v>
      </c>
      <c r="BK11" s="4">
        <f>INDEX(数值!$R$2:$AE$70,BD11,BK$7)</f>
        <v>0</v>
      </c>
      <c r="BL11" s="4">
        <f>INDEX(数值!$R$2:$AE$70,BD11,BL$7)</f>
        <v>0</v>
      </c>
      <c r="BM11" s="4">
        <f>INDEX(数值!$R$2:$AE$70,BD11,BM$7)</f>
        <v>0</v>
      </c>
      <c r="BN11" s="4">
        <f>INDEX(数值!$R$2:$AE$70,BD11,BN$7)</f>
        <v>0</v>
      </c>
      <c r="BO11" s="4">
        <f>INDEX(数值!$R$2:$AE$70,BD11,BO$7)</f>
        <v>0</v>
      </c>
      <c r="BP11" s="4">
        <f>INDEX(数值!$R$2:$AE$70,BD11,BP$7)</f>
        <v>0</v>
      </c>
      <c r="BQ11" s="4">
        <f>INDEX(数值!$R$2:$AE$70,BD11,BQ$7)</f>
        <v>0</v>
      </c>
      <c r="BS11" s="45">
        <f>云配队!M17</f>
        <v>0</v>
      </c>
      <c r="BY11" s="4">
        <f>IFERROR(MATCH(BS11,数值!$R$2:$R$70,0),1)</f>
        <v>1</v>
      </c>
      <c r="BZ11" s="4">
        <f>INDEX(数值!$R$2:$AE$70,BY11,BZ$7)</f>
        <v>0</v>
      </c>
      <c r="CA11" s="4">
        <f>INDEX(数值!$R$2:$AE$70,BY11,CA$7)</f>
        <v>0</v>
      </c>
      <c r="CB11" s="4">
        <f>INDEX(数值!$R$2:$AE$70,BY11,CB$7)</f>
        <v>0</v>
      </c>
      <c r="CC11" s="4">
        <f>INDEX(数值!$R$2:$AE$70,BY11,CC$7)</f>
        <v>0</v>
      </c>
      <c r="CD11" s="4">
        <f>INDEX(数值!$R$2:$AE$70,BY11,CD$7)</f>
        <v>0</v>
      </c>
      <c r="CE11" s="4">
        <f>INDEX(数值!$R$2:$AE$70,BY11,CE$7)</f>
        <v>0</v>
      </c>
      <c r="CF11" s="4">
        <f>INDEX(数值!$R$2:$AE$70,BY11,CF$7)</f>
        <v>0</v>
      </c>
      <c r="CG11" s="4">
        <f>INDEX(数值!$R$2:$AE$70,BY11,CG$7)</f>
        <v>0</v>
      </c>
      <c r="CH11" s="4">
        <f>INDEX(数值!$R$2:$AE$70,BY11,CH$7)</f>
        <v>0</v>
      </c>
      <c r="CI11" s="4">
        <f>INDEX(数值!$R$2:$AE$70,BY11,CI$7)</f>
        <v>0</v>
      </c>
      <c r="CJ11" s="4">
        <f>INDEX(数值!$R$2:$AE$70,BY11,CJ$7)</f>
        <v>0</v>
      </c>
      <c r="CK11" s="4">
        <f>INDEX(数值!$R$2:$AE$70,BY11,CK$7)</f>
        <v>0</v>
      </c>
      <c r="CL11" s="4">
        <f>INDEX(数值!$R$2:$AE$70,BY11,CL$7)</f>
        <v>0</v>
      </c>
      <c r="CN11" s="45">
        <f>云配队!N17</f>
        <v>0</v>
      </c>
      <c r="CT11" s="4">
        <f>IFERROR(MATCH(CN11,数值!$R$2:$R$70,0),1)</f>
        <v>1</v>
      </c>
      <c r="CU11" s="4">
        <f>INDEX(数值!$R$2:$AE$70,CT11,CU$7)</f>
        <v>0</v>
      </c>
      <c r="CV11" s="4">
        <f>INDEX(数值!$R$2:$AE$70,CT11,CV$7)</f>
        <v>0</v>
      </c>
      <c r="CW11" s="4">
        <f>INDEX(数值!$R$2:$AE$70,CT11,CW$7)</f>
        <v>0</v>
      </c>
      <c r="CX11" s="4">
        <f>INDEX(数值!$R$2:$AE$70,CT11,CX$7)</f>
        <v>0</v>
      </c>
      <c r="CY11" s="4">
        <f>INDEX(数值!$R$2:$AE$70,CT11,CY$7)</f>
        <v>0</v>
      </c>
      <c r="CZ11" s="4">
        <f>INDEX(数值!$R$2:$AE$70,CT11,CZ$7)</f>
        <v>0</v>
      </c>
      <c r="DA11" s="4">
        <f>INDEX(数值!$R$2:$AE$70,CT11,DA$7)</f>
        <v>0</v>
      </c>
      <c r="DB11" s="4">
        <f>INDEX(数值!$R$2:$AE$70,CT11,DB$7)</f>
        <v>0</v>
      </c>
      <c r="DC11" s="4">
        <f>INDEX(数值!$R$2:$AE$70,CT11,DC$7)</f>
        <v>0</v>
      </c>
      <c r="DD11" s="4">
        <f>INDEX(数值!$R$2:$AE$70,CT11,DD$7)</f>
        <v>0</v>
      </c>
      <c r="DE11" s="4">
        <f>INDEX(数值!$R$2:$AE$70,CT11,DE$7)</f>
        <v>0</v>
      </c>
      <c r="DF11" s="4">
        <f>INDEX(数值!$R$2:$AE$70,CT11,DF$7)</f>
        <v>0</v>
      </c>
      <c r="DG11" s="4">
        <f>INDEX(数值!$R$2:$AE$70,CT11,DG$7)</f>
        <v>0</v>
      </c>
      <c r="DI11" s="45">
        <f>云配队!O17</f>
        <v>0</v>
      </c>
      <c r="DO11" s="4">
        <f>IFERROR(MATCH(DI11,数值!$R$2:$R$70,0),1)</f>
        <v>1</v>
      </c>
      <c r="DP11" s="4">
        <f>INDEX(数值!$R$2:$AE$70,DO11,DP$7)</f>
        <v>0</v>
      </c>
      <c r="DQ11" s="4">
        <f>INDEX(数值!$R$2:$AE$70,DO11,DQ$7)</f>
        <v>0</v>
      </c>
      <c r="DR11" s="4">
        <f>INDEX(数值!$R$2:$AE$70,DO11,DR$7)</f>
        <v>0</v>
      </c>
      <c r="DS11" s="4">
        <f>INDEX(数值!$R$2:$AE$70,DO11,DS$7)</f>
        <v>0</v>
      </c>
      <c r="DT11" s="4">
        <f>INDEX(数值!$R$2:$AE$70,DO11,DT$7)</f>
        <v>0</v>
      </c>
      <c r="DU11" s="4">
        <f>INDEX(数值!$R$2:$AE$70,DO11,DU$7)</f>
        <v>0</v>
      </c>
      <c r="DV11" s="4">
        <f>INDEX(数值!$R$2:$AE$70,DO11,DV$7)</f>
        <v>0</v>
      </c>
      <c r="DW11" s="4">
        <f>INDEX(数值!$R$2:$AE$70,DO11,DW$7)</f>
        <v>0</v>
      </c>
      <c r="DX11" s="4">
        <f>INDEX(数值!$R$2:$AE$70,DO11,DX$7)</f>
        <v>0</v>
      </c>
      <c r="DY11" s="4">
        <f>INDEX(数值!$R$2:$AE$70,DO11,DY$7)</f>
        <v>0</v>
      </c>
      <c r="DZ11" s="4">
        <f>INDEX(数值!$R$2:$AE$70,DO11,DZ$7)</f>
        <v>0</v>
      </c>
      <c r="EA11" s="4">
        <f>INDEX(数值!$R$2:$AE$70,DO11,EA$7)</f>
        <v>0</v>
      </c>
      <c r="EB11" s="4">
        <f>INDEX(数值!$R$2:$AE$70,DO11,EB$7)</f>
        <v>0</v>
      </c>
      <c r="ED11" s="45">
        <f>云配队!P17</f>
        <v>0</v>
      </c>
      <c r="EJ11" s="4">
        <f>IFERROR(MATCH(ED11,数值!$R$2:$R$70,0),1)</f>
        <v>1</v>
      </c>
      <c r="EK11" s="4">
        <f>INDEX(数值!$R$2:$AE$70,EJ11,EK$7)</f>
        <v>0</v>
      </c>
      <c r="EL11" s="4">
        <f>INDEX(数值!$R$2:$AE$70,EJ11,EL$7)</f>
        <v>0</v>
      </c>
      <c r="EM11" s="4">
        <f>INDEX(数值!$R$2:$AE$70,EJ11,EM$7)</f>
        <v>0</v>
      </c>
      <c r="EN11" s="4">
        <f>INDEX(数值!$R$2:$AE$70,EJ11,EN$7)</f>
        <v>0</v>
      </c>
      <c r="EO11" s="4">
        <f>INDEX(数值!$R$2:$AE$70,EJ11,EO$7)</f>
        <v>0</v>
      </c>
      <c r="EP11" s="4">
        <f>INDEX(数值!$R$2:$AE$70,EJ11,EP$7)</f>
        <v>0</v>
      </c>
      <c r="EQ11" s="4">
        <f>INDEX(数值!$R$2:$AE$70,EJ11,EQ$7)</f>
        <v>0</v>
      </c>
      <c r="ER11" s="4">
        <f>INDEX(数值!$R$2:$AE$70,EJ11,ER$7)</f>
        <v>0</v>
      </c>
      <c r="ES11" s="4">
        <f>INDEX(数值!$R$2:$AE$70,EJ11,ES$7)</f>
        <v>0</v>
      </c>
      <c r="ET11" s="4">
        <f>INDEX(数值!$R$2:$AE$70,EJ11,ET$7)</f>
        <v>0</v>
      </c>
      <c r="EU11" s="4">
        <f>INDEX(数值!$R$2:$AE$70,EJ11,EU$7)</f>
        <v>0</v>
      </c>
      <c r="EV11" s="4">
        <f>INDEX(数值!$R$2:$AE$70,EJ11,EV$7)</f>
        <v>0</v>
      </c>
      <c r="EW11" s="4">
        <f>INDEX(数值!$R$2:$AE$70,EJ11,EW$7)</f>
        <v>0</v>
      </c>
    </row>
    <row r="12" customHeight="1" spans="3:153">
      <c r="C12" s="50" t="s">
        <v>45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5">
        <f>云配队!J18</f>
        <v>0</v>
      </c>
      <c r="AJ12" s="46">
        <f>IFERROR(VLOOKUP($AI12,数值!$AG$2:$AP$23,AJ$7,FALSE),0)</f>
        <v>0</v>
      </c>
      <c r="AK12" s="46">
        <f>IFERROR(VLOOKUP($AI12,数值!$AG$2:$AP$23,AK$7,FALSE),0)</f>
        <v>0</v>
      </c>
      <c r="AL12" s="46">
        <f>IFERROR(VLOOKUP($AI12,数值!$AG$2:$AP$23,AL$7,FALSE),0)</f>
        <v>0</v>
      </c>
      <c r="AM12" s="46">
        <f>IFERROR(VLOOKUP($AI12,数值!$AG$2:$AP$23,AM$7,FALSE),0)</f>
        <v>0</v>
      </c>
      <c r="AN12" s="46">
        <f>IFERROR(VLOOKUP($AI12,数值!$AG$2:$AP$23,AN$7,FALSE),0)</f>
        <v>0</v>
      </c>
      <c r="AO12" s="46">
        <f>IFERROR(VLOOKUP($AI12,数值!$AG$2:$AP$23,AO$7,FALSE),0)</f>
        <v>0</v>
      </c>
      <c r="AP12" s="46">
        <f>IFERROR(VLOOKUP($AI12,数值!$AG$2:$AP$23,AP$7,FALSE),0)</f>
        <v>0</v>
      </c>
      <c r="AQ12" s="46">
        <f>IFERROR(VLOOKUP($AI12,数值!$AG$2:$AP$23,AQ$7,FALSE),0)</f>
        <v>0</v>
      </c>
      <c r="AR12" s="46">
        <f>IFERROR(VLOOKUP($AI12,数值!$AG$2:$AP$23,AR$7,FALSE),0)</f>
        <v>0</v>
      </c>
      <c r="AS12" s="49"/>
      <c r="AT12" s="49"/>
      <c r="AU12" s="49"/>
      <c r="AV12" s="49"/>
      <c r="AW12" s="49"/>
      <c r="AX12" s="55">
        <f>云配队!L18</f>
        <v>0</v>
      </c>
      <c r="BD12" s="4">
        <f>IFERROR(MATCH(AX12,数值!$R$2:$R$70,0),1)</f>
        <v>1</v>
      </c>
      <c r="BE12" s="4">
        <f>INDEX(数值!$R$2:$AE$70,BD12,BE$7)</f>
        <v>0</v>
      </c>
      <c r="BF12" s="4">
        <f>INDEX(数值!$R$2:$AE$70,BD12,BF$7)</f>
        <v>0</v>
      </c>
      <c r="BG12" s="4">
        <f>INDEX(数值!$R$2:$AE$70,BD12,BG$7)</f>
        <v>0</v>
      </c>
      <c r="BH12" s="4">
        <f>INDEX(数值!$R$2:$AE$70,BD12,BH$7)</f>
        <v>0</v>
      </c>
      <c r="BI12" s="4">
        <f>INDEX(数值!$R$2:$AE$70,BD12,BI$7)</f>
        <v>0</v>
      </c>
      <c r="BJ12" s="4">
        <f>INDEX(数值!$R$2:$AE$70,BD12,BJ$7)</f>
        <v>0</v>
      </c>
      <c r="BK12" s="4">
        <f>INDEX(数值!$R$2:$AE$70,BD12,BK$7)</f>
        <v>0</v>
      </c>
      <c r="BL12" s="4">
        <f>INDEX(数值!$R$2:$AE$70,BD12,BL$7)</f>
        <v>0</v>
      </c>
      <c r="BM12" s="4">
        <f>INDEX(数值!$R$2:$AE$70,BD12,BM$7)</f>
        <v>0</v>
      </c>
      <c r="BN12" s="4">
        <f>INDEX(数值!$R$2:$AE$70,BD12,BN$7)</f>
        <v>0</v>
      </c>
      <c r="BO12" s="4">
        <f>INDEX(数值!$R$2:$AE$70,BD12,BO$7)</f>
        <v>0</v>
      </c>
      <c r="BP12" s="4">
        <f>INDEX(数值!$R$2:$AE$70,BD12,BP$7)</f>
        <v>0</v>
      </c>
      <c r="BQ12" s="4">
        <f>INDEX(数值!$R$2:$AE$70,BD12,BQ$7)</f>
        <v>0</v>
      </c>
      <c r="BS12" s="45">
        <f>云配队!M18</f>
        <v>0</v>
      </c>
      <c r="BY12" s="4">
        <f>IFERROR(MATCH(BS12,数值!$R$2:$R$70,0),1)</f>
        <v>1</v>
      </c>
      <c r="BZ12" s="4">
        <f>INDEX(数值!$R$2:$AE$70,BY12,BZ$7)</f>
        <v>0</v>
      </c>
      <c r="CA12" s="4">
        <f>INDEX(数值!$R$2:$AE$70,BY12,CA$7)</f>
        <v>0</v>
      </c>
      <c r="CB12" s="4">
        <f>INDEX(数值!$R$2:$AE$70,BY12,CB$7)</f>
        <v>0</v>
      </c>
      <c r="CC12" s="4">
        <f>INDEX(数值!$R$2:$AE$70,BY12,CC$7)</f>
        <v>0</v>
      </c>
      <c r="CD12" s="4">
        <f>INDEX(数值!$R$2:$AE$70,BY12,CD$7)</f>
        <v>0</v>
      </c>
      <c r="CE12" s="4">
        <f>INDEX(数值!$R$2:$AE$70,BY12,CE$7)</f>
        <v>0</v>
      </c>
      <c r="CF12" s="4">
        <f>INDEX(数值!$R$2:$AE$70,BY12,CF$7)</f>
        <v>0</v>
      </c>
      <c r="CG12" s="4">
        <f>INDEX(数值!$R$2:$AE$70,BY12,CG$7)</f>
        <v>0</v>
      </c>
      <c r="CH12" s="4">
        <f>INDEX(数值!$R$2:$AE$70,BY12,CH$7)</f>
        <v>0</v>
      </c>
      <c r="CI12" s="4">
        <f>INDEX(数值!$R$2:$AE$70,BY12,CI$7)</f>
        <v>0</v>
      </c>
      <c r="CJ12" s="4">
        <f>INDEX(数值!$R$2:$AE$70,BY12,CJ$7)</f>
        <v>0</v>
      </c>
      <c r="CK12" s="4">
        <f>INDEX(数值!$R$2:$AE$70,BY12,CK$7)</f>
        <v>0</v>
      </c>
      <c r="CL12" s="4">
        <f>INDEX(数值!$R$2:$AE$70,BY12,CL$7)</f>
        <v>0</v>
      </c>
      <c r="CN12" s="45">
        <f>云配队!N18</f>
        <v>0</v>
      </c>
      <c r="CT12" s="4">
        <f>IFERROR(MATCH(CN12,数值!$R$2:$R$70,0),1)</f>
        <v>1</v>
      </c>
      <c r="CU12" s="4">
        <f>INDEX(数值!$R$2:$AE$70,CT12,CU$7)</f>
        <v>0</v>
      </c>
      <c r="CV12" s="4">
        <f>INDEX(数值!$R$2:$AE$70,CT12,CV$7)</f>
        <v>0</v>
      </c>
      <c r="CW12" s="4">
        <f>INDEX(数值!$R$2:$AE$70,CT12,CW$7)</f>
        <v>0</v>
      </c>
      <c r="CX12" s="4">
        <f>INDEX(数值!$R$2:$AE$70,CT12,CX$7)</f>
        <v>0</v>
      </c>
      <c r="CY12" s="4">
        <f>INDEX(数值!$R$2:$AE$70,CT12,CY$7)</f>
        <v>0</v>
      </c>
      <c r="CZ12" s="4">
        <f>INDEX(数值!$R$2:$AE$70,CT12,CZ$7)</f>
        <v>0</v>
      </c>
      <c r="DA12" s="4">
        <f>INDEX(数值!$R$2:$AE$70,CT12,DA$7)</f>
        <v>0</v>
      </c>
      <c r="DB12" s="4">
        <f>INDEX(数值!$R$2:$AE$70,CT12,DB$7)</f>
        <v>0</v>
      </c>
      <c r="DC12" s="4">
        <f>INDEX(数值!$R$2:$AE$70,CT12,DC$7)</f>
        <v>0</v>
      </c>
      <c r="DD12" s="4">
        <f>INDEX(数值!$R$2:$AE$70,CT12,DD$7)</f>
        <v>0</v>
      </c>
      <c r="DE12" s="4">
        <f>INDEX(数值!$R$2:$AE$70,CT12,DE$7)</f>
        <v>0</v>
      </c>
      <c r="DF12" s="4">
        <f>INDEX(数值!$R$2:$AE$70,CT12,DF$7)</f>
        <v>0</v>
      </c>
      <c r="DG12" s="4">
        <f>INDEX(数值!$R$2:$AE$70,CT12,DG$7)</f>
        <v>0</v>
      </c>
      <c r="DI12" s="45">
        <f>云配队!O18</f>
        <v>0</v>
      </c>
      <c r="DO12" s="4">
        <f>IFERROR(MATCH(DI12,数值!$R$2:$R$70,0),1)</f>
        <v>1</v>
      </c>
      <c r="DP12" s="4">
        <f>INDEX(数值!$R$2:$AE$70,DO12,DP$7)</f>
        <v>0</v>
      </c>
      <c r="DQ12" s="4">
        <f>INDEX(数值!$R$2:$AE$70,DO12,DQ$7)</f>
        <v>0</v>
      </c>
      <c r="DR12" s="4">
        <f>INDEX(数值!$R$2:$AE$70,DO12,DR$7)</f>
        <v>0</v>
      </c>
      <c r="DS12" s="4">
        <f>INDEX(数值!$R$2:$AE$70,DO12,DS$7)</f>
        <v>0</v>
      </c>
      <c r="DT12" s="4">
        <f>INDEX(数值!$R$2:$AE$70,DO12,DT$7)</f>
        <v>0</v>
      </c>
      <c r="DU12" s="4">
        <f>INDEX(数值!$R$2:$AE$70,DO12,DU$7)</f>
        <v>0</v>
      </c>
      <c r="DV12" s="4">
        <f>INDEX(数值!$R$2:$AE$70,DO12,DV$7)</f>
        <v>0</v>
      </c>
      <c r="DW12" s="4">
        <f>INDEX(数值!$R$2:$AE$70,DO12,DW$7)</f>
        <v>0</v>
      </c>
      <c r="DX12" s="4">
        <f>INDEX(数值!$R$2:$AE$70,DO12,DX$7)</f>
        <v>0</v>
      </c>
      <c r="DY12" s="4">
        <f>INDEX(数值!$R$2:$AE$70,DO12,DY$7)</f>
        <v>0</v>
      </c>
      <c r="DZ12" s="4">
        <f>INDEX(数值!$R$2:$AE$70,DO12,DZ$7)</f>
        <v>0</v>
      </c>
      <c r="EA12" s="4">
        <f>INDEX(数值!$R$2:$AE$70,DO12,EA$7)</f>
        <v>0</v>
      </c>
      <c r="EB12" s="4">
        <f>INDEX(数值!$R$2:$AE$70,DO12,EB$7)</f>
        <v>0</v>
      </c>
      <c r="ED12" s="45">
        <f>云配队!P18</f>
        <v>0</v>
      </c>
      <c r="EJ12" s="4">
        <f>IFERROR(MATCH(ED12,数值!$R$2:$R$70,0),1)</f>
        <v>1</v>
      </c>
      <c r="EK12" s="4">
        <f>INDEX(数值!$R$2:$AE$70,EJ12,EK$7)</f>
        <v>0</v>
      </c>
      <c r="EL12" s="4">
        <f>INDEX(数值!$R$2:$AE$70,EJ12,EL$7)</f>
        <v>0</v>
      </c>
      <c r="EM12" s="4">
        <f>INDEX(数值!$R$2:$AE$70,EJ12,EM$7)</f>
        <v>0</v>
      </c>
      <c r="EN12" s="4">
        <f>INDEX(数值!$R$2:$AE$70,EJ12,EN$7)</f>
        <v>0</v>
      </c>
      <c r="EO12" s="4">
        <f>INDEX(数值!$R$2:$AE$70,EJ12,EO$7)</f>
        <v>0</v>
      </c>
      <c r="EP12" s="4">
        <f>INDEX(数值!$R$2:$AE$70,EJ12,EP$7)</f>
        <v>0</v>
      </c>
      <c r="EQ12" s="4">
        <f>INDEX(数值!$R$2:$AE$70,EJ12,EQ$7)</f>
        <v>0</v>
      </c>
      <c r="ER12" s="4">
        <f>INDEX(数值!$R$2:$AE$70,EJ12,ER$7)</f>
        <v>0</v>
      </c>
      <c r="ES12" s="4">
        <f>INDEX(数值!$R$2:$AE$70,EJ12,ES$7)</f>
        <v>0</v>
      </c>
      <c r="ET12" s="4">
        <f>INDEX(数值!$R$2:$AE$70,EJ12,ET$7)</f>
        <v>0</v>
      </c>
      <c r="EU12" s="4">
        <f>INDEX(数值!$R$2:$AE$70,EJ12,EU$7)</f>
        <v>0</v>
      </c>
      <c r="EV12" s="4">
        <f>INDEX(数值!$R$2:$AE$70,EJ12,EV$7)</f>
        <v>0</v>
      </c>
      <c r="EW12" s="4">
        <f>INDEX(数值!$R$2:$AE$70,EJ12,EW$7)</f>
        <v>0</v>
      </c>
    </row>
    <row r="13" customHeight="1" spans="3:153">
      <c r="C13" s="50" t="s">
        <v>395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5">
        <f>云配队!J19</f>
        <v>0</v>
      </c>
      <c r="AJ13" s="46">
        <f>IFERROR(VLOOKUP($AI13,数值!$AG$2:$AP$23,AJ$7,FALSE),0)</f>
        <v>0</v>
      </c>
      <c r="AK13" s="46">
        <f>IFERROR(VLOOKUP($AI13,数值!$AG$2:$AP$23,AK$7,FALSE),0)</f>
        <v>0</v>
      </c>
      <c r="AL13" s="46">
        <f>IFERROR(VLOOKUP($AI13,数值!$AG$2:$AP$23,AL$7,FALSE),0)</f>
        <v>0</v>
      </c>
      <c r="AM13" s="46">
        <f>IFERROR(VLOOKUP($AI13,数值!$AG$2:$AP$23,AM$7,FALSE),0)</f>
        <v>0</v>
      </c>
      <c r="AN13" s="46">
        <f>IFERROR(VLOOKUP($AI13,数值!$AG$2:$AP$23,AN$7,FALSE),0)</f>
        <v>0</v>
      </c>
      <c r="AO13" s="46">
        <f>IFERROR(VLOOKUP($AI13,数值!$AG$2:$AP$23,AO$7,FALSE),0)</f>
        <v>0</v>
      </c>
      <c r="AP13" s="46">
        <f>IFERROR(VLOOKUP($AI13,数值!$AG$2:$AP$23,AP$7,FALSE),0)</f>
        <v>0</v>
      </c>
      <c r="AQ13" s="46">
        <f>IFERROR(VLOOKUP($AI13,数值!$AG$2:$AP$23,AQ$7,FALSE),0)</f>
        <v>0</v>
      </c>
      <c r="AR13" s="46">
        <f>IFERROR(VLOOKUP($AI13,数值!$AG$2:$AP$23,AR$7,FALSE),0)</f>
        <v>0</v>
      </c>
      <c r="AS13" s="49"/>
      <c r="AT13" s="49"/>
      <c r="AU13" s="49"/>
      <c r="AV13" s="49"/>
      <c r="AW13" s="49"/>
      <c r="AX13" s="55">
        <f>云配队!L19</f>
        <v>0</v>
      </c>
      <c r="BD13" s="4">
        <f>IFERROR(MATCH(AX13,数值!$R$2:$R$70,0),1)</f>
        <v>1</v>
      </c>
      <c r="BE13" s="4">
        <f>INDEX(数值!$R$2:$AE$70,BD13,BE$7)</f>
        <v>0</v>
      </c>
      <c r="BF13" s="4">
        <f>INDEX(数值!$R$2:$AE$70,BD13,BF$7)</f>
        <v>0</v>
      </c>
      <c r="BG13" s="4">
        <f>INDEX(数值!$R$2:$AE$70,BD13,BG$7)</f>
        <v>0</v>
      </c>
      <c r="BH13" s="4">
        <f>INDEX(数值!$R$2:$AE$70,BD13,BH$7)</f>
        <v>0</v>
      </c>
      <c r="BI13" s="4">
        <f>INDEX(数值!$R$2:$AE$70,BD13,BI$7)</f>
        <v>0</v>
      </c>
      <c r="BJ13" s="4">
        <f>INDEX(数值!$R$2:$AE$70,BD13,BJ$7)</f>
        <v>0</v>
      </c>
      <c r="BK13" s="4">
        <f>INDEX(数值!$R$2:$AE$70,BD13,BK$7)</f>
        <v>0</v>
      </c>
      <c r="BL13" s="4">
        <f>INDEX(数值!$R$2:$AE$70,BD13,BL$7)</f>
        <v>0</v>
      </c>
      <c r="BM13" s="4">
        <f>INDEX(数值!$R$2:$AE$70,BD13,BM$7)</f>
        <v>0</v>
      </c>
      <c r="BN13" s="4">
        <f>INDEX(数值!$R$2:$AE$70,BD13,BN$7)</f>
        <v>0</v>
      </c>
      <c r="BO13" s="4">
        <f>INDEX(数值!$R$2:$AE$70,BD13,BO$7)</f>
        <v>0</v>
      </c>
      <c r="BP13" s="4">
        <f>INDEX(数值!$R$2:$AE$70,BD13,BP$7)</f>
        <v>0</v>
      </c>
      <c r="BQ13" s="4">
        <f>INDEX(数值!$R$2:$AE$70,BD13,BQ$7)</f>
        <v>0</v>
      </c>
      <c r="BS13" s="45">
        <f>云配队!M19</f>
        <v>0</v>
      </c>
      <c r="BY13" s="4">
        <f>IFERROR(MATCH(BS13,数值!$R$2:$R$70,0),1)</f>
        <v>1</v>
      </c>
      <c r="BZ13" s="4">
        <f>INDEX(数值!$R$2:$AE$70,BY13,BZ$7)</f>
        <v>0</v>
      </c>
      <c r="CA13" s="4">
        <f>INDEX(数值!$R$2:$AE$70,BY13,CA$7)</f>
        <v>0</v>
      </c>
      <c r="CB13" s="4">
        <f>INDEX(数值!$R$2:$AE$70,BY13,CB$7)</f>
        <v>0</v>
      </c>
      <c r="CC13" s="4">
        <f>INDEX(数值!$R$2:$AE$70,BY13,CC$7)</f>
        <v>0</v>
      </c>
      <c r="CD13" s="4">
        <f>INDEX(数值!$R$2:$AE$70,BY13,CD$7)</f>
        <v>0</v>
      </c>
      <c r="CE13" s="4">
        <f>INDEX(数值!$R$2:$AE$70,BY13,CE$7)</f>
        <v>0</v>
      </c>
      <c r="CF13" s="4">
        <f>INDEX(数值!$R$2:$AE$70,BY13,CF$7)</f>
        <v>0</v>
      </c>
      <c r="CG13" s="4">
        <f>INDEX(数值!$R$2:$AE$70,BY13,CG$7)</f>
        <v>0</v>
      </c>
      <c r="CH13" s="4">
        <f>INDEX(数值!$R$2:$AE$70,BY13,CH$7)</f>
        <v>0</v>
      </c>
      <c r="CI13" s="4">
        <f>INDEX(数值!$R$2:$AE$70,BY13,CI$7)</f>
        <v>0</v>
      </c>
      <c r="CJ13" s="4">
        <f>INDEX(数值!$R$2:$AE$70,BY13,CJ$7)</f>
        <v>0</v>
      </c>
      <c r="CK13" s="4">
        <f>INDEX(数值!$R$2:$AE$70,BY13,CK$7)</f>
        <v>0</v>
      </c>
      <c r="CL13" s="4">
        <f>INDEX(数值!$R$2:$AE$70,BY13,CL$7)</f>
        <v>0</v>
      </c>
      <c r="CN13" s="45">
        <f>云配队!N19</f>
        <v>0</v>
      </c>
      <c r="CT13" s="4">
        <f>IFERROR(MATCH(CN13,数值!$R$2:$R$70,0),1)</f>
        <v>1</v>
      </c>
      <c r="CU13" s="4">
        <f>INDEX(数值!$R$2:$AE$70,CT13,CU$7)</f>
        <v>0</v>
      </c>
      <c r="CV13" s="4">
        <f>INDEX(数值!$R$2:$AE$70,CT13,CV$7)</f>
        <v>0</v>
      </c>
      <c r="CW13" s="4">
        <f>INDEX(数值!$R$2:$AE$70,CT13,CW$7)</f>
        <v>0</v>
      </c>
      <c r="CX13" s="4">
        <f>INDEX(数值!$R$2:$AE$70,CT13,CX$7)</f>
        <v>0</v>
      </c>
      <c r="CY13" s="4">
        <f>INDEX(数值!$R$2:$AE$70,CT13,CY$7)</f>
        <v>0</v>
      </c>
      <c r="CZ13" s="4">
        <f>INDEX(数值!$R$2:$AE$70,CT13,CZ$7)</f>
        <v>0</v>
      </c>
      <c r="DA13" s="4">
        <f>INDEX(数值!$R$2:$AE$70,CT13,DA$7)</f>
        <v>0</v>
      </c>
      <c r="DB13" s="4">
        <f>INDEX(数值!$R$2:$AE$70,CT13,DB$7)</f>
        <v>0</v>
      </c>
      <c r="DC13" s="4">
        <f>INDEX(数值!$R$2:$AE$70,CT13,DC$7)</f>
        <v>0</v>
      </c>
      <c r="DD13" s="4">
        <f>INDEX(数值!$R$2:$AE$70,CT13,DD$7)</f>
        <v>0</v>
      </c>
      <c r="DE13" s="4">
        <f>INDEX(数值!$R$2:$AE$70,CT13,DE$7)</f>
        <v>0</v>
      </c>
      <c r="DF13" s="4">
        <f>INDEX(数值!$R$2:$AE$70,CT13,DF$7)</f>
        <v>0</v>
      </c>
      <c r="DG13" s="4">
        <f>INDEX(数值!$R$2:$AE$70,CT13,DG$7)</f>
        <v>0</v>
      </c>
      <c r="DI13" s="45">
        <f>云配队!O19</f>
        <v>0</v>
      </c>
      <c r="DO13" s="4">
        <f>IFERROR(MATCH(DI13,数值!$R$2:$R$70,0),1)</f>
        <v>1</v>
      </c>
      <c r="DP13" s="4">
        <f>INDEX(数值!$R$2:$AE$70,DO13,DP$7)</f>
        <v>0</v>
      </c>
      <c r="DQ13" s="4">
        <f>INDEX(数值!$R$2:$AE$70,DO13,DQ$7)</f>
        <v>0</v>
      </c>
      <c r="DR13" s="4">
        <f>INDEX(数值!$R$2:$AE$70,DO13,DR$7)</f>
        <v>0</v>
      </c>
      <c r="DS13" s="4">
        <f>INDEX(数值!$R$2:$AE$70,DO13,DS$7)</f>
        <v>0</v>
      </c>
      <c r="DT13" s="4">
        <f>INDEX(数值!$R$2:$AE$70,DO13,DT$7)</f>
        <v>0</v>
      </c>
      <c r="DU13" s="4">
        <f>INDEX(数值!$R$2:$AE$70,DO13,DU$7)</f>
        <v>0</v>
      </c>
      <c r="DV13" s="4">
        <f>INDEX(数值!$R$2:$AE$70,DO13,DV$7)</f>
        <v>0</v>
      </c>
      <c r="DW13" s="4">
        <f>INDEX(数值!$R$2:$AE$70,DO13,DW$7)</f>
        <v>0</v>
      </c>
      <c r="DX13" s="4">
        <f>INDEX(数值!$R$2:$AE$70,DO13,DX$7)</f>
        <v>0</v>
      </c>
      <c r="DY13" s="4">
        <f>INDEX(数值!$R$2:$AE$70,DO13,DY$7)</f>
        <v>0</v>
      </c>
      <c r="DZ13" s="4">
        <f>INDEX(数值!$R$2:$AE$70,DO13,DZ$7)</f>
        <v>0</v>
      </c>
      <c r="EA13" s="4">
        <f>INDEX(数值!$R$2:$AE$70,DO13,EA$7)</f>
        <v>0</v>
      </c>
      <c r="EB13" s="4">
        <f>INDEX(数值!$R$2:$AE$70,DO13,EB$7)</f>
        <v>0</v>
      </c>
      <c r="ED13" s="45">
        <f>云配队!P19</f>
        <v>0</v>
      </c>
      <c r="EJ13" s="4">
        <f>IFERROR(MATCH(ED13,数值!$R$2:$R$70,0),1)</f>
        <v>1</v>
      </c>
      <c r="EK13" s="4">
        <f>INDEX(数值!$R$2:$AE$70,EJ13,EK$7)</f>
        <v>0</v>
      </c>
      <c r="EL13" s="4">
        <f>INDEX(数值!$R$2:$AE$70,EJ13,EL$7)</f>
        <v>0</v>
      </c>
      <c r="EM13" s="4">
        <f>INDEX(数值!$R$2:$AE$70,EJ13,EM$7)</f>
        <v>0</v>
      </c>
      <c r="EN13" s="4">
        <f>INDEX(数值!$R$2:$AE$70,EJ13,EN$7)</f>
        <v>0</v>
      </c>
      <c r="EO13" s="4">
        <f>INDEX(数值!$R$2:$AE$70,EJ13,EO$7)</f>
        <v>0</v>
      </c>
      <c r="EP13" s="4">
        <f>INDEX(数值!$R$2:$AE$70,EJ13,EP$7)</f>
        <v>0</v>
      </c>
      <c r="EQ13" s="4">
        <f>INDEX(数值!$R$2:$AE$70,EJ13,EQ$7)</f>
        <v>0</v>
      </c>
      <c r="ER13" s="4">
        <f>INDEX(数值!$R$2:$AE$70,EJ13,ER$7)</f>
        <v>0</v>
      </c>
      <c r="ES13" s="4">
        <f>INDEX(数值!$R$2:$AE$70,EJ13,ES$7)</f>
        <v>0</v>
      </c>
      <c r="ET13" s="4">
        <f>INDEX(数值!$R$2:$AE$70,EJ13,ET$7)</f>
        <v>0</v>
      </c>
      <c r="EU13" s="4">
        <f>INDEX(数值!$R$2:$AE$70,EJ13,EU$7)</f>
        <v>0</v>
      </c>
      <c r="EV13" s="4">
        <f>INDEX(数值!$R$2:$AE$70,EJ13,EV$7)</f>
        <v>0</v>
      </c>
      <c r="EW13" s="4">
        <f>INDEX(数值!$R$2:$AE$70,EJ13,EW$7)</f>
        <v>0</v>
      </c>
    </row>
    <row r="14" customHeight="1" spans="36:153">
      <c r="AJ14" s="1">
        <f>SUM(AJ8:AJ12)</f>
        <v>0</v>
      </c>
      <c r="AK14" s="1">
        <f>SUM(AK8:AK12)</f>
        <v>0</v>
      </c>
      <c r="AL14" s="1">
        <f>SUM(AL8:AL12)</f>
        <v>0</v>
      </c>
      <c r="AM14" s="1">
        <f t="shared" ref="AM14:AR14" si="38">SUM(AM8:AM12)</f>
        <v>0</v>
      </c>
      <c r="AN14" s="1">
        <f t="shared" si="38"/>
        <v>0</v>
      </c>
      <c r="AO14" s="1">
        <f t="shared" si="38"/>
        <v>0</v>
      </c>
      <c r="AP14" s="1">
        <f t="shared" si="38"/>
        <v>0</v>
      </c>
      <c r="AQ14" s="1">
        <f t="shared" si="38"/>
        <v>0</v>
      </c>
      <c r="AR14" s="1">
        <f t="shared" si="38"/>
        <v>0</v>
      </c>
      <c r="BE14" s="1">
        <f>SUM(BE8:BE13)</f>
        <v>0</v>
      </c>
      <c r="BF14" s="1">
        <f t="shared" ref="BF14:BQ14" si="39">SUM(BF8:BF13)</f>
        <v>0</v>
      </c>
      <c r="BG14" s="1">
        <f t="shared" si="39"/>
        <v>0</v>
      </c>
      <c r="BH14" s="1">
        <f t="shared" si="39"/>
        <v>0</v>
      </c>
      <c r="BI14" s="1">
        <f t="shared" si="39"/>
        <v>0</v>
      </c>
      <c r="BJ14" s="1">
        <f t="shared" si="39"/>
        <v>0</v>
      </c>
      <c r="BK14" s="1">
        <f t="shared" si="39"/>
        <v>0</v>
      </c>
      <c r="BL14" s="1">
        <f t="shared" si="39"/>
        <v>0</v>
      </c>
      <c r="BM14" s="1">
        <f t="shared" si="39"/>
        <v>0</v>
      </c>
      <c r="BN14" s="1">
        <f t="shared" si="39"/>
        <v>0</v>
      </c>
      <c r="BO14" s="1">
        <f t="shared" si="39"/>
        <v>0</v>
      </c>
      <c r="BP14" s="1">
        <f t="shared" si="39"/>
        <v>0</v>
      </c>
      <c r="BQ14" s="1">
        <f t="shared" si="39"/>
        <v>0</v>
      </c>
      <c r="BZ14" s="1">
        <f t="shared" ref="BZ14:CL14" si="40">SUM(BZ8:BZ13)</f>
        <v>0</v>
      </c>
      <c r="CA14" s="1">
        <f t="shared" si="40"/>
        <v>0</v>
      </c>
      <c r="CB14" s="1">
        <f t="shared" si="40"/>
        <v>0</v>
      </c>
      <c r="CC14" s="1">
        <f t="shared" si="40"/>
        <v>0</v>
      </c>
      <c r="CD14" s="1">
        <f t="shared" si="40"/>
        <v>0</v>
      </c>
      <c r="CE14" s="1">
        <f t="shared" si="40"/>
        <v>0</v>
      </c>
      <c r="CF14" s="1">
        <f t="shared" si="40"/>
        <v>0</v>
      </c>
      <c r="CG14" s="1">
        <f t="shared" si="40"/>
        <v>0</v>
      </c>
      <c r="CH14" s="1">
        <f t="shared" si="40"/>
        <v>0</v>
      </c>
      <c r="CI14" s="1">
        <f t="shared" si="40"/>
        <v>0</v>
      </c>
      <c r="CJ14" s="1">
        <f t="shared" si="40"/>
        <v>0</v>
      </c>
      <c r="CK14" s="1">
        <f t="shared" si="40"/>
        <v>0</v>
      </c>
      <c r="CL14" s="1">
        <f t="shared" si="40"/>
        <v>0</v>
      </c>
      <c r="CU14" s="1">
        <f t="shared" ref="CU14:DG14" si="41">SUM(CU8:CU13)</f>
        <v>0</v>
      </c>
      <c r="CV14" s="1">
        <f t="shared" si="41"/>
        <v>0</v>
      </c>
      <c r="CW14" s="1">
        <f t="shared" si="41"/>
        <v>0</v>
      </c>
      <c r="CX14" s="1">
        <f t="shared" si="41"/>
        <v>0</v>
      </c>
      <c r="CY14" s="1">
        <f t="shared" si="41"/>
        <v>0</v>
      </c>
      <c r="CZ14" s="1">
        <f t="shared" si="41"/>
        <v>0</v>
      </c>
      <c r="DA14" s="1">
        <f t="shared" si="41"/>
        <v>0</v>
      </c>
      <c r="DB14" s="1">
        <f t="shared" si="41"/>
        <v>0</v>
      </c>
      <c r="DC14" s="1">
        <f t="shared" si="41"/>
        <v>0</v>
      </c>
      <c r="DD14" s="1">
        <f t="shared" si="41"/>
        <v>0</v>
      </c>
      <c r="DE14" s="1">
        <f t="shared" si="41"/>
        <v>0</v>
      </c>
      <c r="DF14" s="1">
        <f t="shared" si="41"/>
        <v>0</v>
      </c>
      <c r="DG14" s="1">
        <f t="shared" si="41"/>
        <v>0</v>
      </c>
      <c r="DP14" s="1">
        <f t="shared" ref="DP14:EB14" si="42">SUM(DP8:DP13)</f>
        <v>0</v>
      </c>
      <c r="DQ14" s="1">
        <f t="shared" si="42"/>
        <v>0</v>
      </c>
      <c r="DR14" s="1">
        <f t="shared" si="42"/>
        <v>0</v>
      </c>
      <c r="DS14" s="1">
        <f t="shared" si="42"/>
        <v>0</v>
      </c>
      <c r="DT14" s="1">
        <f t="shared" si="42"/>
        <v>0</v>
      </c>
      <c r="DU14" s="1">
        <f t="shared" si="42"/>
        <v>0</v>
      </c>
      <c r="DV14" s="1">
        <f t="shared" si="42"/>
        <v>0</v>
      </c>
      <c r="DW14" s="1">
        <f t="shared" si="42"/>
        <v>0</v>
      </c>
      <c r="DX14" s="1">
        <f t="shared" si="42"/>
        <v>0</v>
      </c>
      <c r="DY14" s="1">
        <f t="shared" si="42"/>
        <v>0</v>
      </c>
      <c r="DZ14" s="1">
        <f t="shared" si="42"/>
        <v>0</v>
      </c>
      <c r="EA14" s="1">
        <f t="shared" si="42"/>
        <v>0</v>
      </c>
      <c r="EB14" s="1">
        <f t="shared" si="42"/>
        <v>0</v>
      </c>
      <c r="EK14" s="1">
        <f t="shared" ref="EK14:EW14" si="43">SUM(EK8:EK13)</f>
        <v>0</v>
      </c>
      <c r="EL14" s="1">
        <f t="shared" si="43"/>
        <v>0</v>
      </c>
      <c r="EM14" s="1">
        <f t="shared" si="43"/>
        <v>0</v>
      </c>
      <c r="EN14" s="1">
        <f t="shared" si="43"/>
        <v>0</v>
      </c>
      <c r="EO14" s="1">
        <f t="shared" si="43"/>
        <v>0</v>
      </c>
      <c r="EP14" s="1">
        <f t="shared" si="43"/>
        <v>0</v>
      </c>
      <c r="EQ14" s="1">
        <f t="shared" si="43"/>
        <v>0</v>
      </c>
      <c r="ER14" s="1">
        <f t="shared" si="43"/>
        <v>0</v>
      </c>
      <c r="ES14" s="1">
        <f t="shared" si="43"/>
        <v>0</v>
      </c>
      <c r="ET14" s="1">
        <f t="shared" si="43"/>
        <v>0</v>
      </c>
      <c r="EU14" s="1">
        <f t="shared" si="43"/>
        <v>0</v>
      </c>
      <c r="EV14" s="1">
        <f t="shared" si="43"/>
        <v>0</v>
      </c>
      <c r="EW14" s="1">
        <f t="shared" si="43"/>
        <v>0</v>
      </c>
    </row>
    <row r="15" customHeight="1" spans="63:151">
      <c r="BK15" s="57">
        <f>(IF($E$4="冰",BH4)+IF($E$5="冰",BH5)+IF($E$6="冰",BH6))</f>
        <v>0</v>
      </c>
      <c r="BL15" s="58">
        <f>(IF($E$4="火",BH4)+IF($E$5="火",BH5)+IF($E$6="火",BH6))</f>
        <v>0</v>
      </c>
      <c r="BM15" s="59">
        <f>(IF($E$4="电",BH4)+IF($E$5="电",BH5)+IF($E$6="电",BH6))</f>
        <v>0</v>
      </c>
      <c r="BN15" s="60">
        <f>(IF($E$4="以太",BH4)+IF($E$5="以太",BH5)+IF($E$6="以太",BH6))</f>
        <v>0</v>
      </c>
      <c r="BO15" s="61">
        <f>(IF($E$4="物理",BH4)+IF($E$5="物理",BH5)+IF($E$6="物理",BH6))/1.2</f>
        <v>0</v>
      </c>
      <c r="CF15" s="57">
        <f>(IF($E$4="冰",CC4)+IF($E$5="冰",CC5)+IF($E$6="冰",CC6))</f>
        <v>0</v>
      </c>
      <c r="CG15" s="58">
        <f>(IF($E$4="火",CC4)+IF($E$5="火",CC5)+IF($E$6="火",CC6))</f>
        <v>0</v>
      </c>
      <c r="CH15" s="59">
        <f>(IF($E$4="电",CC4)+IF($E$5="电",CC5)+IF($E$6="电",CC6))</f>
        <v>0</v>
      </c>
      <c r="CI15" s="60">
        <f>(IF($E$4="以太",CC4)+IF($E$5="以太",CC5)+IF($E$6="以太",CC6))</f>
        <v>0</v>
      </c>
      <c r="CJ15" s="61">
        <f>(IF($E$4="物理",CC4)+IF($E$5="物理",CC5)+IF($E$6="物理",CC6))/1.2</f>
        <v>0</v>
      </c>
      <c r="DA15" s="57">
        <f>(IF($E$4="冰",CX4)+IF($E$5="冰",CX5)+IF($E$6="冰",CX6))</f>
        <v>0</v>
      </c>
      <c r="DB15" s="58">
        <f>(IF($E$4="火",CX4)+IF($E$5="火",CX5)+IF($E$6="火",CX6))</f>
        <v>0</v>
      </c>
      <c r="DC15" s="59">
        <f>(IF($E$4="电",CX4)+IF($E$5="电",CX5)+IF($E$6="电",CX6))</f>
        <v>0</v>
      </c>
      <c r="DD15" s="60">
        <f>(IF($E$4="以太",CX4)+IF($E$5="以太",CX5)+IF($E$6="以太",CX6))</f>
        <v>0</v>
      </c>
      <c r="DE15" s="61">
        <f>(IF($E$4="物理",CX4)+IF($E$5="物理",CX5)+IF($E$6="物理",CX6))/1.2</f>
        <v>0</v>
      </c>
      <c r="DV15" s="57">
        <f>(IF($E$4="冰",DS4)+IF($E$5="冰",DS5)+IF($E$6="冰",DS6))</f>
        <v>0</v>
      </c>
      <c r="DW15" s="58">
        <f>(IF($E$4="火",DS4)+IF($E$5="火",DS5)+IF($E$6="火",DS6))</f>
        <v>0</v>
      </c>
      <c r="DX15" s="59">
        <f>(IF($E$4="电",DS4)+IF($E$5="电",DS5)+IF($E$6="电",DS6))</f>
        <v>0</v>
      </c>
      <c r="DY15" s="60">
        <f>(IF($E$4="以太",DS4)+IF($E$5="以太",DS5)+IF($E$6="以太",DS6))</f>
        <v>0</v>
      </c>
      <c r="DZ15" s="61">
        <f>(IF($E$4="物理",DS4)+IF($E$5="物理",DS5)+IF($E$6="物理",DS6))/1.2</f>
        <v>0</v>
      </c>
      <c r="EQ15" s="57">
        <f>(IF($E$4="冰",EN4)+IF($E$5="冰",EN5)+IF($E$6="冰",EN6))</f>
        <v>0</v>
      </c>
      <c r="ER15" s="58">
        <f>(IF($E$4="火",EN4)+IF($E$5="火",EN5)+IF($E$6="火",EN6))</f>
        <v>0</v>
      </c>
      <c r="ES15" s="59">
        <f>(IF($E$4="电",EN4)+IF($E$5="电",EN5)+IF($E$6="电",EN6))</f>
        <v>0</v>
      </c>
      <c r="ET15" s="60">
        <f>(IF($E$4="以太",EN4)+IF($E$5="以太",EN5)+IF($E$6="以太",EN6))</f>
        <v>0</v>
      </c>
      <c r="EU15" s="61">
        <f>(IF($E$4="物理",EN4)+IF($E$5="物理",EN5)+IF($E$6="物理",EN6))/1.2</f>
        <v>0</v>
      </c>
    </row>
    <row r="16" customHeight="1" spans="3:134">
      <c r="C16" s="50" t="s">
        <v>30</v>
      </c>
      <c r="D16" s="49"/>
      <c r="E16" s="49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6">
        <f>BK4+BK5+BK6</f>
        <v>0</v>
      </c>
      <c r="BS16" s="56">
        <f>AX16+CF4+CF5+CF6</f>
        <v>0</v>
      </c>
      <c r="CN16" s="56">
        <f>BS16+DA4+DA5+DA6</f>
        <v>0</v>
      </c>
      <c r="DI16" s="56">
        <f>CN16+DV4+DV5+DV6</f>
        <v>0</v>
      </c>
      <c r="ED16" s="56">
        <f>DI16+EQ4+EQ5+EQ6</f>
        <v>0</v>
      </c>
    </row>
    <row r="17" customHeight="1" spans="3:134">
      <c r="C17" s="50" t="s">
        <v>32</v>
      </c>
      <c r="D17" s="49"/>
      <c r="E17" s="49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6">
        <f>BR4+BR5+BR6</f>
        <v>0</v>
      </c>
      <c r="BS17" s="56">
        <f>AX17+CM4+CM5+CM6</f>
        <v>0</v>
      </c>
      <c r="CN17" s="56">
        <f>BS17+DH4+DH5+DH6</f>
        <v>0</v>
      </c>
      <c r="DI17" s="56">
        <f>CN17+EC4+EC5+EC6</f>
        <v>0</v>
      </c>
      <c r="ED17" s="56">
        <f>DI17+EX4+EX5+EX6</f>
        <v>0</v>
      </c>
    </row>
    <row r="18" customHeight="1" spans="3:134">
      <c r="C18" s="50" t="s">
        <v>34</v>
      </c>
      <c r="D18" s="49"/>
      <c r="E18" s="49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6">
        <f>IF(AX16&lt;&gt;0,AX17/AX16,0)</f>
        <v>0</v>
      </c>
      <c r="BS18" s="56">
        <f>IF(BS16&lt;&gt;0,BS17/BS16,0)</f>
        <v>0</v>
      </c>
      <c r="CN18" s="56">
        <f>IF(CN16&lt;&gt;0,CN17/CN16,0)</f>
        <v>0</v>
      </c>
      <c r="DI18" s="56">
        <f>IF(DI16&lt;&gt;0,DI17/DI16,0)</f>
        <v>0</v>
      </c>
      <c r="ED18" s="56">
        <f>IF(ED16&lt;&gt;0,ED17/ED16,0)</f>
        <v>0</v>
      </c>
    </row>
    <row r="19" customHeight="1" spans="3:134">
      <c r="C19" s="50" t="s">
        <v>35</v>
      </c>
      <c r="D19" s="49"/>
      <c r="E19" s="49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6">
        <f>BL4+BL5+BL6</f>
        <v>0</v>
      </c>
      <c r="BS19" s="56">
        <f>AX19+CG4+CG5+CG6</f>
        <v>0</v>
      </c>
      <c r="CN19" s="56">
        <f>BS19+DB4+DB5+DB6</f>
        <v>0</v>
      </c>
      <c r="DI19" s="56">
        <f>CN19+DW4+DW5+DW6</f>
        <v>0</v>
      </c>
      <c r="ED19" s="56">
        <f>DI19+ER4+ER5+ER6</f>
        <v>0</v>
      </c>
    </row>
    <row r="22" customHeight="1" spans="3:3">
      <c r="C22" s="52"/>
    </row>
    <row r="23" customHeight="1" spans="4:4">
      <c r="D23" s="52"/>
    </row>
    <row r="24" customHeight="1" spans="3:4">
      <c r="C24" s="52"/>
      <c r="D24" s="52"/>
    </row>
  </sheetData>
  <sheetProtection password="C7C9" sheet="1" selectLockedCells="1" formatCells="0" insertHyperlinks="0" autoFilter="0" objects="1"/>
  <protectedRanges>
    <protectedRange sqref="B5:B6" name="区域1"/>
  </protectedRanges>
  <mergeCells count="10">
    <mergeCell ref="C8:Q8"/>
    <mergeCell ref="C9:Q9"/>
    <mergeCell ref="C10:Q10"/>
    <mergeCell ref="C11:Q11"/>
    <mergeCell ref="C12:Q12"/>
    <mergeCell ref="C13:Q13"/>
    <mergeCell ref="C16:AR16"/>
    <mergeCell ref="C17:AR17"/>
    <mergeCell ref="C18:AR18"/>
    <mergeCell ref="C19:AR19"/>
  </mergeCells>
  <conditionalFormatting sqref="AX16:AX19">
    <cfRule type="cellIs" dxfId="0" priority="43" operator="equal">
      <formula>0</formula>
    </cfRule>
  </conditionalFormatting>
  <conditionalFormatting sqref="BS16:BS19">
    <cfRule type="cellIs" dxfId="0" priority="35" operator="equal">
      <formula>0</formula>
    </cfRule>
  </conditionalFormatting>
  <conditionalFormatting sqref="CN16:CN19">
    <cfRule type="cellIs" dxfId="0" priority="27" operator="equal">
      <formula>0</formula>
    </cfRule>
  </conditionalFormatting>
  <conditionalFormatting sqref="DI16:DI19">
    <cfRule type="cellIs" dxfId="0" priority="19" operator="equal">
      <formula>0</formula>
    </cfRule>
  </conditionalFormatting>
  <conditionalFormatting sqref="ED16:ED19">
    <cfRule type="cellIs" dxfId="0" priority="11" operator="equal">
      <formula>0</formula>
    </cfRule>
  </conditionalFormatting>
  <dataValidations count="1">
    <dataValidation type="list" allowBlank="1" showInputMessage="1" showErrorMessage="1" sqref="B6">
      <formula1>"普通,精英,首领"</formula1>
    </dataValidation>
  </dataValidation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DG32"/>
  <sheetViews>
    <sheetView topLeftCell="F2" workbookViewId="0">
      <pane xSplit="1" ySplit="1" topLeftCell="CX11" activePane="bottomRight" state="frozen"/>
      <selection/>
      <selection pane="topRight"/>
      <selection pane="bottomLeft"/>
      <selection pane="bottomRight" activeCell="DE16" sqref="DE16"/>
    </sheetView>
  </sheetViews>
  <sheetFormatPr defaultColWidth="9.90740740740741" defaultRowHeight="44" customHeight="1"/>
  <cols>
    <col min="1" max="5" width="13.7777777777778" style="1" hidden="1" customWidth="1"/>
    <col min="6" max="11" width="13.7777777777778" style="1" customWidth="1"/>
    <col min="12" max="13" width="13.7777777777778" style="1" hidden="1" customWidth="1"/>
    <col min="14" max="15" width="13.7777777777778" style="1" customWidth="1"/>
    <col min="16" max="16" width="13.7777777777778" style="1" hidden="1" customWidth="1"/>
    <col min="17" max="59" width="13.7777777777778" style="1" customWidth="1"/>
    <col min="60" max="64" width="13.7777777777778" style="7" customWidth="1"/>
    <col min="65" max="69" width="13.7777777777778" style="8" customWidth="1"/>
    <col min="70" max="104" width="13.7777777777778" style="1" customWidth="1"/>
    <col min="105" max="109" width="13.7777777777778" style="9" customWidth="1"/>
    <col min="110" max="110" width="36.7314814814815" style="1" customWidth="1"/>
    <col min="111" max="112" width="13.7777777777778" style="1" customWidth="1"/>
  </cols>
  <sheetData>
    <row r="1" customHeight="1" spans="6:110">
      <c r="F1" s="1">
        <f>COLUMN()</f>
        <v>6</v>
      </c>
      <c r="G1" s="1">
        <f>COLUMN()</f>
        <v>7</v>
      </c>
      <c r="H1" s="1">
        <f>COLUMN()</f>
        <v>8</v>
      </c>
      <c r="I1" s="1">
        <f>COLUMN()</f>
        <v>9</v>
      </c>
      <c r="J1" s="1">
        <f>COLUMN()</f>
        <v>10</v>
      </c>
      <c r="K1" s="1">
        <f t="shared" ref="K1:Q1" si="0">COLUMN()</f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ref="R1:AQ1" si="1">COLUMN()</f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  <c r="Z1" s="1">
        <f t="shared" si="1"/>
        <v>26</v>
      </c>
      <c r="AA1" s="1">
        <f t="shared" si="1"/>
        <v>27</v>
      </c>
      <c r="AB1" s="1">
        <f t="shared" si="1"/>
        <v>28</v>
      </c>
      <c r="AC1" s="1">
        <f t="shared" si="1"/>
        <v>29</v>
      </c>
      <c r="AD1" s="1">
        <f t="shared" si="1"/>
        <v>30</v>
      </c>
      <c r="AE1" s="1">
        <f t="shared" si="1"/>
        <v>31</v>
      </c>
      <c r="AF1" s="1">
        <f t="shared" si="1"/>
        <v>32</v>
      </c>
      <c r="AG1" s="1">
        <f t="shared" si="1"/>
        <v>33</v>
      </c>
      <c r="AH1" s="1">
        <f t="shared" si="1"/>
        <v>34</v>
      </c>
      <c r="AI1" s="1">
        <f t="shared" si="1"/>
        <v>35</v>
      </c>
      <c r="AJ1" s="1">
        <f t="shared" si="1"/>
        <v>36</v>
      </c>
      <c r="AK1" s="1">
        <f t="shared" si="1"/>
        <v>37</v>
      </c>
      <c r="AL1" s="1">
        <f t="shared" si="1"/>
        <v>38</v>
      </c>
      <c r="AM1" s="1">
        <f t="shared" si="1"/>
        <v>39</v>
      </c>
      <c r="AN1" s="1">
        <f t="shared" si="1"/>
        <v>40</v>
      </c>
      <c r="AO1" s="1">
        <f t="shared" si="1"/>
        <v>41</v>
      </c>
      <c r="AP1" s="1">
        <f t="shared" si="1"/>
        <v>42</v>
      </c>
      <c r="AQ1" s="1">
        <f t="shared" si="1"/>
        <v>43</v>
      </c>
      <c r="AR1" s="1">
        <f t="shared" ref="AR1:DC1" si="2">COLUMN()</f>
        <v>44</v>
      </c>
      <c r="AS1" s="1">
        <f t="shared" si="2"/>
        <v>45</v>
      </c>
      <c r="AT1" s="1">
        <f t="shared" si="2"/>
        <v>46</v>
      </c>
      <c r="AU1" s="1">
        <f t="shared" si="2"/>
        <v>47</v>
      </c>
      <c r="AV1" s="1">
        <f t="shared" si="2"/>
        <v>48</v>
      </c>
      <c r="AW1" s="1">
        <f t="shared" si="2"/>
        <v>49</v>
      </c>
      <c r="AX1" s="1">
        <f t="shared" si="2"/>
        <v>50</v>
      </c>
      <c r="AY1" s="1">
        <f t="shared" si="2"/>
        <v>51</v>
      </c>
      <c r="AZ1" s="1">
        <f t="shared" si="2"/>
        <v>52</v>
      </c>
      <c r="BA1" s="1">
        <f t="shared" si="2"/>
        <v>53</v>
      </c>
      <c r="BB1" s="1">
        <f t="shared" si="2"/>
        <v>54</v>
      </c>
      <c r="BC1" s="1">
        <f t="shared" si="2"/>
        <v>55</v>
      </c>
      <c r="BD1" s="1">
        <f t="shared" si="2"/>
        <v>56</v>
      </c>
      <c r="BE1" s="1">
        <f t="shared" si="2"/>
        <v>57</v>
      </c>
      <c r="BF1" s="1">
        <f t="shared" si="2"/>
        <v>58</v>
      </c>
      <c r="BG1" s="1">
        <f t="shared" si="2"/>
        <v>59</v>
      </c>
      <c r="BH1" s="1">
        <f t="shared" si="2"/>
        <v>60</v>
      </c>
      <c r="BI1" s="1">
        <f t="shared" si="2"/>
        <v>61</v>
      </c>
      <c r="BJ1" s="1">
        <f t="shared" si="2"/>
        <v>62</v>
      </c>
      <c r="BK1" s="1">
        <f t="shared" si="2"/>
        <v>63</v>
      </c>
      <c r="BL1" s="1">
        <f t="shared" si="2"/>
        <v>64</v>
      </c>
      <c r="BM1" s="1">
        <f t="shared" si="2"/>
        <v>65</v>
      </c>
      <c r="BN1" s="1">
        <f t="shared" si="2"/>
        <v>66</v>
      </c>
      <c r="BO1" s="1">
        <f t="shared" si="2"/>
        <v>67</v>
      </c>
      <c r="BP1" s="1">
        <f t="shared" si="2"/>
        <v>68</v>
      </c>
      <c r="BQ1" s="1">
        <f t="shared" si="2"/>
        <v>69</v>
      </c>
      <c r="BR1" s="1">
        <f t="shared" si="2"/>
        <v>70</v>
      </c>
      <c r="BS1" s="1">
        <f t="shared" si="2"/>
        <v>71</v>
      </c>
      <c r="BT1" s="1">
        <f t="shared" si="2"/>
        <v>72</v>
      </c>
      <c r="BU1" s="1">
        <f t="shared" si="2"/>
        <v>73</v>
      </c>
      <c r="BV1" s="1">
        <f t="shared" si="2"/>
        <v>74</v>
      </c>
      <c r="BW1" s="1">
        <f t="shared" si="2"/>
        <v>75</v>
      </c>
      <c r="BX1" s="1">
        <f t="shared" si="2"/>
        <v>76</v>
      </c>
      <c r="BY1" s="1">
        <f t="shared" si="2"/>
        <v>77</v>
      </c>
      <c r="BZ1" s="1">
        <f t="shared" si="2"/>
        <v>78</v>
      </c>
      <c r="CA1" s="1">
        <f t="shared" si="2"/>
        <v>79</v>
      </c>
      <c r="CB1" s="1">
        <f t="shared" si="2"/>
        <v>80</v>
      </c>
      <c r="CC1" s="1">
        <f t="shared" si="2"/>
        <v>81</v>
      </c>
      <c r="CD1" s="1">
        <f t="shared" si="2"/>
        <v>82</v>
      </c>
      <c r="CE1" s="1">
        <f t="shared" si="2"/>
        <v>83</v>
      </c>
      <c r="CF1" s="1">
        <f t="shared" si="2"/>
        <v>84</v>
      </c>
      <c r="CG1" s="1">
        <f t="shared" si="2"/>
        <v>85</v>
      </c>
      <c r="CH1" s="1">
        <f t="shared" si="2"/>
        <v>86</v>
      </c>
      <c r="CI1" s="1">
        <f t="shared" si="2"/>
        <v>87</v>
      </c>
      <c r="CJ1" s="1">
        <f t="shared" si="2"/>
        <v>88</v>
      </c>
      <c r="CK1" s="1">
        <f t="shared" si="2"/>
        <v>89</v>
      </c>
      <c r="CL1" s="1">
        <f t="shared" si="2"/>
        <v>90</v>
      </c>
      <c r="CM1" s="1">
        <f t="shared" si="2"/>
        <v>91</v>
      </c>
      <c r="CN1" s="1">
        <f t="shared" si="2"/>
        <v>92</v>
      </c>
      <c r="CO1" s="1">
        <f t="shared" si="2"/>
        <v>93</v>
      </c>
      <c r="CP1" s="1">
        <f t="shared" si="2"/>
        <v>94</v>
      </c>
      <c r="CQ1" s="1">
        <f t="shared" si="2"/>
        <v>95</v>
      </c>
      <c r="CR1" s="1">
        <f t="shared" si="2"/>
        <v>96</v>
      </c>
      <c r="CS1" s="1">
        <f t="shared" si="2"/>
        <v>97</v>
      </c>
      <c r="CT1" s="1">
        <f t="shared" si="2"/>
        <v>98</v>
      </c>
      <c r="CU1" s="1">
        <f t="shared" si="2"/>
        <v>99</v>
      </c>
      <c r="CV1" s="1">
        <f t="shared" si="2"/>
        <v>100</v>
      </c>
      <c r="CW1" s="1">
        <f t="shared" si="2"/>
        <v>101</v>
      </c>
      <c r="CX1" s="1">
        <f t="shared" si="2"/>
        <v>102</v>
      </c>
      <c r="CY1" s="1">
        <f t="shared" si="2"/>
        <v>103</v>
      </c>
      <c r="CZ1" s="1">
        <f t="shared" si="2"/>
        <v>104</v>
      </c>
      <c r="DA1" s="9">
        <f t="shared" si="2"/>
        <v>105</v>
      </c>
      <c r="DB1" s="9">
        <f t="shared" si="2"/>
        <v>106</v>
      </c>
      <c r="DC1" s="9">
        <f t="shared" si="2"/>
        <v>107</v>
      </c>
      <c r="DD1" s="9">
        <f t="shared" ref="DD1:DF1" si="3">COLUMN()</f>
        <v>108</v>
      </c>
      <c r="DE1" s="9">
        <f t="shared" si="3"/>
        <v>109</v>
      </c>
      <c r="DF1" s="1">
        <f t="shared" si="3"/>
        <v>110</v>
      </c>
    </row>
    <row r="2" customHeight="1" spans="6:110">
      <c r="F2" s="1" t="s">
        <v>47</v>
      </c>
      <c r="G2" s="1" t="s">
        <v>396</v>
      </c>
      <c r="H2" s="1" t="s">
        <v>15</v>
      </c>
      <c r="I2" s="1" t="s">
        <v>16</v>
      </c>
      <c r="J2" s="1" t="s">
        <v>49</v>
      </c>
      <c r="K2" s="1" t="s">
        <v>397</v>
      </c>
      <c r="L2" s="1" t="s">
        <v>215</v>
      </c>
      <c r="M2" s="1" t="s">
        <v>398</v>
      </c>
      <c r="N2" s="1" t="s">
        <v>399</v>
      </c>
      <c r="O2" s="1" t="s">
        <v>264</v>
      </c>
      <c r="P2" s="1" t="s">
        <v>400</v>
      </c>
      <c r="Q2" s="1" t="s">
        <v>387</v>
      </c>
      <c r="R2" s="1" t="s">
        <v>114</v>
      </c>
      <c r="S2" s="1" t="s">
        <v>82</v>
      </c>
      <c r="T2" s="1" t="s">
        <v>69</v>
      </c>
      <c r="U2" s="1" t="s">
        <v>255</v>
      </c>
      <c r="V2" s="1" t="s">
        <v>168</v>
      </c>
      <c r="W2" s="4" t="s">
        <v>401</v>
      </c>
      <c r="X2" s="4" t="s">
        <v>402</v>
      </c>
      <c r="Y2" s="4" t="s">
        <v>403</v>
      </c>
      <c r="Z2" s="4" t="s">
        <v>404</v>
      </c>
      <c r="AA2" s="1" t="s">
        <v>405</v>
      </c>
      <c r="AB2" s="1" t="s">
        <v>207</v>
      </c>
      <c r="AC2" s="1" t="s">
        <v>406</v>
      </c>
      <c r="AD2" s="1" t="s">
        <v>407</v>
      </c>
      <c r="AE2" s="1" t="s">
        <v>408</v>
      </c>
      <c r="AF2" s="4" t="s">
        <v>409</v>
      </c>
      <c r="AG2" s="1" t="s">
        <v>410</v>
      </c>
      <c r="AH2" s="1" t="s">
        <v>411</v>
      </c>
      <c r="AI2" s="1" t="s">
        <v>412</v>
      </c>
      <c r="AJ2" s="4" t="s">
        <v>413</v>
      </c>
      <c r="AK2" s="4" t="s">
        <v>414</v>
      </c>
      <c r="AL2" s="4" t="s">
        <v>415</v>
      </c>
      <c r="AM2" s="4" t="s">
        <v>416</v>
      </c>
      <c r="AN2" s="4" t="s">
        <v>373</v>
      </c>
      <c r="AO2" s="1" t="s">
        <v>417</v>
      </c>
      <c r="AP2" s="1" t="s">
        <v>418</v>
      </c>
      <c r="AQ2" s="1" t="s">
        <v>419</v>
      </c>
      <c r="AR2" s="11" t="s">
        <v>420</v>
      </c>
      <c r="AS2" s="12" t="s">
        <v>421</v>
      </c>
      <c r="AT2" s="12" t="s">
        <v>417</v>
      </c>
      <c r="AU2" s="12" t="s">
        <v>422</v>
      </c>
      <c r="AV2" s="12" t="s">
        <v>423</v>
      </c>
      <c r="AW2" s="12" t="s">
        <v>424</v>
      </c>
      <c r="AX2" s="16" t="s">
        <v>425</v>
      </c>
      <c r="AY2" s="16" t="s">
        <v>418</v>
      </c>
      <c r="AZ2" s="16" t="s">
        <v>426</v>
      </c>
      <c r="BA2" s="16" t="s">
        <v>427</v>
      </c>
      <c r="BB2" s="16" t="s">
        <v>428</v>
      </c>
      <c r="BC2" s="17" t="s">
        <v>429</v>
      </c>
      <c r="BD2" s="17" t="s">
        <v>430</v>
      </c>
      <c r="BE2" s="17" t="s">
        <v>431</v>
      </c>
      <c r="BF2" s="17" t="s">
        <v>432</v>
      </c>
      <c r="BG2" s="17" t="s">
        <v>433</v>
      </c>
      <c r="BH2" s="7" t="s">
        <v>434</v>
      </c>
      <c r="BI2" s="7" t="s">
        <v>435</v>
      </c>
      <c r="BJ2" s="7" t="s">
        <v>436</v>
      </c>
      <c r="BK2" s="7" t="s">
        <v>437</v>
      </c>
      <c r="BL2" s="7" t="s">
        <v>438</v>
      </c>
      <c r="BM2" s="8" t="s">
        <v>439</v>
      </c>
      <c r="BN2" s="8" t="s">
        <v>440</v>
      </c>
      <c r="BO2" s="8" t="s">
        <v>441</v>
      </c>
      <c r="BP2" s="8" t="s">
        <v>442</v>
      </c>
      <c r="BQ2" s="8" t="s">
        <v>443</v>
      </c>
      <c r="BR2" s="23" t="s">
        <v>444</v>
      </c>
      <c r="BS2" s="23" t="s">
        <v>445</v>
      </c>
      <c r="BT2" s="23" t="s">
        <v>446</v>
      </c>
      <c r="BU2" s="23" t="s">
        <v>447</v>
      </c>
      <c r="BV2" s="23" t="s">
        <v>448</v>
      </c>
      <c r="BW2" s="27" t="s">
        <v>449</v>
      </c>
      <c r="BX2" s="27" t="s">
        <v>450</v>
      </c>
      <c r="BY2" s="27" t="s">
        <v>451</v>
      </c>
      <c r="BZ2" s="27" t="s">
        <v>452</v>
      </c>
      <c r="CA2" s="27" t="s">
        <v>453</v>
      </c>
      <c r="CB2" s="11" t="s">
        <v>454</v>
      </c>
      <c r="CC2" s="11" t="s">
        <v>455</v>
      </c>
      <c r="CD2" s="11" t="s">
        <v>456</v>
      </c>
      <c r="CE2" s="11" t="s">
        <v>457</v>
      </c>
      <c r="CF2" s="11" t="s">
        <v>458</v>
      </c>
      <c r="CG2" s="29" t="s">
        <v>459</v>
      </c>
      <c r="CH2" s="29" t="s">
        <v>460</v>
      </c>
      <c r="CI2" s="29" t="s">
        <v>461</v>
      </c>
      <c r="CJ2" s="29" t="s">
        <v>462</v>
      </c>
      <c r="CK2" s="29" t="s">
        <v>463</v>
      </c>
      <c r="CL2" s="32" t="s">
        <v>464</v>
      </c>
      <c r="CM2" s="32" t="s">
        <v>465</v>
      </c>
      <c r="CN2" s="32" t="s">
        <v>466</v>
      </c>
      <c r="CO2" s="32" t="s">
        <v>467</v>
      </c>
      <c r="CP2" s="32" t="s">
        <v>468</v>
      </c>
      <c r="CQ2" s="33" t="s">
        <v>173</v>
      </c>
      <c r="CR2" s="33" t="s">
        <v>469</v>
      </c>
      <c r="CS2" s="33" t="s">
        <v>470</v>
      </c>
      <c r="CT2" s="33" t="s">
        <v>175</v>
      </c>
      <c r="CU2" s="33" t="s">
        <v>471</v>
      </c>
      <c r="CV2" s="37" t="s">
        <v>472</v>
      </c>
      <c r="CW2" s="37" t="s">
        <v>473</v>
      </c>
      <c r="CX2" s="37" t="s">
        <v>474</v>
      </c>
      <c r="CY2" s="37" t="s">
        <v>475</v>
      </c>
      <c r="CZ2" s="37" t="s">
        <v>476</v>
      </c>
      <c r="DA2" s="9" t="s">
        <v>477</v>
      </c>
      <c r="DB2" s="9" t="s">
        <v>478</v>
      </c>
      <c r="DC2" s="9" t="s">
        <v>479</v>
      </c>
      <c r="DD2" s="9" t="s">
        <v>480</v>
      </c>
      <c r="DE2" s="9" t="s">
        <v>481</v>
      </c>
      <c r="DF2" s="1" t="s">
        <v>482</v>
      </c>
    </row>
    <row r="3" customHeight="1" spans="6:110">
      <c r="F3" s="1" t="s">
        <v>28</v>
      </c>
      <c r="G3" s="1" t="s">
        <v>65</v>
      </c>
      <c r="H3" s="1" t="s">
        <v>247</v>
      </c>
      <c r="I3" s="1" t="s">
        <v>483</v>
      </c>
      <c r="J3" s="6">
        <f>配装!C3</f>
        <v>0</v>
      </c>
      <c r="K3" s="10">
        <f>835+75</f>
        <v>910</v>
      </c>
      <c r="L3" s="3"/>
      <c r="M3" s="3"/>
      <c r="N3" s="10"/>
      <c r="O3" s="10">
        <v>90</v>
      </c>
      <c r="P3" s="3"/>
      <c r="Q3" s="3"/>
      <c r="R3" s="3">
        <v>0.02</v>
      </c>
      <c r="S3" s="3">
        <f>5%+30%</f>
        <v>0.35</v>
      </c>
      <c r="T3" s="3">
        <f>50%+9.6%*3</f>
        <v>0.788</v>
      </c>
      <c r="U3" s="3"/>
      <c r="V3" s="3">
        <v>-0.07</v>
      </c>
      <c r="W3" s="3"/>
      <c r="X3" s="3"/>
      <c r="Y3" s="3"/>
      <c r="Z3" s="3"/>
      <c r="AA3" s="3"/>
      <c r="AB3" s="3"/>
      <c r="AC3" s="3"/>
      <c r="AD3" s="3">
        <f>40%+IF(J3&gt;=2,40%,0)</f>
        <v>0.4</v>
      </c>
      <c r="AE3" s="3"/>
      <c r="AF3" s="3">
        <f>IF(J3&gt;=2,40%,0)</f>
        <v>0</v>
      </c>
      <c r="AG3" s="3"/>
      <c r="AH3" s="3"/>
      <c r="AI3" s="3"/>
      <c r="AJ3" s="3"/>
      <c r="AK3" s="3"/>
      <c r="AL3" s="3"/>
      <c r="AM3" s="3"/>
      <c r="AN3" s="3">
        <f>AD3</f>
        <v>0.4</v>
      </c>
      <c r="AO3" s="3"/>
      <c r="AP3" s="3"/>
      <c r="AQ3" s="3"/>
      <c r="AR3" s="13">
        <v>60</v>
      </c>
      <c r="AS3" s="14">
        <f>126.4+137.3+151+167</f>
        <v>581.7</v>
      </c>
      <c r="AT3" s="14">
        <f>97.3+94.7+124.3+142.9</f>
        <v>459.2</v>
      </c>
      <c r="AU3" s="14">
        <v>3.5</v>
      </c>
      <c r="AV3" s="14">
        <f>104.77+0+59.12+60.05</f>
        <v>223.94</v>
      </c>
      <c r="AW3" s="14">
        <f>18.9176+18.4254+24.182+27.071</f>
        <v>88.596</v>
      </c>
      <c r="AX3" s="18">
        <f>136.5+136.5+409.3</f>
        <v>682.3</v>
      </c>
      <c r="AY3" s="18">
        <f>60+60+180</f>
        <v>300</v>
      </c>
      <c r="AZ3" s="18">
        <v>2.6</v>
      </c>
      <c r="BA3" s="18">
        <f>54.15+54.15+162.45</f>
        <v>270.75</v>
      </c>
      <c r="BB3" s="18">
        <f>5.9064+10.914+29.1682</f>
        <v>45.9886</v>
      </c>
      <c r="BC3" s="19"/>
      <c r="BD3" s="19"/>
      <c r="BE3" s="19"/>
      <c r="BF3" s="19"/>
      <c r="BG3" s="19"/>
      <c r="BH3" s="21"/>
      <c r="BI3" s="21"/>
      <c r="BJ3" s="21"/>
      <c r="BK3" s="21"/>
      <c r="BL3" s="21"/>
      <c r="BM3" s="24"/>
      <c r="BN3" s="24"/>
      <c r="BO3" s="24"/>
      <c r="BP3" s="24"/>
      <c r="BQ3" s="24"/>
      <c r="BR3" s="25">
        <v>51.4</v>
      </c>
      <c r="BS3" s="25">
        <v>51.4</v>
      </c>
      <c r="BT3" s="25">
        <v>0.5</v>
      </c>
      <c r="BU3" s="25">
        <v>46.7</v>
      </c>
      <c r="BV3" s="25">
        <v>10.0152</v>
      </c>
      <c r="BW3" s="28">
        <f>18.4*3</f>
        <v>55.2</v>
      </c>
      <c r="BX3" s="28">
        <f>18.4*3</f>
        <v>55.2</v>
      </c>
      <c r="BY3" s="28">
        <v>1.2</v>
      </c>
      <c r="BZ3" s="28">
        <f>16.65*3</f>
        <v>49.95</v>
      </c>
      <c r="CA3" s="28">
        <v>3.5738</v>
      </c>
      <c r="CB3" s="20">
        <v>574.6</v>
      </c>
      <c r="CC3" s="20">
        <v>468.1</v>
      </c>
      <c r="CD3" s="20">
        <v>1.1</v>
      </c>
      <c r="CE3" s="20">
        <v>485.12</v>
      </c>
      <c r="CF3" s="20">
        <v>135.1838</v>
      </c>
      <c r="CG3" s="30">
        <f>IF(J3&gt;=6,880/2.27171,0)</f>
        <v>0</v>
      </c>
      <c r="CH3" s="30"/>
      <c r="CI3" s="30">
        <v>0</v>
      </c>
      <c r="CJ3" s="30"/>
      <c r="CK3" s="30"/>
      <c r="CL3" s="34">
        <v>355.8</v>
      </c>
      <c r="CM3" s="34">
        <v>308.6</v>
      </c>
      <c r="CN3" s="34">
        <v>2.5</v>
      </c>
      <c r="CO3" s="34">
        <v>301.97</v>
      </c>
      <c r="CP3" s="34">
        <f>78.4096</f>
        <v>78.4096</v>
      </c>
      <c r="CQ3" s="35">
        <v>602.1</v>
      </c>
      <c r="CR3" s="35">
        <v>0</v>
      </c>
      <c r="CS3" s="35">
        <v>1.4</v>
      </c>
      <c r="CT3" s="35">
        <v>334.5</v>
      </c>
      <c r="CU3" s="35">
        <v>171.2214</v>
      </c>
      <c r="CV3" s="38">
        <v>1835.9</v>
      </c>
      <c r="CW3" s="38">
        <v>143</v>
      </c>
      <c r="CX3" s="38">
        <v>1.3</v>
      </c>
      <c r="CY3" s="38">
        <v>103.33</v>
      </c>
      <c r="CZ3" s="38"/>
      <c r="DA3" s="40"/>
      <c r="DB3" s="40"/>
      <c r="DC3" s="40"/>
      <c r="DD3" s="40"/>
      <c r="DE3" s="40"/>
      <c r="DF3" s="4" t="s">
        <v>484</v>
      </c>
    </row>
    <row r="4" customHeight="1" spans="6:110">
      <c r="F4" s="1" t="s">
        <v>72</v>
      </c>
      <c r="G4" s="1" t="s">
        <v>65</v>
      </c>
      <c r="H4" s="1" t="s">
        <v>237</v>
      </c>
      <c r="I4" s="1" t="s">
        <v>485</v>
      </c>
      <c r="J4" s="6">
        <f>配装!C4</f>
        <v>0</v>
      </c>
      <c r="K4" s="10">
        <f>863+75</f>
        <v>938</v>
      </c>
      <c r="L4" s="3"/>
      <c r="M4" s="3"/>
      <c r="N4" s="10"/>
      <c r="O4" s="10">
        <v>93</v>
      </c>
      <c r="P4" s="3"/>
      <c r="Q4" s="3"/>
      <c r="R4" s="3">
        <v>-0.07</v>
      </c>
      <c r="S4" s="3">
        <f>5%+4.8%*3+IF(J4&gt;=1,12%,0)</f>
        <v>0.194</v>
      </c>
      <c r="T4" s="3">
        <v>0.5</v>
      </c>
      <c r="U4" s="3">
        <f>IF(J4&gt;=6,20%,0)</f>
        <v>0</v>
      </c>
      <c r="V4" s="3">
        <v>-0.06</v>
      </c>
      <c r="W4" s="3"/>
      <c r="X4" s="3"/>
      <c r="Y4" s="3"/>
      <c r="Z4" s="3"/>
      <c r="AA4" s="3"/>
      <c r="AB4" s="3"/>
      <c r="AC4" s="3">
        <v>0.3</v>
      </c>
      <c r="AD4" s="3">
        <v>0.3</v>
      </c>
      <c r="AE4" s="3">
        <f>30%+IF(J4&gt;=6,250%,0)</f>
        <v>0.3</v>
      </c>
      <c r="AF4" s="3">
        <v>0.3</v>
      </c>
      <c r="AG4" s="3">
        <v>0.3</v>
      </c>
      <c r="AH4" s="3">
        <v>0.3</v>
      </c>
      <c r="AI4" s="3">
        <v>0.3</v>
      </c>
      <c r="AJ4" s="3">
        <v>0.3</v>
      </c>
      <c r="AK4" s="3">
        <v>0.3</v>
      </c>
      <c r="AL4" s="3">
        <v>0.3</v>
      </c>
      <c r="AM4" s="3"/>
      <c r="AN4" s="3">
        <v>0.3</v>
      </c>
      <c r="AO4" s="3"/>
      <c r="AP4" s="3"/>
      <c r="AQ4" s="3"/>
      <c r="AR4" s="13">
        <v>40</v>
      </c>
      <c r="AS4" s="14">
        <f>99.6+184+496.2</f>
        <v>779.8</v>
      </c>
      <c r="AT4" s="14">
        <f>48.8+90.2+245.5</f>
        <v>384.5</v>
      </c>
      <c r="AU4" s="14">
        <v>3.2</v>
      </c>
      <c r="AV4" s="14">
        <f>44.35+81.99+223.17</f>
        <v>349.51</v>
      </c>
      <c r="AW4" s="14">
        <f>9.5016+17.548+47.7648</f>
        <v>74.8144</v>
      </c>
      <c r="AX4" s="18">
        <v>496.2</v>
      </c>
      <c r="AY4" s="18">
        <v>245.5</v>
      </c>
      <c r="AZ4" s="18">
        <v>1.8</v>
      </c>
      <c r="BA4" s="18">
        <v>223.17</v>
      </c>
      <c r="BB4" s="18">
        <v>47.7648</v>
      </c>
      <c r="BC4" s="19">
        <f>62.3+158.2</f>
        <v>220.5</v>
      </c>
      <c r="BD4" s="19">
        <f>62.3+121.7</f>
        <v>184</v>
      </c>
      <c r="BE4" s="19">
        <v>2.3</v>
      </c>
      <c r="BF4" s="19">
        <f>56.59+110.56</f>
        <v>167.15</v>
      </c>
      <c r="BG4" s="19">
        <f>12.1124+23.6684</f>
        <v>35.7808</v>
      </c>
      <c r="BH4" s="21">
        <f>62.3+127.6</f>
        <v>189.9</v>
      </c>
      <c r="BI4" s="21">
        <f>62.3+98.2</f>
        <v>160.5</v>
      </c>
      <c r="BJ4" s="21">
        <v>1.5</v>
      </c>
      <c r="BK4" s="21">
        <f>56.59+89.19</f>
        <v>145.78</v>
      </c>
      <c r="BL4" s="21">
        <f>12.1124+19.0888</f>
        <v>31.2012</v>
      </c>
      <c r="BM4" s="24"/>
      <c r="BN4" s="24"/>
      <c r="BO4" s="24"/>
      <c r="BP4" s="24"/>
      <c r="BQ4" s="24"/>
      <c r="BR4" s="25">
        <v>121.1</v>
      </c>
      <c r="BS4" s="25">
        <v>121.1</v>
      </c>
      <c r="BT4" s="25">
        <v>1.5</v>
      </c>
      <c r="BU4" s="25">
        <v>110.03</v>
      </c>
      <c r="BV4" s="25">
        <v>23.5614</v>
      </c>
      <c r="BW4" s="28">
        <v>50.5</v>
      </c>
      <c r="BX4" s="28">
        <v>50.5</v>
      </c>
      <c r="BY4" s="28">
        <v>1.1</v>
      </c>
      <c r="BZ4" s="28">
        <v>45.84</v>
      </c>
      <c r="CA4" s="28">
        <v>9.8226</v>
      </c>
      <c r="CB4" s="20">
        <f>377.2</f>
        <v>377.2</v>
      </c>
      <c r="CC4" s="20">
        <v>405.1</v>
      </c>
      <c r="CD4" s="20">
        <v>1.6</v>
      </c>
      <c r="CE4" s="20">
        <v>403.73</v>
      </c>
      <c r="CF4" s="20">
        <v>109.2256</v>
      </c>
      <c r="CG4" s="30">
        <v>553.3</v>
      </c>
      <c r="CH4" s="30">
        <v>371.7</v>
      </c>
      <c r="CI4" s="30">
        <v>1.3</v>
      </c>
      <c r="CJ4" s="30">
        <v>372.19</v>
      </c>
      <c r="CK4" s="30">
        <v>101.7142</v>
      </c>
      <c r="CL4" s="34">
        <v>437.9</v>
      </c>
      <c r="CM4" s="34">
        <f>271.3+384.8</f>
        <v>656.1</v>
      </c>
      <c r="CN4" s="34">
        <v>1.9</v>
      </c>
      <c r="CO4" s="34">
        <v>373.92</v>
      </c>
      <c r="CP4" s="34">
        <f>14.2738+95.5296</f>
        <v>109.8034</v>
      </c>
      <c r="CQ4" s="35">
        <v>794.6</v>
      </c>
      <c r="CR4" s="35">
        <v>0</v>
      </c>
      <c r="CS4" s="35">
        <v>3.2</v>
      </c>
      <c r="CT4" s="35">
        <v>522.83</v>
      </c>
      <c r="CU4" s="35">
        <v>211.5176</v>
      </c>
      <c r="CV4" s="38">
        <v>1890.8</v>
      </c>
      <c r="CW4" s="38">
        <v>185.2</v>
      </c>
      <c r="CX4" s="38">
        <v>1.6</v>
      </c>
      <c r="CY4" s="38">
        <v>168.33</v>
      </c>
      <c r="CZ4" s="38"/>
      <c r="DA4" s="40"/>
      <c r="DB4" s="40"/>
      <c r="DC4" s="40"/>
      <c r="DD4" s="40"/>
      <c r="DE4" s="40"/>
      <c r="DF4" s="4" t="s">
        <v>486</v>
      </c>
    </row>
    <row r="5" customHeight="1" spans="6:110">
      <c r="F5" s="1" t="s">
        <v>78</v>
      </c>
      <c r="G5" s="1" t="s">
        <v>65</v>
      </c>
      <c r="H5" s="1" t="s">
        <v>226</v>
      </c>
      <c r="I5" s="1" t="s">
        <v>487</v>
      </c>
      <c r="J5" s="6">
        <f>配装!C5</f>
        <v>0</v>
      </c>
      <c r="K5" s="10">
        <v>908</v>
      </c>
      <c r="L5" s="3"/>
      <c r="M5" s="3"/>
      <c r="N5" s="10"/>
      <c r="O5" s="10">
        <v>92</v>
      </c>
      <c r="P5" s="3"/>
      <c r="Q5" s="3"/>
      <c r="R5" s="3">
        <v>-0.04</v>
      </c>
      <c r="S5" s="3">
        <f t="shared" ref="S4:S8" si="4">5%+4.8%*3</f>
        <v>0.194</v>
      </c>
      <c r="T5" s="3">
        <v>0.5</v>
      </c>
      <c r="U5" s="3"/>
      <c r="V5" s="3">
        <v>-0.03</v>
      </c>
      <c r="W5" s="3"/>
      <c r="X5" s="3"/>
      <c r="Y5" s="3"/>
      <c r="Z5" s="3"/>
      <c r="AA5" s="3"/>
      <c r="AB5" s="3"/>
      <c r="AC5" s="3">
        <f t="shared" ref="AC5:AL5" si="5">60%</f>
        <v>0.6</v>
      </c>
      <c r="AD5" s="3">
        <f t="shared" si="5"/>
        <v>0.6</v>
      </c>
      <c r="AE5" s="3">
        <f t="shared" si="5"/>
        <v>0.6</v>
      </c>
      <c r="AF5" s="3">
        <f t="shared" si="5"/>
        <v>0.6</v>
      </c>
      <c r="AG5" s="3">
        <f t="shared" si="5"/>
        <v>0.6</v>
      </c>
      <c r="AH5" s="3">
        <f t="shared" si="5"/>
        <v>0.6</v>
      </c>
      <c r="AI5" s="3">
        <f t="shared" si="5"/>
        <v>0.6</v>
      </c>
      <c r="AJ5" s="3">
        <f t="shared" si="5"/>
        <v>0.6</v>
      </c>
      <c r="AK5" s="3">
        <f t="shared" si="5"/>
        <v>0.6</v>
      </c>
      <c r="AL5" s="3">
        <f t="shared" si="5"/>
        <v>0.6</v>
      </c>
      <c r="AM5" s="3"/>
      <c r="AN5" s="3">
        <v>0.6</v>
      </c>
      <c r="AO5" s="3"/>
      <c r="AP5" s="3"/>
      <c r="AQ5" s="3"/>
      <c r="AR5" s="13">
        <v>40</v>
      </c>
      <c r="AS5" s="14">
        <f>55.2+62.6+72.7+170.2+123.6*5/3</f>
        <v>566.7</v>
      </c>
      <c r="AT5" s="14">
        <f>18+37.1+46.7+103.7+58.9*5/3</f>
        <v>303.666666666667</v>
      </c>
      <c r="AU5" s="14">
        <f>2.8*2/3+3.6/3</f>
        <v>3.06666666666667</v>
      </c>
      <c r="AV5" s="14">
        <f>17.08+35.24+44.4+98.73+56.02*5/3</f>
        <v>288.816666666667</v>
      </c>
      <c r="AW5" s="14">
        <f>3.6594+7.5542+9.523+21.1432+12.0054*5/3</f>
        <v>61.8888</v>
      </c>
      <c r="AX5" s="18"/>
      <c r="AY5" s="18"/>
      <c r="AZ5" s="18"/>
      <c r="BA5" s="18"/>
      <c r="BB5" s="18"/>
      <c r="BC5" s="19">
        <f>55.2+71.8*5/3</f>
        <v>174.866666666667</v>
      </c>
      <c r="BD5" s="19">
        <f>18+58.9*5/3</f>
        <v>116.166666666667</v>
      </c>
      <c r="BE5" s="19">
        <f>1.2*2/3+2.15/3</f>
        <v>1.51666666666667</v>
      </c>
      <c r="BF5" s="19">
        <f>17.08+56.02*5/3</f>
        <v>110.446666666667</v>
      </c>
      <c r="BG5" s="19">
        <f>12.0054*5/3</f>
        <v>20.009</v>
      </c>
      <c r="BH5" s="21"/>
      <c r="BI5" s="21"/>
      <c r="BJ5" s="21"/>
      <c r="BK5" s="21"/>
      <c r="BL5" s="21"/>
      <c r="BM5" s="24"/>
      <c r="BN5" s="24"/>
      <c r="BO5" s="24"/>
      <c r="BP5" s="24"/>
      <c r="BQ5" s="24"/>
      <c r="BR5" s="25">
        <v>94.5</v>
      </c>
      <c r="BS5" s="25">
        <v>94.5</v>
      </c>
      <c r="BT5" s="25">
        <v>1</v>
      </c>
      <c r="BU5" s="25">
        <v>89.96</v>
      </c>
      <c r="BV5" s="25">
        <v>19.26</v>
      </c>
      <c r="BW5" s="28">
        <v>47.3</v>
      </c>
      <c r="BX5" s="28">
        <v>47.3</v>
      </c>
      <c r="BY5" s="28">
        <v>1.2</v>
      </c>
      <c r="BZ5" s="28">
        <v>45.01</v>
      </c>
      <c r="CA5" s="28">
        <v>9.6514</v>
      </c>
      <c r="CB5" s="20">
        <v>539.7</v>
      </c>
      <c r="CC5" s="20">
        <v>455.4</v>
      </c>
      <c r="CD5" s="20">
        <v>1.5</v>
      </c>
      <c r="CE5" s="20">
        <v>430.73</v>
      </c>
      <c r="CF5" s="20">
        <v>115.6456</v>
      </c>
      <c r="CG5" s="30"/>
      <c r="CH5" s="30"/>
      <c r="CI5" s="30"/>
      <c r="CJ5" s="30"/>
      <c r="CK5" s="30"/>
      <c r="CL5" s="34">
        <v>300.4</v>
      </c>
      <c r="CM5" s="34">
        <f>238+258.1</f>
        <v>496.1</v>
      </c>
      <c r="CN5" s="34">
        <v>2.3</v>
      </c>
      <c r="CO5" s="34">
        <v>265.92</v>
      </c>
      <c r="CP5" s="34">
        <f>14.2738+69.8496</f>
        <v>84.1234</v>
      </c>
      <c r="CQ5" s="35">
        <v>536.2</v>
      </c>
      <c r="CR5" s="35">
        <v>0</v>
      </c>
      <c r="CS5" s="35">
        <v>1.7</v>
      </c>
      <c r="CT5" s="35">
        <v>367.86</v>
      </c>
      <c r="CU5" s="35">
        <v>178.3476</v>
      </c>
      <c r="CV5" s="38">
        <v>1571.1</v>
      </c>
      <c r="CW5" s="38">
        <v>118.1</v>
      </c>
      <c r="CX5" s="38">
        <v>2.1</v>
      </c>
      <c r="CY5" s="38">
        <v>124.96</v>
      </c>
      <c r="CZ5" s="38"/>
      <c r="DA5" s="40"/>
      <c r="DB5" s="40"/>
      <c r="DC5" s="40"/>
      <c r="DD5" s="40"/>
      <c r="DE5" s="40"/>
      <c r="DF5" s="4" t="s">
        <v>488</v>
      </c>
    </row>
    <row r="6" customHeight="1" spans="6:110">
      <c r="F6" s="1" t="s">
        <v>84</v>
      </c>
      <c r="G6" s="1" t="s">
        <v>65</v>
      </c>
      <c r="H6" s="1" t="s">
        <v>242</v>
      </c>
      <c r="I6" s="1" t="s">
        <v>489</v>
      </c>
      <c r="J6" s="6">
        <f>配装!C6</f>
        <v>0</v>
      </c>
      <c r="K6" s="10">
        <f>813+75</f>
        <v>888</v>
      </c>
      <c r="L6" s="3"/>
      <c r="M6" s="3"/>
      <c r="N6" s="10"/>
      <c r="O6" s="10">
        <v>93</v>
      </c>
      <c r="P6" s="3"/>
      <c r="Q6" s="3"/>
      <c r="R6" s="3">
        <v>-0.07</v>
      </c>
      <c r="S6" s="3">
        <f t="shared" si="4"/>
        <v>0.194</v>
      </c>
      <c r="T6" s="3">
        <v>0.5</v>
      </c>
      <c r="U6" s="3"/>
      <c r="V6" s="3">
        <v>-0.06</v>
      </c>
      <c r="W6" s="3"/>
      <c r="X6" s="3"/>
      <c r="Y6" s="3"/>
      <c r="Z6" s="3"/>
      <c r="AA6" s="3"/>
      <c r="AB6" s="3"/>
      <c r="AC6" s="3">
        <f>10%+70%+IF(J6&gt;=2,36%,0)</f>
        <v>0.8</v>
      </c>
      <c r="AD6" s="3">
        <f>10%+70%+IF(J6&gt;=2,36%,0)</f>
        <v>0.8</v>
      </c>
      <c r="AE6" s="3">
        <f>10%</f>
        <v>0.1</v>
      </c>
      <c r="AF6" s="3">
        <f>10%+IF(J6&gt;=2,36%,0)</f>
        <v>0.1</v>
      </c>
      <c r="AG6" s="3">
        <f>10%+IF($J6&gt;=2,36%,0)</f>
        <v>0.1</v>
      </c>
      <c r="AH6" s="3">
        <f>10%</f>
        <v>0.1</v>
      </c>
      <c r="AI6" s="3">
        <f>10%</f>
        <v>0.1</v>
      </c>
      <c r="AJ6" s="3">
        <f>10%</f>
        <v>0.1</v>
      </c>
      <c r="AK6" s="3">
        <f>10%</f>
        <v>0.1</v>
      </c>
      <c r="AL6" s="3">
        <f>10%</f>
        <v>0.1</v>
      </c>
      <c r="AM6" s="3"/>
      <c r="AN6" s="3">
        <f>AD6</f>
        <v>0.8</v>
      </c>
      <c r="AO6" s="3"/>
      <c r="AP6" s="3"/>
      <c r="AQ6" s="3"/>
      <c r="AR6" s="13">
        <v>80</v>
      </c>
      <c r="AS6" s="14">
        <f>55.1+57.2+132+340.7</f>
        <v>585</v>
      </c>
      <c r="AT6" s="14">
        <f>18+33.6+75.2+192</f>
        <v>318.8</v>
      </c>
      <c r="AU6" s="14">
        <v>3.5</v>
      </c>
      <c r="AV6" s="14">
        <f>17.05+31.91+71.57+182.8</f>
        <v>303.33</v>
      </c>
      <c r="AW6" s="14">
        <f>3.6594+6.848+15.3224+39.1406</f>
        <v>64.9704</v>
      </c>
      <c r="AX6" s="18">
        <f>55.1+57.2+132+340.7</f>
        <v>585</v>
      </c>
      <c r="AY6" s="18">
        <f>18+33.6+75.2+192</f>
        <v>318.8</v>
      </c>
      <c r="AZ6" s="18">
        <v>2.85</v>
      </c>
      <c r="BA6" s="18">
        <f>17.05+31.91+71.57+182.8</f>
        <v>303.33</v>
      </c>
      <c r="BB6" s="18">
        <v>64.9704</v>
      </c>
      <c r="BC6" s="19"/>
      <c r="BD6" s="19"/>
      <c r="BE6" s="19"/>
      <c r="BF6" s="19"/>
      <c r="BG6" s="19"/>
      <c r="BH6" s="21"/>
      <c r="BI6" s="21"/>
      <c r="BJ6" s="21"/>
      <c r="BK6" s="21"/>
      <c r="BL6" s="21"/>
      <c r="BM6" s="24"/>
      <c r="BN6" s="24"/>
      <c r="BO6" s="24"/>
      <c r="BP6" s="24"/>
      <c r="BQ6" s="24"/>
      <c r="BR6" s="25">
        <v>120.8</v>
      </c>
      <c r="BS6" s="25">
        <v>120.8</v>
      </c>
      <c r="BT6" s="25">
        <v>1.2</v>
      </c>
      <c r="BU6" s="25">
        <v>114.99</v>
      </c>
      <c r="BV6" s="25">
        <v>24.61</v>
      </c>
      <c r="BW6" s="28">
        <v>52.6</v>
      </c>
      <c r="BX6" s="28">
        <v>52.6</v>
      </c>
      <c r="BY6" s="28">
        <v>1.2</v>
      </c>
      <c r="BZ6" s="28">
        <v>50.01</v>
      </c>
      <c r="CA6" s="28">
        <v>10.7214</v>
      </c>
      <c r="CB6" s="20">
        <v>675</v>
      </c>
      <c r="CC6" s="20">
        <v>543.5</v>
      </c>
      <c r="CD6" s="20">
        <v>1.2</v>
      </c>
      <c r="CE6" s="20">
        <v>580.18</v>
      </c>
      <c r="CF6" s="20">
        <v>164.3948</v>
      </c>
      <c r="CG6" s="30"/>
      <c r="CH6" s="30"/>
      <c r="CI6" s="30"/>
      <c r="CJ6" s="30"/>
      <c r="CK6" s="30"/>
      <c r="CL6" s="34">
        <v>383.7</v>
      </c>
      <c r="CM6" s="34">
        <f>238+335.5</f>
        <v>573.5</v>
      </c>
      <c r="CN6" s="34">
        <v>2.3</v>
      </c>
      <c r="CO6" s="34">
        <v>342.42</v>
      </c>
      <c r="CP6" s="34">
        <f>14.2738+88.0396</f>
        <v>102.3134</v>
      </c>
      <c r="CQ6" s="35">
        <v>632.5</v>
      </c>
      <c r="CR6" s="35">
        <v>0</v>
      </c>
      <c r="CS6" s="35">
        <v>1.6</v>
      </c>
      <c r="CT6" s="35">
        <v>402.86</v>
      </c>
      <c r="CU6" s="35">
        <v>185.8376</v>
      </c>
      <c r="CV6" s="38">
        <v>2103</v>
      </c>
      <c r="CW6" s="38">
        <v>285</v>
      </c>
      <c r="CX6" s="38">
        <v>2.2</v>
      </c>
      <c r="CY6" s="38">
        <v>246.7</v>
      </c>
      <c r="CZ6" s="38"/>
      <c r="DA6" s="40"/>
      <c r="DB6" s="40"/>
      <c r="DC6" s="40"/>
      <c r="DD6" s="40"/>
      <c r="DE6" s="40"/>
      <c r="DF6" s="4" t="s">
        <v>490</v>
      </c>
    </row>
    <row r="7" customHeight="1" spans="6:110">
      <c r="F7" s="1" t="s">
        <v>87</v>
      </c>
      <c r="G7" s="1" t="s">
        <v>65</v>
      </c>
      <c r="H7" s="1" t="s">
        <v>226</v>
      </c>
      <c r="I7" s="1" t="s">
        <v>485</v>
      </c>
      <c r="J7" s="6">
        <f>配装!C7</f>
        <v>2</v>
      </c>
      <c r="K7" s="10">
        <f>732+75</f>
        <v>807</v>
      </c>
      <c r="L7" s="3"/>
      <c r="M7" s="3"/>
      <c r="N7" s="10"/>
      <c r="O7" s="10">
        <v>93</v>
      </c>
      <c r="P7" s="3"/>
      <c r="Q7" s="3"/>
      <c r="R7" s="3">
        <v>-0.04</v>
      </c>
      <c r="S7" s="3">
        <f t="shared" ref="S7:S14" si="6">5%</f>
        <v>0.05</v>
      </c>
      <c r="T7" s="3">
        <f>50%+9.6%*3</f>
        <v>0.788</v>
      </c>
      <c r="U7" s="3"/>
      <c r="V7" s="3">
        <v>-0.07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>
        <f>37.5%</f>
        <v>0.375</v>
      </c>
      <c r="AJ7" s="3"/>
      <c r="AK7" s="3"/>
      <c r="AL7" s="3"/>
      <c r="AM7" s="3"/>
      <c r="AN7" s="3">
        <v>0.375</v>
      </c>
      <c r="AO7" s="3"/>
      <c r="AP7" s="3"/>
      <c r="AQ7" s="3"/>
      <c r="AR7" s="13">
        <v>80</v>
      </c>
      <c r="AX7" s="20"/>
      <c r="AY7" s="20"/>
      <c r="AZ7" s="20"/>
      <c r="BA7" s="20"/>
      <c r="BB7" s="20"/>
      <c r="BC7" s="19"/>
      <c r="BD7" s="19"/>
      <c r="BE7" s="19"/>
      <c r="BF7" s="19"/>
      <c r="BG7" s="19"/>
      <c r="BH7" s="21"/>
      <c r="BI7" s="21"/>
      <c r="BJ7" s="21"/>
      <c r="BK7" s="21"/>
      <c r="BL7" s="21"/>
      <c r="BM7" s="24"/>
      <c r="BN7" s="24"/>
      <c r="BO7" s="24"/>
      <c r="BP7" s="24"/>
      <c r="BQ7" s="24"/>
      <c r="BR7" s="25"/>
      <c r="BS7" s="25"/>
      <c r="BT7" s="25"/>
      <c r="BU7" s="25"/>
      <c r="BV7" s="25"/>
      <c r="BW7" s="28"/>
      <c r="BX7" s="28"/>
      <c r="BY7" s="28"/>
      <c r="BZ7" s="28"/>
      <c r="CA7" s="28"/>
      <c r="CB7" s="20">
        <f>345+1034.8+345</f>
        <v>1724.8</v>
      </c>
      <c r="CC7" s="20">
        <f>206.3+618.8+206.3</f>
        <v>1031.4</v>
      </c>
      <c r="CD7" s="20">
        <v>4.5</v>
      </c>
      <c r="CE7" s="20">
        <f>203.33+610.01+203.33</f>
        <v>1016.67</v>
      </c>
      <c r="CF7" s="20">
        <f>53.6498+160.9066+53.6498</f>
        <v>268.2062</v>
      </c>
      <c r="CI7" s="30"/>
      <c r="CJ7" s="30"/>
      <c r="CK7" s="30"/>
      <c r="CL7" s="34">
        <v>547.5</v>
      </c>
      <c r="CM7" s="34">
        <f>246.7+488.6</f>
        <v>735.3</v>
      </c>
      <c r="CN7" s="34">
        <v>3.5</v>
      </c>
      <c r="CO7" s="34">
        <v>518.01</v>
      </c>
      <c r="CP7" s="34">
        <f>14.2738+129.791</f>
        <v>144.0648</v>
      </c>
      <c r="CQ7" s="35">
        <v>687.3</v>
      </c>
      <c r="CR7" s="35">
        <v>0</v>
      </c>
      <c r="CS7" s="35">
        <v>2.6</v>
      </c>
      <c r="CT7" s="35">
        <v>487.79</v>
      </c>
      <c r="CU7" s="35">
        <v>204.0062</v>
      </c>
      <c r="CV7" s="38">
        <v>2026.5</v>
      </c>
      <c r="CW7" s="38">
        <v>405</v>
      </c>
      <c r="CX7" s="38">
        <v>2.4</v>
      </c>
      <c r="CY7" s="38">
        <v>406.7</v>
      </c>
      <c r="CZ7" s="38"/>
      <c r="DA7" s="40"/>
      <c r="DB7" s="40"/>
      <c r="DC7" s="40"/>
      <c r="DD7" s="40"/>
      <c r="DE7" s="40"/>
      <c r="DF7" s="4" t="s">
        <v>491</v>
      </c>
    </row>
    <row r="8" customHeight="1" spans="6:110">
      <c r="F8" s="1" t="s">
        <v>90</v>
      </c>
      <c r="G8" s="1" t="s">
        <v>65</v>
      </c>
      <c r="H8" s="1" t="s">
        <v>231</v>
      </c>
      <c r="I8" s="1" t="s">
        <v>492</v>
      </c>
      <c r="J8" s="6">
        <f>配装!C8</f>
        <v>2</v>
      </c>
      <c r="K8" s="10">
        <f>716+75</f>
        <v>791</v>
      </c>
      <c r="L8" s="3"/>
      <c r="M8" s="3"/>
      <c r="N8" s="10"/>
      <c r="O8" s="10">
        <v>95</v>
      </c>
      <c r="P8" s="3"/>
      <c r="Q8" s="3"/>
      <c r="R8" s="3">
        <v>-0.1</v>
      </c>
      <c r="S8" s="3">
        <f t="shared" si="4"/>
        <v>0.194</v>
      </c>
      <c r="T8" s="3">
        <v>0.5</v>
      </c>
      <c r="U8" s="3"/>
      <c r="V8" s="3">
        <v>-0.14</v>
      </c>
      <c r="W8" s="3"/>
      <c r="X8" s="3"/>
      <c r="Y8" s="3"/>
      <c r="Z8" s="3"/>
      <c r="AA8" s="3"/>
      <c r="AB8" s="3"/>
      <c r="AC8" s="3">
        <f t="shared" ref="AC8:AE8" si="7">(40%+24%)/2</f>
        <v>0.32</v>
      </c>
      <c r="AD8" s="3">
        <f t="shared" si="7"/>
        <v>0.32</v>
      </c>
      <c r="AE8" s="3">
        <f t="shared" si="7"/>
        <v>0.32</v>
      </c>
      <c r="AF8" s="3">
        <v>0.4</v>
      </c>
      <c r="AG8" s="3">
        <v>0.4</v>
      </c>
      <c r="AH8" s="3">
        <v>0.24</v>
      </c>
      <c r="AI8" s="3">
        <v>0.24</v>
      </c>
      <c r="AJ8" s="3">
        <v>0.4</v>
      </c>
      <c r="AK8" s="3">
        <f>(40%+24%)/2</f>
        <v>0.32</v>
      </c>
      <c r="AL8" s="3">
        <v>0.24</v>
      </c>
      <c r="AM8" s="3"/>
      <c r="AN8" s="3">
        <v>0.4</v>
      </c>
      <c r="AO8" s="3"/>
      <c r="AP8" s="3"/>
      <c r="AQ8" s="3"/>
      <c r="AR8" s="13">
        <v>40</v>
      </c>
      <c r="AS8" s="14"/>
      <c r="AT8" s="14"/>
      <c r="AU8" s="14"/>
      <c r="AV8" s="14"/>
      <c r="AW8" s="14"/>
      <c r="AX8" s="20">
        <f>240.9</f>
        <v>240.9</v>
      </c>
      <c r="AY8" s="20">
        <f>166</f>
        <v>166</v>
      </c>
      <c r="AZ8" s="20">
        <v>0.5</v>
      </c>
      <c r="BA8" s="20">
        <v>177.49</v>
      </c>
      <c r="BB8" s="20">
        <v>45.4108</v>
      </c>
      <c r="BC8" s="20">
        <f>463.4+456.9</f>
        <v>920.3</v>
      </c>
      <c r="BD8" s="20">
        <f>319.4+314.8</f>
        <v>634.2</v>
      </c>
      <c r="BE8" s="20">
        <f>1.9+1.8</f>
        <v>3.7</v>
      </c>
      <c r="BF8" s="20">
        <f>345.73+336.68</f>
        <v>682.41</v>
      </c>
      <c r="BG8" s="20">
        <f>88.4462+86.1136</f>
        <v>174.5598</v>
      </c>
      <c r="BH8" s="21"/>
      <c r="BI8" s="21"/>
      <c r="BJ8" s="21"/>
      <c r="BK8" s="21"/>
      <c r="BL8" s="21"/>
      <c r="BM8" s="24"/>
      <c r="BN8" s="24"/>
      <c r="BO8" s="24"/>
      <c r="BP8" s="24"/>
      <c r="BQ8" s="24"/>
      <c r="BR8" s="25"/>
      <c r="BS8" s="25"/>
      <c r="BT8" s="25"/>
      <c r="BU8" s="25"/>
      <c r="BV8" s="25"/>
      <c r="BW8" s="28"/>
      <c r="BX8" s="28"/>
      <c r="BY8" s="28"/>
      <c r="BZ8" s="28"/>
      <c r="CA8" s="28"/>
      <c r="CB8" s="20">
        <v>195.7</v>
      </c>
      <c r="CC8" s="20">
        <v>195.7</v>
      </c>
      <c r="CD8" s="20">
        <v>0.4</v>
      </c>
      <c r="CE8" s="20">
        <v>195.03</v>
      </c>
      <c r="CF8" s="20">
        <v>41.7514</v>
      </c>
      <c r="CG8" s="30"/>
      <c r="CH8" s="30"/>
      <c r="CI8" s="30"/>
      <c r="CJ8" s="30"/>
      <c r="CK8" s="30"/>
      <c r="CL8" s="34">
        <v>325.8</v>
      </c>
      <c r="CM8" s="34">
        <f>246.7+282.7</f>
        <v>529.4</v>
      </c>
      <c r="CN8" s="34">
        <v>1.7</v>
      </c>
      <c r="CO8" s="34">
        <v>304.22</v>
      </c>
      <c r="CP8" s="34">
        <f>14.2738+78.9446</f>
        <v>93.2184</v>
      </c>
      <c r="CQ8" s="35">
        <v>635.7</v>
      </c>
      <c r="CR8" s="35">
        <v>0</v>
      </c>
      <c r="CS8" s="35">
        <v>2.3</v>
      </c>
      <c r="CT8" s="35">
        <v>441.13</v>
      </c>
      <c r="CU8" s="35">
        <v>194.0338</v>
      </c>
      <c r="CV8" s="38">
        <v>1807.7</v>
      </c>
      <c r="CW8" s="38">
        <v>236.7</v>
      </c>
      <c r="CX8" s="38">
        <v>1.6</v>
      </c>
      <c r="CY8" s="38">
        <v>243.36</v>
      </c>
      <c r="CZ8" s="38"/>
      <c r="DA8" s="40"/>
      <c r="DB8" s="40"/>
      <c r="DC8" s="40"/>
      <c r="DD8" s="40"/>
      <c r="DE8" s="40"/>
      <c r="DF8" s="4" t="s">
        <v>493</v>
      </c>
    </row>
    <row r="9" customHeight="1" spans="6:110">
      <c r="F9" s="1" t="s">
        <v>92</v>
      </c>
      <c r="G9" s="1" t="s">
        <v>93</v>
      </c>
      <c r="H9" s="1" t="s">
        <v>242</v>
      </c>
      <c r="I9" s="1" t="s">
        <v>494</v>
      </c>
      <c r="J9" s="6">
        <f>配装!C9</f>
        <v>0</v>
      </c>
      <c r="K9" s="10">
        <v>797</v>
      </c>
      <c r="L9" s="3"/>
      <c r="M9" s="3"/>
      <c r="N9" s="10"/>
      <c r="O9" s="10">
        <v>137</v>
      </c>
      <c r="P9" s="3"/>
      <c r="Q9" s="3">
        <v>0.1</v>
      </c>
      <c r="R9" s="3">
        <v>-0.1</v>
      </c>
      <c r="S9" s="3">
        <v>0.05</v>
      </c>
      <c r="T9" s="3">
        <v>0.5</v>
      </c>
      <c r="U9" s="3"/>
      <c r="V9" s="3">
        <v>-0.09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>
        <v>0</v>
      </c>
      <c r="AO9" s="3"/>
      <c r="AP9" s="3"/>
      <c r="AQ9" s="3"/>
      <c r="AR9" s="13">
        <v>40</v>
      </c>
      <c r="AX9" s="18">
        <f>163.6+204.1+115.1</f>
        <v>482.8</v>
      </c>
      <c r="AY9" s="18">
        <f>122.7+96.2+92.1</f>
        <v>311</v>
      </c>
      <c r="AZ9" s="18">
        <v>2.3</v>
      </c>
      <c r="BA9" s="18">
        <f>123.87+77.7+83.66</f>
        <v>285.23</v>
      </c>
      <c r="BB9" s="18">
        <f>23.861+18.725+17.9118</f>
        <v>60.4978</v>
      </c>
      <c r="BC9" s="20"/>
      <c r="BD9" s="20"/>
      <c r="BE9" s="20"/>
      <c r="BF9" s="20"/>
      <c r="BG9" s="20"/>
      <c r="BH9" s="21"/>
      <c r="BI9" s="21"/>
      <c r="BJ9" s="21"/>
      <c r="BK9" s="21"/>
      <c r="BL9" s="21"/>
      <c r="BM9" s="24">
        <v>186.3</v>
      </c>
      <c r="BN9" s="24">
        <v>168.7</v>
      </c>
      <c r="BO9" s="24">
        <v>0.7</v>
      </c>
      <c r="BP9" s="24">
        <v>53.33</v>
      </c>
      <c r="BQ9" s="24">
        <v>11.4276</v>
      </c>
      <c r="BR9" s="25">
        <v>60.6</v>
      </c>
      <c r="BS9" s="25">
        <v>60.6</v>
      </c>
      <c r="BT9" s="25"/>
      <c r="BU9" s="25">
        <v>55.03</v>
      </c>
      <c r="BV9" s="25">
        <v>11.7914</v>
      </c>
      <c r="BW9" s="28"/>
      <c r="BX9" s="28"/>
      <c r="BY9" s="28"/>
      <c r="BZ9" s="28"/>
      <c r="CA9" s="28"/>
      <c r="CB9" s="20">
        <v>407.2</v>
      </c>
      <c r="CC9" s="20">
        <v>330</v>
      </c>
      <c r="CD9" s="20">
        <v>2.2</v>
      </c>
      <c r="CE9" s="20">
        <v>304.66</v>
      </c>
      <c r="CF9" s="20">
        <v>85.6642</v>
      </c>
      <c r="CG9" s="30">
        <f>407.2+371.7</f>
        <v>778.9</v>
      </c>
      <c r="CH9" s="30">
        <f>330.1+321.1</f>
        <v>651.2</v>
      </c>
      <c r="CI9" s="30"/>
      <c r="CJ9" s="30">
        <f>304.66+286.25</f>
        <v>590.91</v>
      </c>
      <c r="CK9" s="30">
        <f>85.6642+74.686</f>
        <v>160.3502</v>
      </c>
      <c r="CL9" s="34">
        <v>207</v>
      </c>
      <c r="CM9" s="34">
        <f>271.3+170.4</f>
        <v>441.7</v>
      </c>
      <c r="CN9" s="34">
        <v>1.5</v>
      </c>
      <c r="CO9" s="34">
        <v>171.51</v>
      </c>
      <c r="CP9" s="34">
        <f>14.2738+47.401</f>
        <v>61.6748</v>
      </c>
      <c r="CQ9" s="35">
        <v>715.8</v>
      </c>
      <c r="CR9" s="35">
        <v>0</v>
      </c>
      <c r="CS9" s="35">
        <v>2.1</v>
      </c>
      <c r="CT9" s="35">
        <v>451.16</v>
      </c>
      <c r="CU9" s="35">
        <v>196.1738</v>
      </c>
      <c r="CV9" s="38">
        <v>1639.5</v>
      </c>
      <c r="CW9" s="38">
        <v>118.9</v>
      </c>
      <c r="CX9" s="38">
        <v>1.6</v>
      </c>
      <c r="CY9" s="38">
        <v>120.03</v>
      </c>
      <c r="CZ9" s="38"/>
      <c r="DA9" s="40"/>
      <c r="DB9" s="40"/>
      <c r="DC9" s="40"/>
      <c r="DD9" s="40"/>
      <c r="DE9" s="40"/>
      <c r="DF9" s="4" t="s">
        <v>495</v>
      </c>
    </row>
    <row r="10" customHeight="1" spans="6:110">
      <c r="F10" s="1" t="s">
        <v>99</v>
      </c>
      <c r="G10" s="1" t="s">
        <v>93</v>
      </c>
      <c r="H10" s="1" t="s">
        <v>231</v>
      </c>
      <c r="I10" s="1" t="s">
        <v>483</v>
      </c>
      <c r="J10" s="6">
        <f>配装!C10</f>
        <v>0</v>
      </c>
      <c r="K10" s="10">
        <v>758</v>
      </c>
      <c r="L10" s="3"/>
      <c r="M10" s="3"/>
      <c r="N10" s="10">
        <v>600</v>
      </c>
      <c r="O10" s="10">
        <v>138</v>
      </c>
      <c r="P10" s="3"/>
      <c r="Q10" s="3"/>
      <c r="R10" s="3">
        <f>-10%</f>
        <v>-0.1</v>
      </c>
      <c r="S10" s="3">
        <f t="shared" si="6"/>
        <v>0.05</v>
      </c>
      <c r="T10" s="3">
        <v>0.5</v>
      </c>
      <c r="U10" s="3"/>
      <c r="V10" s="3">
        <v>-0.07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>
        <f>60%</f>
        <v>0.6</v>
      </c>
      <c r="AL10" s="3"/>
      <c r="AM10" s="3"/>
      <c r="AN10" s="3">
        <v>0</v>
      </c>
      <c r="AO10" s="3">
        <f>20%</f>
        <v>0.2</v>
      </c>
      <c r="AP10" s="3"/>
      <c r="AQ10" s="3"/>
      <c r="AR10" s="13">
        <v>60</v>
      </c>
      <c r="AS10" s="14">
        <f>47.2+122.1+17.6*16</f>
        <v>450.9</v>
      </c>
      <c r="AT10" s="14">
        <f>23.6+82.2+11*16</f>
        <v>281.8</v>
      </c>
      <c r="AU10" s="14">
        <v>4.7</v>
      </c>
      <c r="AV10" s="14">
        <f>13.33*16</f>
        <v>213.28</v>
      </c>
      <c r="AW10" s="14">
        <f>4.601+18.618+2.8676*16</f>
        <v>69.1006</v>
      </c>
      <c r="AX10" s="18">
        <f>47.2+122.1+17.6*8</f>
        <v>310.1</v>
      </c>
      <c r="AY10" s="18">
        <f>23.6+82.2+11*8</f>
        <v>193.8</v>
      </c>
      <c r="AZ10" s="18">
        <v>3.5</v>
      </c>
      <c r="BA10" s="18">
        <f>13.33*8</f>
        <v>106.64</v>
      </c>
      <c r="BB10" s="18">
        <f>4.601+18.618+2.8676*8</f>
        <v>46.1598</v>
      </c>
      <c r="BC10" s="19">
        <f>448.7+394.4</f>
        <v>843.1</v>
      </c>
      <c r="BD10" s="19">
        <f>394.4+217.6</f>
        <v>612</v>
      </c>
      <c r="BE10" s="19">
        <v>3.1</v>
      </c>
      <c r="BF10" s="19">
        <f>190.13+152.14</f>
        <v>342.27</v>
      </c>
      <c r="BG10" s="19">
        <f>40.7028+32.5708</f>
        <v>73.2736</v>
      </c>
      <c r="BH10" s="21"/>
      <c r="BI10" s="21"/>
      <c r="BJ10" s="21"/>
      <c r="BK10" s="21"/>
      <c r="BL10" s="21"/>
      <c r="BM10" s="24">
        <v>284</v>
      </c>
      <c r="BN10" s="24">
        <v>190.4</v>
      </c>
      <c r="BO10" s="24">
        <v>1.6</v>
      </c>
      <c r="BP10" s="24">
        <v>121.66</v>
      </c>
      <c r="BQ10" s="24">
        <v>26.0438</v>
      </c>
      <c r="BR10" s="25">
        <v>133.9</v>
      </c>
      <c r="BS10" s="25">
        <v>133.9</v>
      </c>
      <c r="BT10" s="25">
        <v>1</v>
      </c>
      <c r="BU10" s="25">
        <v>121.66</v>
      </c>
      <c r="BV10" s="25">
        <v>26.0438</v>
      </c>
      <c r="BW10" s="28">
        <v>62.4</v>
      </c>
      <c r="BX10" s="28">
        <v>62.4</v>
      </c>
      <c r="BY10" s="28">
        <v>1.2</v>
      </c>
      <c r="BZ10" s="28">
        <v>56.68</v>
      </c>
      <c r="CA10" s="28">
        <v>12.1338</v>
      </c>
      <c r="CB10" s="20">
        <f>150.7+211+241</f>
        <v>602.7</v>
      </c>
      <c r="CC10" s="20">
        <f>111.1+155.5+177.7</f>
        <v>444.3</v>
      </c>
      <c r="CD10" s="20">
        <v>1.6</v>
      </c>
      <c r="CE10" s="20">
        <f>124.64+174.51+199.44</f>
        <v>498.59</v>
      </c>
      <c r="CF10" s="20">
        <f>31.8004+44.512+50.8678</f>
        <v>127.1802</v>
      </c>
      <c r="CG10" s="30">
        <f>150.7+211*2+241</f>
        <v>813.7</v>
      </c>
      <c r="CH10" s="30">
        <f>111.1+155.5*2+177.7</f>
        <v>599.8</v>
      </c>
      <c r="CI10" s="30">
        <v>1.9</v>
      </c>
      <c r="CJ10" s="30">
        <f>124.64+174.51*2+199.44</f>
        <v>673.1</v>
      </c>
      <c r="CK10" s="30">
        <f>31.8004+44.512*2+50.8678</f>
        <v>171.6922</v>
      </c>
      <c r="CL10" s="34">
        <v>376.4</v>
      </c>
      <c r="CM10" s="34">
        <f>249.3+279</f>
        <v>528.3</v>
      </c>
      <c r="CN10" s="34">
        <v>2.3</v>
      </c>
      <c r="CO10" s="34">
        <v>320.01</v>
      </c>
      <c r="CP10" s="34">
        <f>14.2738+35.3314</f>
        <v>49.6052</v>
      </c>
      <c r="CQ10" s="35">
        <v>647.9</v>
      </c>
      <c r="CR10" s="35">
        <v>0</v>
      </c>
      <c r="CS10" s="35">
        <v>1.8</v>
      </c>
      <c r="CT10" s="35">
        <v>389.46</v>
      </c>
      <c r="CU10" s="35">
        <v>182.97</v>
      </c>
      <c r="CV10" s="38">
        <v>1670.7</v>
      </c>
      <c r="CW10" s="38">
        <v>1097.1</v>
      </c>
      <c r="CX10" s="38">
        <v>1.9</v>
      </c>
      <c r="CY10" s="38">
        <v>215.03</v>
      </c>
      <c r="CZ10" s="38"/>
      <c r="DA10" s="40"/>
      <c r="DB10" s="40"/>
      <c r="DC10" s="40"/>
      <c r="DD10" s="40"/>
      <c r="DE10" s="40"/>
      <c r="DF10" s="4" t="s">
        <v>496</v>
      </c>
    </row>
    <row r="11" customHeight="1" spans="6:110">
      <c r="F11" s="1" t="s">
        <v>102</v>
      </c>
      <c r="G11" s="1" t="s">
        <v>93</v>
      </c>
      <c r="H11" s="1" t="s">
        <v>237</v>
      </c>
      <c r="I11" s="1" t="s">
        <v>485</v>
      </c>
      <c r="J11" s="6">
        <f>配装!C11</f>
        <v>0</v>
      </c>
      <c r="K11" s="10">
        <f>653+75</f>
        <v>728</v>
      </c>
      <c r="L11" s="3"/>
      <c r="M11" s="3"/>
      <c r="N11" s="10"/>
      <c r="O11" s="10">
        <f>119+18</f>
        <v>137</v>
      </c>
      <c r="P11" s="3"/>
      <c r="Q11" s="3"/>
      <c r="R11" s="3">
        <f>-10%</f>
        <v>-0.1</v>
      </c>
      <c r="S11" s="3">
        <f t="shared" si="6"/>
        <v>0.05</v>
      </c>
      <c r="T11" s="3">
        <v>0.5</v>
      </c>
      <c r="U11" s="3"/>
      <c r="V11" s="3">
        <v>-0.09</v>
      </c>
      <c r="W11" s="3"/>
      <c r="X11" s="3"/>
      <c r="Y11" s="3"/>
      <c r="Z11" s="3"/>
      <c r="AA11" s="3"/>
      <c r="AB11" s="3"/>
      <c r="AC11" s="3"/>
      <c r="AD11" s="3"/>
      <c r="AE11" s="3">
        <f>IF(J11&gt;=6,50%,0)</f>
        <v>0</v>
      </c>
      <c r="AF11" s="3"/>
      <c r="AG11" s="3"/>
      <c r="AH11" s="3"/>
      <c r="AI11" s="3">
        <f>IF(J11&gt;=6,50%,0)</f>
        <v>0</v>
      </c>
      <c r="AJ11" s="3"/>
      <c r="AK11" s="3"/>
      <c r="AL11" s="3"/>
      <c r="AM11" s="3"/>
      <c r="AN11" s="3">
        <v>0</v>
      </c>
      <c r="AO11" s="3">
        <v>0.8</v>
      </c>
      <c r="AP11" s="3"/>
      <c r="AQ11" s="3">
        <f>IF(J11&gt;=1,22%,0)</f>
        <v>0</v>
      </c>
      <c r="AR11" s="13">
        <v>40</v>
      </c>
      <c r="AS11" s="14"/>
      <c r="AT11" s="14"/>
      <c r="AU11" s="14"/>
      <c r="AV11" s="14"/>
      <c r="AW11" s="14"/>
      <c r="BC11" s="19">
        <f>37.1+56.4+99.5+210.9+335.7</f>
        <v>739.6</v>
      </c>
      <c r="BD11" s="19">
        <f>12.1+32.9+53.7+107.1+205.6</f>
        <v>411.4</v>
      </c>
      <c r="BE11" s="19">
        <v>4.2</v>
      </c>
      <c r="BF11" s="19">
        <f>11.48+31.28+51.13+101.98+195.75</f>
        <v>391.62</v>
      </c>
      <c r="BG11" s="19">
        <f>2.461+6.6982+10.9568+21.828+41.9012</f>
        <v>83.8452</v>
      </c>
      <c r="BH11" s="21"/>
      <c r="BI11" s="21"/>
      <c r="BJ11" s="21"/>
      <c r="BK11" s="21"/>
      <c r="BL11" s="21"/>
      <c r="BM11" s="24"/>
      <c r="BN11" s="24"/>
      <c r="BO11" s="24"/>
      <c r="BP11" s="24"/>
      <c r="BQ11" s="24"/>
      <c r="BR11" s="25">
        <v>71.8</v>
      </c>
      <c r="BS11" s="25">
        <v>71.8</v>
      </c>
      <c r="BT11" s="25">
        <v>0.4</v>
      </c>
      <c r="BU11" s="25">
        <v>60.03</v>
      </c>
      <c r="BV11" s="25">
        <v>12.8614</v>
      </c>
      <c r="BW11" s="28">
        <v>77.1</v>
      </c>
      <c r="BX11" s="28">
        <f>77.1</f>
        <v>77.1</v>
      </c>
      <c r="BY11" s="28">
        <v>1.1</v>
      </c>
      <c r="BZ11" s="28">
        <f>21.66+25.83</f>
        <v>47.49</v>
      </c>
      <c r="CA11" s="28">
        <f>4.6438+11.0638</f>
        <v>15.7076</v>
      </c>
      <c r="CB11" s="20">
        <v>534.3</v>
      </c>
      <c r="CC11" s="20">
        <f>450.4</f>
        <v>450.4</v>
      </c>
      <c r="CD11" s="20">
        <v>1.9</v>
      </c>
      <c r="CE11" s="20">
        <f>200.76+225.42</f>
        <v>426.18</v>
      </c>
      <c r="CF11" s="20">
        <f>54.356+60.2196</f>
        <v>114.5756</v>
      </c>
      <c r="CG11" s="30">
        <v>789.5</v>
      </c>
      <c r="CH11" s="30">
        <f>664.4</f>
        <v>664.4</v>
      </c>
      <c r="CI11" s="30">
        <v>2.6</v>
      </c>
      <c r="CJ11" s="30">
        <f>200.76+428.48</f>
        <v>629.24</v>
      </c>
      <c r="CK11" s="30">
        <f>54.356+115.1106</f>
        <v>169.4666</v>
      </c>
      <c r="CL11" s="34">
        <v>288.3</v>
      </c>
      <c r="CM11" s="34">
        <f>238+246.8</f>
        <v>484.8</v>
      </c>
      <c r="CN11" s="34">
        <v>1.7</v>
      </c>
      <c r="CO11" s="34">
        <v>254.76</v>
      </c>
      <c r="CP11" s="34">
        <f>14.2738+67.196</f>
        <v>81.4698</v>
      </c>
      <c r="CQ11" s="35">
        <v>637.8</v>
      </c>
      <c r="CR11" s="35">
        <v>0</v>
      </c>
      <c r="CS11" s="35">
        <v>1.9</v>
      </c>
      <c r="CT11" s="35">
        <v>407.86</v>
      </c>
      <c r="CU11" s="35">
        <v>186.9076</v>
      </c>
      <c r="CV11" s="38">
        <v>1694.1</v>
      </c>
      <c r="CW11" s="38">
        <v>1096.6</v>
      </c>
      <c r="CX11" s="38">
        <v>1.4</v>
      </c>
      <c r="CY11" s="38">
        <v>173.36</v>
      </c>
      <c r="CZ11" s="38"/>
      <c r="DA11" s="40"/>
      <c r="DB11" s="40"/>
      <c r="DC11" s="40"/>
      <c r="DD11" s="40"/>
      <c r="DE11" s="40"/>
      <c r="DF11" s="4" t="s">
        <v>497</v>
      </c>
    </row>
    <row r="12" customHeight="1" spans="6:110">
      <c r="F12" s="1" t="s">
        <v>105</v>
      </c>
      <c r="G12" s="1" t="s">
        <v>93</v>
      </c>
      <c r="H12" s="1" t="s">
        <v>242</v>
      </c>
      <c r="I12" s="1" t="s">
        <v>492</v>
      </c>
      <c r="J12" s="6">
        <f>配装!C12</f>
        <v>0</v>
      </c>
      <c r="K12" s="10">
        <f>660+75</f>
        <v>735</v>
      </c>
      <c r="L12" s="3"/>
      <c r="M12" s="3"/>
      <c r="N12" s="10"/>
      <c r="O12" s="10">
        <f>116+18</f>
        <v>134</v>
      </c>
      <c r="P12" s="3"/>
      <c r="Q12" s="3"/>
      <c r="R12" s="3">
        <f>-4%</f>
        <v>-0.04</v>
      </c>
      <c r="S12" s="3">
        <f t="shared" si="6"/>
        <v>0.05</v>
      </c>
      <c r="T12" s="3">
        <v>0.5</v>
      </c>
      <c r="U12" s="3"/>
      <c r="V12" s="3">
        <v>-0.03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>
        <v>0</v>
      </c>
      <c r="AO12" s="3"/>
      <c r="AP12" s="3">
        <v>0.6</v>
      </c>
      <c r="AQ12" s="3">
        <v>0.6</v>
      </c>
      <c r="AR12" s="13">
        <v>60</v>
      </c>
      <c r="AS12" s="14">
        <f>63.6+79.2+126.1+317.4</f>
        <v>586.3</v>
      </c>
      <c r="AT12" s="14">
        <f>31.8+65.5+104.3+249.3</f>
        <v>450.9</v>
      </c>
      <c r="AU12" s="14">
        <v>4.5</v>
      </c>
      <c r="AV12" s="14">
        <v>0</v>
      </c>
      <c r="AW12" s="14">
        <f>6.4842+13.3536+21.2502+50.825</f>
        <v>91.913</v>
      </c>
      <c r="AX12" s="18">
        <f>63.6+79.2+160.8+404.8</f>
        <v>708.4</v>
      </c>
      <c r="AY12" s="18">
        <f>31.8+65.5+61.4+156.6</f>
        <v>315.3</v>
      </c>
      <c r="AZ12" s="18">
        <v>3.7</v>
      </c>
      <c r="BA12" s="18">
        <f>44.35+149.08</f>
        <v>193.43</v>
      </c>
      <c r="BB12" s="18">
        <f>6.4842+13.3536+12.519+35.5026</f>
        <v>67.8594</v>
      </c>
      <c r="BC12" s="19"/>
      <c r="BD12" s="19"/>
      <c r="BE12" s="19"/>
      <c r="BF12" s="19"/>
      <c r="BG12" s="19"/>
      <c r="BH12" s="21"/>
      <c r="BI12" s="21"/>
      <c r="BJ12" s="21"/>
      <c r="BK12" s="21"/>
      <c r="BL12" s="21"/>
      <c r="BM12" s="24"/>
      <c r="BN12" s="24"/>
      <c r="BO12" s="24"/>
      <c r="BP12" s="24"/>
      <c r="BQ12" s="24"/>
      <c r="BR12" s="25">
        <v>197.8</v>
      </c>
      <c r="BS12" s="25">
        <v>197.8</v>
      </c>
      <c r="BT12" s="25">
        <v>0.8</v>
      </c>
      <c r="BU12" s="25">
        <v>0</v>
      </c>
      <c r="BV12" s="25">
        <v>37.45</v>
      </c>
      <c r="BW12" s="28">
        <v>77.8</v>
      </c>
      <c r="BX12" s="28">
        <v>77.8</v>
      </c>
      <c r="BY12" s="28">
        <v>0</v>
      </c>
      <c r="BZ12" s="28">
        <v>59.18</v>
      </c>
      <c r="CA12" s="28">
        <v>15.8574</v>
      </c>
      <c r="CB12" s="20">
        <f>152.3+606</f>
        <v>758.3</v>
      </c>
      <c r="CC12" s="20">
        <f>152.3+494</f>
        <v>646.3</v>
      </c>
      <c r="CD12" s="20">
        <v>2.1</v>
      </c>
      <c r="CE12" s="20">
        <v>476.12</v>
      </c>
      <c r="CF12" s="20">
        <f>31.03+133.0438</f>
        <v>164.0738</v>
      </c>
      <c r="CG12" s="30">
        <v>606</v>
      </c>
      <c r="CH12" s="30">
        <f>494</f>
        <v>494</v>
      </c>
      <c r="CI12" s="30">
        <v>0</v>
      </c>
      <c r="CJ12" s="30">
        <v>476.12</v>
      </c>
      <c r="CK12" s="30">
        <f>133.0438</f>
        <v>133.0438</v>
      </c>
      <c r="CL12" s="34">
        <v>359.2</v>
      </c>
      <c r="CM12" s="34">
        <f>238+312.7</f>
        <v>550.7</v>
      </c>
      <c r="CN12" s="34">
        <v>1.6</v>
      </c>
      <c r="CO12" s="34">
        <v>319.92</v>
      </c>
      <c r="CP12" s="34">
        <f>14.2738+82.6896</f>
        <v>96.9634</v>
      </c>
      <c r="CQ12" s="35">
        <v>636</v>
      </c>
      <c r="CR12" s="35">
        <v>0</v>
      </c>
      <c r="CS12" s="35">
        <v>1.8</v>
      </c>
      <c r="CT12" s="35">
        <v>406.13</v>
      </c>
      <c r="CU12" s="35">
        <v>186.5438</v>
      </c>
      <c r="CV12" s="38">
        <v>1548.8</v>
      </c>
      <c r="CW12" s="38">
        <v>1004.9</v>
      </c>
      <c r="CX12" s="38">
        <v>1.6</v>
      </c>
      <c r="CY12" s="38">
        <v>180.03</v>
      </c>
      <c r="CZ12" s="38"/>
      <c r="DA12" s="40"/>
      <c r="DB12" s="40"/>
      <c r="DC12" s="40"/>
      <c r="DD12" s="40"/>
      <c r="DE12" s="40"/>
      <c r="DF12" s="4" t="s">
        <v>498</v>
      </c>
    </row>
    <row r="13" customHeight="1" spans="6:110">
      <c r="F13" s="1" t="s">
        <v>107</v>
      </c>
      <c r="G13" s="1" t="s">
        <v>93</v>
      </c>
      <c r="H13" s="1" t="s">
        <v>242</v>
      </c>
      <c r="I13" s="1" t="s">
        <v>492</v>
      </c>
      <c r="J13" s="6">
        <f>配装!C13</f>
        <v>0</v>
      </c>
      <c r="K13" s="10">
        <f>660+75</f>
        <v>735</v>
      </c>
      <c r="L13" s="3"/>
      <c r="M13" s="3"/>
      <c r="N13" s="10"/>
      <c r="O13" s="10">
        <f>116+18</f>
        <v>134</v>
      </c>
      <c r="P13" s="3"/>
      <c r="Q13" s="3"/>
      <c r="R13" s="3">
        <f>-4%</f>
        <v>-0.04</v>
      </c>
      <c r="S13" s="3">
        <f t="shared" si="6"/>
        <v>0.05</v>
      </c>
      <c r="T13" s="3">
        <v>0.5</v>
      </c>
      <c r="U13" s="3"/>
      <c r="V13" s="3">
        <v>-0.03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>
        <v>0</v>
      </c>
      <c r="AO13" s="3"/>
      <c r="AP13" s="3">
        <v>0.6</v>
      </c>
      <c r="AQ13" s="3">
        <v>0.6</v>
      </c>
      <c r="AR13" s="13">
        <v>40</v>
      </c>
      <c r="AS13" s="14">
        <f>63.6+79.2+126.1+317.4</f>
        <v>586.3</v>
      </c>
      <c r="AT13" s="14">
        <f>31.8+65.5+104.3+249.3</f>
        <v>450.9</v>
      </c>
      <c r="AU13" s="14">
        <v>4.5</v>
      </c>
      <c r="AV13" s="14">
        <v>0</v>
      </c>
      <c r="AW13" s="14">
        <f>6.4842+13.3536+21.2502+50.825</f>
        <v>91.913</v>
      </c>
      <c r="AX13" s="18">
        <f>63.6+79.2+160.8+501.3</f>
        <v>804.9</v>
      </c>
      <c r="AY13" s="18">
        <f>31.8+65.5+61.4+213.3</f>
        <v>372</v>
      </c>
      <c r="AZ13" s="18">
        <v>4.5</v>
      </c>
      <c r="BA13" s="18">
        <f>44.35+186.29</f>
        <v>230.64</v>
      </c>
      <c r="BB13" s="18">
        <f>6.4842+13.3536+12.519+43.4634</f>
        <v>75.8202</v>
      </c>
      <c r="BC13" s="19"/>
      <c r="BD13" s="19"/>
      <c r="BE13" s="19"/>
      <c r="BF13" s="19"/>
      <c r="BG13" s="19"/>
      <c r="BH13" s="21"/>
      <c r="BI13" s="21"/>
      <c r="BJ13" s="21"/>
      <c r="BK13" s="21"/>
      <c r="BL13" s="21"/>
      <c r="BM13" s="24"/>
      <c r="BN13" s="24"/>
      <c r="BO13" s="24"/>
      <c r="BP13" s="24"/>
      <c r="BQ13" s="24"/>
      <c r="BR13" s="25">
        <v>197.8</v>
      </c>
      <c r="BS13" s="25">
        <v>197.8</v>
      </c>
      <c r="BT13" s="25">
        <v>0.8</v>
      </c>
      <c r="BU13" s="25">
        <v>0</v>
      </c>
      <c r="BV13" s="25">
        <v>37.45</v>
      </c>
      <c r="BW13" s="28">
        <v>85.5</v>
      </c>
      <c r="BX13" s="28">
        <v>77.8</v>
      </c>
      <c r="BY13" s="28">
        <v>0</v>
      </c>
      <c r="BZ13" s="28">
        <v>59.18</v>
      </c>
      <c r="CA13" s="28">
        <v>15.8574</v>
      </c>
      <c r="CB13" s="20">
        <f>152.3+666.6</f>
        <v>818.9</v>
      </c>
      <c r="CC13" s="20">
        <f>152.3+494</f>
        <v>646.3</v>
      </c>
      <c r="CD13" s="20">
        <v>2.1</v>
      </c>
      <c r="CE13" s="20">
        <v>476.12</v>
      </c>
      <c r="CF13" s="20">
        <f>31.03+133.0438</f>
        <v>164.0738</v>
      </c>
      <c r="CG13" s="30">
        <v>666.6</v>
      </c>
      <c r="CH13" s="30">
        <f>494</f>
        <v>494</v>
      </c>
      <c r="CI13" s="30">
        <v>0</v>
      </c>
      <c r="CJ13" s="30">
        <v>476.12</v>
      </c>
      <c r="CK13" s="30">
        <f>133.0438</f>
        <v>133.0438</v>
      </c>
      <c r="CL13" s="34">
        <v>359.2</v>
      </c>
      <c r="CM13" s="34">
        <f>238+312.7</f>
        <v>550.7</v>
      </c>
      <c r="CN13" s="34">
        <v>1.6</v>
      </c>
      <c r="CO13" s="34">
        <v>319.92</v>
      </c>
      <c r="CP13" s="34">
        <f>14.2738+82.6896</f>
        <v>96.9634</v>
      </c>
      <c r="CQ13" s="35">
        <v>636</v>
      </c>
      <c r="CR13" s="35">
        <v>0</v>
      </c>
      <c r="CS13" s="35">
        <v>1.8</v>
      </c>
      <c r="CT13" s="35">
        <v>406.13</v>
      </c>
      <c r="CU13" s="35">
        <v>186.5438</v>
      </c>
      <c r="CV13" s="38">
        <v>1694</v>
      </c>
      <c r="CW13" s="38">
        <v>1096.5</v>
      </c>
      <c r="CX13" s="38">
        <v>1.3</v>
      </c>
      <c r="CY13" s="38">
        <v>190.66</v>
      </c>
      <c r="CZ13" s="38"/>
      <c r="DA13" s="40"/>
      <c r="DB13" s="40"/>
      <c r="DC13" s="40"/>
      <c r="DD13" s="40"/>
      <c r="DE13" s="40"/>
      <c r="DF13" s="4" t="s">
        <v>498</v>
      </c>
    </row>
    <row r="14" customHeight="1" spans="6:110">
      <c r="F14" s="1" t="s">
        <v>108</v>
      </c>
      <c r="G14" s="1" t="s">
        <v>93</v>
      </c>
      <c r="H14" s="1" t="s">
        <v>231</v>
      </c>
      <c r="I14" s="1" t="s">
        <v>487</v>
      </c>
      <c r="J14" s="6">
        <f>配装!C14</f>
        <v>2</v>
      </c>
      <c r="K14" s="10">
        <v>659</v>
      </c>
      <c r="L14" s="3"/>
      <c r="M14" s="3"/>
      <c r="N14" s="10"/>
      <c r="O14" s="10">
        <f>118+18</f>
        <v>136</v>
      </c>
      <c r="P14" s="3"/>
      <c r="Q14" s="3"/>
      <c r="R14" s="3">
        <f>-7%</f>
        <v>-0.07</v>
      </c>
      <c r="S14" s="3">
        <f t="shared" si="6"/>
        <v>0.05</v>
      </c>
      <c r="T14" s="3">
        <v>0.5</v>
      </c>
      <c r="U14" s="3"/>
      <c r="V14" s="3">
        <v>-0.06</v>
      </c>
      <c r="W14" s="3"/>
      <c r="X14" s="3"/>
      <c r="Y14" s="3"/>
      <c r="Z14" s="3"/>
      <c r="AA14" s="3"/>
      <c r="AB14" s="3">
        <f>IF(J14&gt;=1,12%,0)</f>
        <v>0.12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>
        <v>0</v>
      </c>
      <c r="AO14" s="3"/>
      <c r="AP14" s="3">
        <f>64%</f>
        <v>0.64</v>
      </c>
      <c r="AQ14" s="3">
        <f>64%+10%</f>
        <v>0.74</v>
      </c>
      <c r="AR14" s="13">
        <v>60</v>
      </c>
      <c r="AS14" s="14">
        <f>31.2+33.7+113.6</f>
        <v>178.5</v>
      </c>
      <c r="AT14" s="14">
        <f>15.6+28.7+89.6</f>
        <v>133.9</v>
      </c>
      <c r="AU14" s="14">
        <v>1.6</v>
      </c>
      <c r="AV14" s="14">
        <v>0</v>
      </c>
      <c r="AW14" s="14">
        <f>3.3384+6.1418+19.1744</f>
        <v>28.6546</v>
      </c>
      <c r="AX14" s="18">
        <f>328.6</f>
        <v>328.6</v>
      </c>
      <c r="AY14" s="18">
        <f>142.4</f>
        <v>142.4</v>
      </c>
      <c r="AZ14" s="18">
        <v>1.2</v>
      </c>
      <c r="BA14" s="18">
        <v>127.5</v>
      </c>
      <c r="BB14" s="18">
        <v>30.4736</v>
      </c>
      <c r="BC14" s="19"/>
      <c r="BD14" s="19"/>
      <c r="BE14" s="19"/>
      <c r="BF14" s="19"/>
      <c r="BG14" s="19"/>
      <c r="BH14" s="21"/>
      <c r="BI14" s="21"/>
      <c r="BJ14" s="21"/>
      <c r="BK14" s="21"/>
      <c r="BL14" s="21"/>
      <c r="BM14" s="24"/>
      <c r="BN14" s="24"/>
      <c r="BO14" s="24"/>
      <c r="BP14" s="24"/>
      <c r="BQ14" s="24"/>
      <c r="BR14" s="25">
        <v>61.7</v>
      </c>
      <c r="BS14" s="25">
        <v>61.7</v>
      </c>
      <c r="BT14" s="25">
        <v>0.8</v>
      </c>
      <c r="BU14" s="25">
        <v>61.63</v>
      </c>
      <c r="BV14" s="25">
        <v>13.2038</v>
      </c>
      <c r="BW14" s="28">
        <v>93.4</v>
      </c>
      <c r="BX14" s="28">
        <f>93.4*1.64</f>
        <v>153.176</v>
      </c>
      <c r="BY14" s="28">
        <v>0.8</v>
      </c>
      <c r="BZ14" s="28">
        <v>93.3</v>
      </c>
      <c r="CA14" s="28">
        <v>19.9876</v>
      </c>
      <c r="CB14" s="20">
        <v>583</v>
      </c>
      <c r="CC14" s="20">
        <f>481.8</f>
        <v>481.8</v>
      </c>
      <c r="CD14" s="20">
        <v>1.8</v>
      </c>
      <c r="CE14" s="20">
        <v>532.37</v>
      </c>
      <c r="CF14" s="20">
        <v>146.4188</v>
      </c>
      <c r="CG14" s="30">
        <v>583</v>
      </c>
      <c r="CH14" s="30">
        <f>481.8*1.64</f>
        <v>790.152</v>
      </c>
      <c r="CI14" s="30">
        <v>1.5</v>
      </c>
      <c r="CJ14" s="30">
        <v>532.37</v>
      </c>
      <c r="CK14" s="30">
        <v>146.4188</v>
      </c>
      <c r="CL14" s="34">
        <v>335.2</v>
      </c>
      <c r="CM14" s="34">
        <f>226.7+291.4</f>
        <v>518.1</v>
      </c>
      <c r="CN14" s="34">
        <v>1.9</v>
      </c>
      <c r="CO14" s="34">
        <v>313.22</v>
      </c>
      <c r="CP14" s="34">
        <f>14.2738+81.0846</f>
        <v>95.3584</v>
      </c>
      <c r="CQ14" s="35">
        <v>542.4</v>
      </c>
      <c r="CR14" s="35">
        <v>0</v>
      </c>
      <c r="CS14" s="35">
        <v>1</v>
      </c>
      <c r="CT14" s="35">
        <v>342.83</v>
      </c>
      <c r="CU14" s="35">
        <v>172.9976</v>
      </c>
      <c r="CV14" s="38">
        <v>1512.6</v>
      </c>
      <c r="CW14" s="38">
        <v>991.6</v>
      </c>
      <c r="CX14" s="38">
        <v>2</v>
      </c>
      <c r="CY14" s="38">
        <v>210.03</v>
      </c>
      <c r="CZ14" s="38"/>
      <c r="DA14" s="40"/>
      <c r="DB14" s="40"/>
      <c r="DC14" s="40"/>
      <c r="DD14" s="40"/>
      <c r="DE14" s="40"/>
      <c r="DF14" s="4" t="s">
        <v>499</v>
      </c>
    </row>
    <row r="15" customHeight="1" spans="6:111">
      <c r="F15" s="1" t="s">
        <v>27</v>
      </c>
      <c r="G15" s="1" t="s">
        <v>111</v>
      </c>
      <c r="H15" s="1" t="s">
        <v>237</v>
      </c>
      <c r="I15" s="1" t="s">
        <v>500</v>
      </c>
      <c r="J15" s="6">
        <f>配装!C15</f>
        <v>0</v>
      </c>
      <c r="K15" s="10">
        <v>881</v>
      </c>
      <c r="L15" s="3"/>
      <c r="M15" s="3"/>
      <c r="N15" s="10"/>
      <c r="O15" s="10">
        <v>86</v>
      </c>
      <c r="P15" s="3"/>
      <c r="Q15" s="3"/>
      <c r="R15" s="3">
        <v>0.18</v>
      </c>
      <c r="S15" s="3">
        <f>5%+IF($J15&gt;1,15%,0)</f>
        <v>0.05</v>
      </c>
      <c r="T15" s="3">
        <v>0.5</v>
      </c>
      <c r="U15" s="3"/>
      <c r="V15" s="3">
        <v>0.52</v>
      </c>
      <c r="W15" s="3">
        <f>IFERROR($DG15*0.6,0)</f>
        <v>0.486</v>
      </c>
      <c r="X15" s="3">
        <f>IFERROR($DG15*0.6,0)</f>
        <v>0.486</v>
      </c>
      <c r="Y15" s="3">
        <f>IFERROR($DG15*0.6,0)</f>
        <v>0.486</v>
      </c>
      <c r="Z15" s="3">
        <f>IFERROR($DG15*0.6,0)</f>
        <v>0.486</v>
      </c>
      <c r="AA15" s="3"/>
      <c r="AB15" s="3"/>
      <c r="AC15" s="3">
        <f>IF($J15&gt;1,20%,0)</f>
        <v>0</v>
      </c>
      <c r="AD15" s="3">
        <v>0.5</v>
      </c>
      <c r="AE15" s="3">
        <f>50%+IF($J15&gt;5,30%,0)</f>
        <v>0.5</v>
      </c>
      <c r="AF15" s="3"/>
      <c r="AG15" s="3"/>
      <c r="AH15" s="3"/>
      <c r="AI15" s="3"/>
      <c r="AJ15" s="3"/>
      <c r="AK15" s="3"/>
      <c r="AL15" s="3"/>
      <c r="AM15" s="3">
        <f>IF($J15&gt;3,15%,0)</f>
        <v>0</v>
      </c>
      <c r="AN15" s="3">
        <v>0</v>
      </c>
      <c r="AO15" s="3"/>
      <c r="AP15" s="3"/>
      <c r="AQ15" s="3"/>
      <c r="AR15" s="13">
        <v>40</v>
      </c>
      <c r="AS15" s="14">
        <f>26.9+30.7+67.1+104.2+160.9</f>
        <v>389.8</v>
      </c>
      <c r="AT15" s="14">
        <f>13.5+26.9+46.4+82.1+131</f>
        <v>299.9</v>
      </c>
      <c r="AU15" s="15">
        <v>2.7</v>
      </c>
      <c r="AV15" s="14">
        <f>62.9+91.21+129.27</f>
        <v>283.38</v>
      </c>
      <c r="AW15" s="14">
        <f>2.6322+5.243+9.0308+15.9644+25.4874</f>
        <v>58.3578</v>
      </c>
      <c r="AX15" s="18">
        <v>2021.3</v>
      </c>
      <c r="AY15" s="18">
        <v>412.5</v>
      </c>
      <c r="AZ15" s="15">
        <v>3.5</v>
      </c>
      <c r="BA15" s="18">
        <v>416.66</v>
      </c>
      <c r="BB15" s="18">
        <v>89.1738</v>
      </c>
      <c r="BC15" s="19"/>
      <c r="BD15" s="19"/>
      <c r="BE15" s="15"/>
      <c r="BF15" s="19"/>
      <c r="BG15" s="19"/>
      <c r="BH15" s="21"/>
      <c r="BI15" s="21"/>
      <c r="BJ15" s="21"/>
      <c r="BK15" s="21"/>
      <c r="BL15" s="21"/>
      <c r="BM15" s="24"/>
      <c r="BN15" s="24"/>
      <c r="BO15" s="24"/>
      <c r="BP15" s="24"/>
      <c r="BQ15" s="24"/>
      <c r="BR15" s="25">
        <v>104.5</v>
      </c>
      <c r="BS15" s="25">
        <v>104.5</v>
      </c>
      <c r="BT15" s="25"/>
      <c r="BU15" s="25">
        <v>94.99</v>
      </c>
      <c r="BV15" s="25">
        <v>20.33</v>
      </c>
      <c r="BW15" s="28"/>
      <c r="BX15" s="28"/>
      <c r="BY15" s="28"/>
      <c r="BZ15" s="28"/>
      <c r="CA15" s="28"/>
      <c r="CB15" s="20">
        <v>398.5</v>
      </c>
      <c r="CC15" s="20">
        <v>326.4</v>
      </c>
      <c r="CD15" s="20">
        <v>0.9</v>
      </c>
      <c r="CE15" s="31">
        <v>159.53</v>
      </c>
      <c r="CF15" s="20">
        <v>36.6154</v>
      </c>
      <c r="CG15" s="30">
        <v>472.9</v>
      </c>
      <c r="CH15" s="30">
        <v>395.5</v>
      </c>
      <c r="CI15" s="30">
        <v>1.7</v>
      </c>
      <c r="CJ15" s="30">
        <v>185.63</v>
      </c>
      <c r="CK15" s="30">
        <v>42.8214</v>
      </c>
      <c r="CL15" s="34">
        <v>337.8</v>
      </c>
      <c r="CM15" s="34">
        <f>271.3+291.9</f>
        <v>563.2</v>
      </c>
      <c r="CN15" s="34"/>
      <c r="CO15" s="34">
        <v>286.17</v>
      </c>
      <c r="CP15" s="34">
        <v>74.6646</v>
      </c>
      <c r="CQ15" s="35">
        <v>585.7</v>
      </c>
      <c r="CR15" s="35">
        <v>0</v>
      </c>
      <c r="CS15" s="35">
        <v>1.8</v>
      </c>
      <c r="CT15" s="35">
        <v>99.84</v>
      </c>
      <c r="CU15" s="35">
        <v>51.253</v>
      </c>
      <c r="CV15" s="38">
        <v>2663</v>
      </c>
      <c r="CW15" s="38">
        <v>370.4</v>
      </c>
      <c r="CX15" s="38">
        <v>2.8</v>
      </c>
      <c r="CY15" s="38">
        <v>1137.16</v>
      </c>
      <c r="CZ15" s="38"/>
      <c r="DA15" s="40">
        <f>2000/1.909</f>
        <v>1047.66893661603</v>
      </c>
      <c r="DB15" s="40">
        <v>0</v>
      </c>
      <c r="DC15" s="40">
        <v>0</v>
      </c>
      <c r="DD15" s="40">
        <v>0</v>
      </c>
      <c r="DE15" s="40">
        <v>0</v>
      </c>
      <c r="DF15" s="4" t="s">
        <v>501</v>
      </c>
      <c r="DG15" s="1">
        <f>INDEX(云配队!$B$6:$B$8,MATCH("雅",云配队!$F$6:$F$8,0))</f>
        <v>0.81</v>
      </c>
    </row>
    <row r="16" customHeight="1" spans="6:110">
      <c r="F16" s="1" t="s">
        <v>29</v>
      </c>
      <c r="G16" s="1" t="s">
        <v>111</v>
      </c>
      <c r="H16" s="1" t="s">
        <v>231</v>
      </c>
      <c r="I16" s="1" t="s">
        <v>500</v>
      </c>
      <c r="J16" s="6">
        <f>配装!C16</f>
        <v>0</v>
      </c>
      <c r="K16" s="10">
        <v>872</v>
      </c>
      <c r="L16" s="3"/>
      <c r="M16" s="3"/>
      <c r="N16" s="10"/>
      <c r="O16" s="10">
        <v>86</v>
      </c>
      <c r="P16" s="3"/>
      <c r="Q16" s="3"/>
      <c r="R16" s="3">
        <f>14%+IF($J16&gt;0,80%,0)</f>
        <v>0.14</v>
      </c>
      <c r="S16" s="3">
        <v>0.05</v>
      </c>
      <c r="T16" s="3">
        <v>0.5</v>
      </c>
      <c r="U16" s="3">
        <v>0.1</v>
      </c>
      <c r="V16" s="3">
        <f>12%+36%</f>
        <v>0.48</v>
      </c>
      <c r="W16" s="3">
        <v>0.45</v>
      </c>
      <c r="X16" s="3"/>
      <c r="Y16" s="3"/>
      <c r="Z16" s="3"/>
      <c r="AA16" s="3"/>
      <c r="AB16" s="3"/>
      <c r="AC16" s="3">
        <v>0.3</v>
      </c>
      <c r="AD16" s="3">
        <v>0.3</v>
      </c>
      <c r="AE16" s="3">
        <v>0.3</v>
      </c>
      <c r="AF16" s="3">
        <v>0.3</v>
      </c>
      <c r="AG16" s="3">
        <v>0.3</v>
      </c>
      <c r="AH16" s="3">
        <v>0.3</v>
      </c>
      <c r="AI16" s="3">
        <f>30%+IF($J16&gt;5,20%,0)</f>
        <v>0.3</v>
      </c>
      <c r="AJ16" s="3">
        <v>0.3</v>
      </c>
      <c r="AK16" s="3">
        <v>0.3</v>
      </c>
      <c r="AL16" s="3">
        <v>0.3</v>
      </c>
      <c r="AM16" s="3"/>
      <c r="AN16" s="3">
        <f>AI16</f>
        <v>0.3</v>
      </c>
      <c r="AO16" s="3"/>
      <c r="AP16" s="3"/>
      <c r="AQ16" s="3"/>
      <c r="AR16" s="13">
        <v>40</v>
      </c>
      <c r="AS16" s="14">
        <f>113.1+126.6+236.9</f>
        <v>476.6</v>
      </c>
      <c r="AT16" s="14">
        <f>69.4+77.6+145.2</f>
        <v>292.2</v>
      </c>
      <c r="AU16" s="14">
        <v>3.2</v>
      </c>
      <c r="AV16" s="14">
        <f>79.91+89.42+167.35</f>
        <v>336.68</v>
      </c>
      <c r="AW16" s="14">
        <f>13.5034+15.1084+28.248</f>
        <v>56.8598</v>
      </c>
      <c r="AX16" s="18">
        <f>72.8+107.7+271.8</f>
        <v>452.3</v>
      </c>
      <c r="AY16" s="18">
        <f>44.6+66.1+166.7</f>
        <v>277.4</v>
      </c>
      <c r="AZ16" s="18">
        <v>2.6</v>
      </c>
      <c r="BA16" s="18">
        <f>51.38+76.07+192.04</f>
        <v>319.49</v>
      </c>
      <c r="BB16" s="18">
        <f>8.6884+12.8614+32.421</f>
        <v>53.9708</v>
      </c>
      <c r="BC16" s="19"/>
      <c r="BD16" s="19"/>
      <c r="BE16" s="19"/>
      <c r="BF16" s="19"/>
      <c r="BG16" s="19"/>
      <c r="BH16" s="21"/>
      <c r="BI16" s="21"/>
      <c r="BJ16" s="21"/>
      <c r="BK16" s="21"/>
      <c r="BL16" s="21"/>
      <c r="BM16" s="24">
        <v>231.6</v>
      </c>
      <c r="BN16" s="24">
        <v>183.2</v>
      </c>
      <c r="BO16" s="24">
        <v>1</v>
      </c>
      <c r="BP16" s="26">
        <v>76.52</v>
      </c>
      <c r="BQ16" s="24">
        <v>16.3924</v>
      </c>
      <c r="BR16" s="25">
        <v>93.6</v>
      </c>
      <c r="BS16" s="25">
        <v>84.2</v>
      </c>
      <c r="BT16" s="25">
        <v>0.8</v>
      </c>
      <c r="BU16" s="25">
        <v>76.52</v>
      </c>
      <c r="BV16" s="25">
        <v>16.3924</v>
      </c>
      <c r="BW16" s="28">
        <v>117.4</v>
      </c>
      <c r="BX16" s="28">
        <v>105.7</v>
      </c>
      <c r="BY16" s="28">
        <v>0.4</v>
      </c>
      <c r="BZ16" s="28">
        <v>96</v>
      </c>
      <c r="CA16" s="28">
        <v>20.5654</v>
      </c>
      <c r="CB16" s="20">
        <f>163.8+377.8</f>
        <v>541.6</v>
      </c>
      <c r="CC16" s="20">
        <f>127.1+109.6</f>
        <v>236.7</v>
      </c>
      <c r="CD16" s="20">
        <v>1.3</v>
      </c>
      <c r="CE16" s="20">
        <f>143.5*IF($J16&gt;1,115.36%,1)+268.54</f>
        <v>412.04</v>
      </c>
      <c r="CF16" s="20">
        <f>32.635+59.4064</f>
        <v>92.0414</v>
      </c>
      <c r="CG16" s="30">
        <f>163.8*3+377.8</f>
        <v>869.2</v>
      </c>
      <c r="CH16" s="30">
        <f>127.1*3+109.6</f>
        <v>490.9</v>
      </c>
      <c r="CI16" s="30">
        <v>2.6</v>
      </c>
      <c r="CJ16" s="30">
        <f>143.5*3*IF($J16&gt;1,115.36%,1)+268.54</f>
        <v>699.04</v>
      </c>
      <c r="CK16" s="30">
        <f>32.635*3+59.4064</f>
        <v>157.3114</v>
      </c>
      <c r="CL16" s="34">
        <v>407.1</v>
      </c>
      <c r="CM16" s="34">
        <f>244.2+320.6</f>
        <v>564.8</v>
      </c>
      <c r="CN16" s="34">
        <v>3</v>
      </c>
      <c r="CO16" s="34">
        <v>312.23</v>
      </c>
      <c r="CP16" s="34">
        <v>80.2072</v>
      </c>
      <c r="CQ16" s="35">
        <v>593.1</v>
      </c>
      <c r="CR16" s="35">
        <v>0</v>
      </c>
      <c r="CS16" s="35">
        <v>2.2</v>
      </c>
      <c r="CT16" s="35">
        <v>359.58</v>
      </c>
      <c r="CU16" s="39">
        <v>166.6204</v>
      </c>
      <c r="CV16" s="38">
        <v>1511.8</v>
      </c>
      <c r="CW16" s="38">
        <v>97.5</v>
      </c>
      <c r="CX16" s="38">
        <v>2.5</v>
      </c>
      <c r="CY16" s="38">
        <v>904.39</v>
      </c>
      <c r="CZ16" s="38"/>
      <c r="DA16" s="40"/>
      <c r="DB16" s="40"/>
      <c r="DC16" s="40"/>
      <c r="DD16" s="40"/>
      <c r="DE16" s="40"/>
      <c r="DF16" s="41" t="s">
        <v>502</v>
      </c>
    </row>
    <row r="17" customHeight="1" spans="6:110">
      <c r="F17" s="1" t="s">
        <v>116</v>
      </c>
      <c r="G17" s="1" t="s">
        <v>111</v>
      </c>
      <c r="H17" s="1" t="s">
        <v>242</v>
      </c>
      <c r="I17" s="1" t="s">
        <v>494</v>
      </c>
      <c r="J17" s="6">
        <f>配装!C17</f>
        <v>0</v>
      </c>
      <c r="K17" s="10">
        <v>863</v>
      </c>
      <c r="L17" s="3"/>
      <c r="M17" s="3"/>
      <c r="N17" s="10"/>
      <c r="O17" s="10">
        <v>83</v>
      </c>
      <c r="P17" s="3"/>
      <c r="Q17" s="3"/>
      <c r="R17" s="3">
        <v>0.2</v>
      </c>
      <c r="S17" s="3">
        <f>5%</f>
        <v>0.05</v>
      </c>
      <c r="T17" s="3">
        <v>0.5</v>
      </c>
      <c r="U17" s="3"/>
      <c r="V17" s="3">
        <v>0.18</v>
      </c>
      <c r="W17" s="3"/>
      <c r="X17" s="3">
        <v>0.65</v>
      </c>
      <c r="Y17" s="3">
        <f>65%+IF(J17&gt;=1,25%,0)</f>
        <v>0.65</v>
      </c>
      <c r="Z17" s="3"/>
      <c r="AA17" s="3">
        <v>0.36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>
        <v>0.3</v>
      </c>
      <c r="AN17" s="3">
        <v>0.3</v>
      </c>
      <c r="AO17" s="3"/>
      <c r="AP17" s="3"/>
      <c r="AQ17" s="3"/>
      <c r="AR17" s="13">
        <f>40+10</f>
        <v>50</v>
      </c>
      <c r="AS17" s="14">
        <f>44.8+43.5+71.7+66.6+96.3</f>
        <v>322.9</v>
      </c>
      <c r="AT17" s="14">
        <f>18.7+30.8+47.8+30.4+52</f>
        <v>179.7</v>
      </c>
      <c r="AU17" s="14">
        <v>3.5</v>
      </c>
      <c r="AV17" s="14">
        <f>16.94+43.37+27.54+47.19</f>
        <v>135.04</v>
      </c>
      <c r="AW17" s="14">
        <f>3.638+5.992+9.2876+5.9064+10.1008</f>
        <v>34.9248</v>
      </c>
      <c r="AX17" s="18"/>
      <c r="AY17" s="18"/>
      <c r="AZ17" s="18"/>
      <c r="BA17" s="18"/>
      <c r="BB17" s="18"/>
      <c r="BC17" s="19">
        <f>125.4+232.8</f>
        <v>358.2</v>
      </c>
      <c r="BD17" s="19">
        <f>96.5+179.1</f>
        <v>275.6</v>
      </c>
      <c r="BE17" s="19">
        <v>1.9</v>
      </c>
      <c r="BF17" s="19">
        <f>35.98+171.11</f>
        <v>207.09</v>
      </c>
      <c r="BG17" s="19">
        <f>18.7678+34.8392</f>
        <v>53.607</v>
      </c>
      <c r="BH17" s="21">
        <v>67.9</v>
      </c>
      <c r="BI17" s="21">
        <v>34</v>
      </c>
      <c r="BJ17" s="21">
        <v>0.8</v>
      </c>
      <c r="BK17" s="21">
        <v>30.83</v>
      </c>
      <c r="BL17" s="21">
        <v>6.6126</v>
      </c>
      <c r="BM17" s="24"/>
      <c r="BN17" s="24"/>
      <c r="BO17" s="24"/>
      <c r="BP17" s="24"/>
      <c r="BQ17" s="24"/>
      <c r="BR17" s="25">
        <v>84.4</v>
      </c>
      <c r="BS17" s="25">
        <v>84.4</v>
      </c>
      <c r="BT17" s="25">
        <v>0.6</v>
      </c>
      <c r="BU17" s="25">
        <v>76.66</v>
      </c>
      <c r="BV17" s="25">
        <v>16.4138</v>
      </c>
      <c r="BW17" s="28">
        <f>543.8/2.5</f>
        <v>217.52</v>
      </c>
      <c r="BX17" s="28">
        <f>378.6/2.5</f>
        <v>151.44</v>
      </c>
      <c r="BY17" s="28">
        <v>1</v>
      </c>
      <c r="BZ17" s="28">
        <f>411.1/2.5</f>
        <v>164.44</v>
      </c>
      <c r="CA17" s="28">
        <f>106.4222/2.5</f>
        <v>42.56888</v>
      </c>
      <c r="CB17" s="20">
        <f>958.1/2</f>
        <v>479.05</v>
      </c>
      <c r="CC17" s="20">
        <f>585.7/2</f>
        <v>292.85</v>
      </c>
      <c r="CD17" s="20">
        <v>1</v>
      </c>
      <c r="CE17" s="20">
        <f>530.24/2</f>
        <v>265.12</v>
      </c>
      <c r="CF17" s="20">
        <f>143.166/2</f>
        <v>71.583</v>
      </c>
      <c r="CG17" s="30">
        <v>287.1</v>
      </c>
      <c r="CH17" s="30">
        <v>207.8</v>
      </c>
      <c r="CI17" s="30">
        <v>0.8</v>
      </c>
      <c r="CJ17" s="30">
        <v>183.65</v>
      </c>
      <c r="CK17" s="30">
        <v>46.973</v>
      </c>
      <c r="CL17" s="34">
        <v>327.6</v>
      </c>
      <c r="CM17" s="34">
        <f>271.3+282.4</f>
        <v>553.7</v>
      </c>
      <c r="CN17" s="34">
        <v>2.2</v>
      </c>
      <c r="CO17" s="34">
        <v>277.22</v>
      </c>
      <c r="CP17" s="34">
        <f>14.2738+72.5246</f>
        <v>86.7984</v>
      </c>
      <c r="CQ17" s="35">
        <v>680.9</v>
      </c>
      <c r="CR17" s="35">
        <v>0</v>
      </c>
      <c r="CS17" s="35">
        <v>1.6</v>
      </c>
      <c r="CT17" s="35">
        <v>1002.96</v>
      </c>
      <c r="CU17" s="35">
        <v>189.39</v>
      </c>
      <c r="CV17" s="38">
        <v>2012.2</v>
      </c>
      <c r="CW17" s="38">
        <v>106.4</v>
      </c>
      <c r="CX17" s="38">
        <v>0.7</v>
      </c>
      <c r="CY17" s="38">
        <v>861.16</v>
      </c>
      <c r="CZ17" s="38"/>
      <c r="DA17" s="40">
        <f>(350+IF(J17&gt;=1,100,0))/1.909</f>
        <v>183.342063907805</v>
      </c>
      <c r="DB17" s="40">
        <v>0</v>
      </c>
      <c r="DC17" s="40">
        <v>0</v>
      </c>
      <c r="DD17" s="40">
        <f>60</f>
        <v>60</v>
      </c>
      <c r="DE17" s="40">
        <v>0</v>
      </c>
      <c r="DF17" s="4" t="s">
        <v>503</v>
      </c>
    </row>
    <row r="18" customHeight="1" spans="6:110">
      <c r="F18" s="1" t="s">
        <v>119</v>
      </c>
      <c r="G18" s="1" t="s">
        <v>111</v>
      </c>
      <c r="H18" s="1" t="s">
        <v>226</v>
      </c>
      <c r="I18" s="1" t="s">
        <v>483</v>
      </c>
      <c r="J18" s="6">
        <f>配装!C18</f>
        <v>0</v>
      </c>
      <c r="K18" s="10">
        <f>750+75</f>
        <v>825</v>
      </c>
      <c r="L18" s="3"/>
      <c r="M18" s="3"/>
      <c r="N18" s="10"/>
      <c r="O18" s="10">
        <v>83</v>
      </c>
      <c r="P18" s="3"/>
      <c r="Q18" s="3"/>
      <c r="R18" s="3">
        <f>14%</f>
        <v>0.14</v>
      </c>
      <c r="S18" s="3">
        <f>5%</f>
        <v>0.05</v>
      </c>
      <c r="T18" s="3">
        <v>0.5</v>
      </c>
      <c r="U18" s="3"/>
      <c r="V18" s="3">
        <v>0.5</v>
      </c>
      <c r="W18" s="3">
        <v>0.35</v>
      </c>
      <c r="X18" s="3">
        <v>0.35</v>
      </c>
      <c r="Y18" s="3">
        <v>0.35</v>
      </c>
      <c r="Z18" s="3">
        <v>0.35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>
        <v>0</v>
      </c>
      <c r="AO18" s="3"/>
      <c r="AP18" s="3"/>
      <c r="AQ18" s="3"/>
      <c r="AR18" s="13">
        <v>60</v>
      </c>
      <c r="AS18" s="14">
        <f>36.1+62.3+83.5+163.4+98.8+291.3</f>
        <v>735.4</v>
      </c>
      <c r="AT18" s="14">
        <f>15.3+44.3+59.5+109.7+68.7+200</f>
        <v>497.5</v>
      </c>
      <c r="AU18" s="14">
        <v>4.5</v>
      </c>
      <c r="AV18" s="14">
        <f>18.86+48.11+63.86+118.2+71.93+211.66</f>
        <v>532.62</v>
      </c>
      <c r="AW18" s="14">
        <f>2.9746+8.6028+11.5774+21.3358+13.3536+38.9052</f>
        <v>96.7494</v>
      </c>
      <c r="AX18" s="18"/>
      <c r="AY18" s="18"/>
      <c r="AZ18" s="18"/>
      <c r="BA18" s="18"/>
      <c r="BB18" s="18"/>
      <c r="BC18" s="19">
        <f>300.8+161.3</f>
        <v>462.1</v>
      </c>
      <c r="BD18" s="19">
        <f>229.2+122.9</f>
        <v>352.1</v>
      </c>
      <c r="BE18" s="19">
        <v>3.3</v>
      </c>
      <c r="BF18" s="19">
        <f>273.4+146.56</f>
        <v>419.96</v>
      </c>
      <c r="BG18" s="19">
        <f>44.5762+23.9038</f>
        <v>68.48</v>
      </c>
      <c r="BH18" s="21"/>
      <c r="BI18" s="21"/>
      <c r="BJ18" s="21"/>
      <c r="BK18" s="21"/>
      <c r="BL18" s="21"/>
      <c r="BM18" s="24">
        <v>387</v>
      </c>
      <c r="BN18" s="24">
        <v>247.5</v>
      </c>
      <c r="BO18" s="24">
        <v>1.6</v>
      </c>
      <c r="BP18" s="24">
        <f>194.31</f>
        <v>194.31</v>
      </c>
      <c r="BQ18" s="24">
        <v>26.75</v>
      </c>
      <c r="BR18" s="25">
        <v>137.5</v>
      </c>
      <c r="BS18" s="25">
        <v>137.5</v>
      </c>
      <c r="BT18" s="25">
        <v>1.2</v>
      </c>
      <c r="BU18" s="25">
        <v>124.96</v>
      </c>
      <c r="BV18" s="25">
        <v>26.75</v>
      </c>
      <c r="BW18" s="28">
        <v>57.8</v>
      </c>
      <c r="BX18" s="28">
        <v>57.8</v>
      </c>
      <c r="BY18" s="28">
        <v>1.2</v>
      </c>
      <c r="BZ18" s="28">
        <v>52.5</v>
      </c>
      <c r="CA18" s="28">
        <v>11.235</v>
      </c>
      <c r="CB18" s="20">
        <v>574.7</v>
      </c>
      <c r="CC18" s="20">
        <v>468.1</v>
      </c>
      <c r="CD18" s="20">
        <v>1.4</v>
      </c>
      <c r="CE18" s="20">
        <v>473.96</v>
      </c>
      <c r="CF18" s="20">
        <v>132.5302</v>
      </c>
      <c r="CG18" s="30"/>
      <c r="CH18" s="30"/>
      <c r="CI18" s="30"/>
      <c r="CJ18" s="30"/>
      <c r="CK18" s="30"/>
      <c r="CL18" s="34">
        <v>345.5</v>
      </c>
      <c r="CM18" s="34">
        <f>271.3+299</f>
        <v>570.3</v>
      </c>
      <c r="CN18" s="34">
        <v>2</v>
      </c>
      <c r="CO18" s="34">
        <v>292.92</v>
      </c>
      <c r="CP18" s="34">
        <f>14.2738+76.2696</f>
        <v>90.5434</v>
      </c>
      <c r="CQ18" s="35">
        <v>632.6</v>
      </c>
      <c r="CR18" s="35">
        <v>0</v>
      </c>
      <c r="CS18" s="35">
        <v>2</v>
      </c>
      <c r="CT18" s="35">
        <v>439.46</v>
      </c>
      <c r="CU18" s="35">
        <v>193.67</v>
      </c>
      <c r="CV18" s="38">
        <v>1470.6</v>
      </c>
      <c r="CW18" s="38">
        <v>186.5</v>
      </c>
      <c r="CX18" s="38">
        <v>1.8</v>
      </c>
      <c r="CY18" s="38">
        <v>966.58</v>
      </c>
      <c r="CZ18" s="38"/>
      <c r="DA18" s="40"/>
      <c r="DB18" s="40"/>
      <c r="DC18" s="40"/>
      <c r="DD18" s="40"/>
      <c r="DE18" s="40"/>
      <c r="DF18" s="4" t="s">
        <v>504</v>
      </c>
    </row>
    <row r="19" customHeight="1" spans="6:110">
      <c r="F19" s="1" t="s">
        <v>123</v>
      </c>
      <c r="G19" s="1" t="s">
        <v>111</v>
      </c>
      <c r="H19" s="1" t="s">
        <v>231</v>
      </c>
      <c r="I19" s="1" t="s">
        <v>492</v>
      </c>
      <c r="J19" s="6">
        <f>配装!C19</f>
        <v>0</v>
      </c>
      <c r="K19" s="10">
        <f>750+75</f>
        <v>825</v>
      </c>
      <c r="L19" s="3"/>
      <c r="M19" s="3"/>
      <c r="N19" s="10"/>
      <c r="O19" s="10">
        <v>83</v>
      </c>
      <c r="P19" s="3"/>
      <c r="Q19" s="3"/>
      <c r="R19" s="3">
        <f>16%</f>
        <v>0.16</v>
      </c>
      <c r="S19" s="3">
        <f>5%</f>
        <v>0.05</v>
      </c>
      <c r="T19" s="3">
        <v>0.5</v>
      </c>
      <c r="U19" s="3"/>
      <c r="V19" s="3">
        <v>0.52</v>
      </c>
      <c r="W19" s="3"/>
      <c r="X19" s="3">
        <v>1.3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>
        <v>0</v>
      </c>
      <c r="AO19" s="3"/>
      <c r="AP19" s="3"/>
      <c r="AQ19" s="3"/>
      <c r="AR19" s="13">
        <v>40</v>
      </c>
      <c r="AS19" s="14">
        <f>55.1+59.7+124.8+186.3</f>
        <v>425.9</v>
      </c>
      <c r="AT19" s="14">
        <f>18+34.7+71.6+107.2</f>
        <v>231.5</v>
      </c>
      <c r="AU19" s="14">
        <v>2.5</v>
      </c>
      <c r="AV19" s="14">
        <v>64.6</v>
      </c>
      <c r="AW19" s="14">
        <f>3.6594+7.0834+14.5948+24.2676</f>
        <v>49.6052</v>
      </c>
      <c r="AX19" s="18"/>
      <c r="AY19" s="18"/>
      <c r="AZ19" s="18"/>
      <c r="BA19" s="18"/>
      <c r="BB19" s="18"/>
      <c r="BC19" s="19"/>
      <c r="BD19" s="19"/>
      <c r="BE19" s="19"/>
      <c r="BF19" s="19"/>
      <c r="BG19" s="19"/>
      <c r="BH19" s="21"/>
      <c r="BI19" s="21"/>
      <c r="BJ19" s="21"/>
      <c r="BK19" s="21"/>
      <c r="BL19" s="21"/>
      <c r="BM19" s="24"/>
      <c r="BN19" s="24"/>
      <c r="BO19" s="24"/>
      <c r="BP19" s="24"/>
      <c r="BQ19" s="24"/>
      <c r="BR19" s="25">
        <v>45.5</v>
      </c>
      <c r="BS19" s="25">
        <v>45.5</v>
      </c>
      <c r="BT19" s="25">
        <v>0.3</v>
      </c>
      <c r="BU19" s="25">
        <v>43.33</v>
      </c>
      <c r="BV19" s="25">
        <v>82.711</v>
      </c>
      <c r="BW19" s="28">
        <f>42.1*IF(J19&gt;=6,4,1)</f>
        <v>42.1</v>
      </c>
      <c r="BX19" s="28">
        <f>42.1*IF(J19&gt;=6,2,1)</f>
        <v>42.1</v>
      </c>
      <c r="BY19" s="28">
        <v>0.35</v>
      </c>
      <c r="BZ19" s="28">
        <f>70.03*IF(J19&gt;=6,2,1)</f>
        <v>70.03</v>
      </c>
      <c r="CA19" s="28">
        <v>8.5814</v>
      </c>
      <c r="CB19" s="20">
        <f>166.9*IF(J19&gt;=6,6,2)</f>
        <v>333.8</v>
      </c>
      <c r="CC19" s="20">
        <f>134.2*IF(J19&gt;=6,3,2)</f>
        <v>268.4</v>
      </c>
      <c r="CD19" s="20">
        <v>0.8</v>
      </c>
      <c r="CE19" s="20">
        <f>143.34*IF(J19&gt;=6,3,2)</f>
        <v>286.68</v>
      </c>
      <c r="CF19" s="20">
        <v>40.7028</v>
      </c>
      <c r="CG19" s="30"/>
      <c r="CH19" s="30"/>
      <c r="CI19" s="30"/>
      <c r="CJ19" s="30"/>
      <c r="CK19" s="30"/>
      <c r="CL19" s="34">
        <v>359.3</v>
      </c>
      <c r="CM19" s="34">
        <v>312.8</v>
      </c>
      <c r="CN19" s="34">
        <v>1.7</v>
      </c>
      <c r="CO19" s="34">
        <v>320.01</v>
      </c>
      <c r="CP19" s="34">
        <f>82.711</f>
        <v>82.711</v>
      </c>
      <c r="CQ19" s="35">
        <v>571.3</v>
      </c>
      <c r="CR19" s="35">
        <v>0</v>
      </c>
      <c r="CS19" s="35">
        <v>1.2</v>
      </c>
      <c r="CT19" s="35">
        <v>344.5</v>
      </c>
      <c r="CU19" s="35">
        <v>173.3614</v>
      </c>
      <c r="CV19" s="38">
        <v>1478.8</v>
      </c>
      <c r="CW19" s="38">
        <v>133.1</v>
      </c>
      <c r="CX19" s="38">
        <v>1</v>
      </c>
      <c r="CY19" s="38">
        <v>895.7</v>
      </c>
      <c r="CZ19" s="38"/>
      <c r="DA19" s="40"/>
      <c r="DB19" s="40"/>
      <c r="DC19" s="40"/>
      <c r="DD19" s="40"/>
      <c r="DE19" s="40"/>
      <c r="DF19" s="4" t="s">
        <v>505</v>
      </c>
    </row>
    <row r="20" customHeight="1" spans="6:110">
      <c r="F20" s="1" t="s">
        <v>126</v>
      </c>
      <c r="G20" s="1" t="s">
        <v>111</v>
      </c>
      <c r="H20" s="1" t="s">
        <v>226</v>
      </c>
      <c r="I20" s="1" t="s">
        <v>494</v>
      </c>
      <c r="J20" s="6">
        <f>配装!C20</f>
        <v>2</v>
      </c>
      <c r="K20" s="10">
        <f>683+75</f>
        <v>758</v>
      </c>
      <c r="L20" s="3"/>
      <c r="M20" s="3"/>
      <c r="N20" s="10"/>
      <c r="O20" s="10">
        <v>86</v>
      </c>
      <c r="P20" s="3"/>
      <c r="Q20" s="3"/>
      <c r="R20" s="3">
        <f>18%</f>
        <v>0.18</v>
      </c>
      <c r="S20" s="3">
        <f>5%</f>
        <v>0.05</v>
      </c>
      <c r="T20" s="3">
        <v>0.5</v>
      </c>
      <c r="U20" s="3"/>
      <c r="V20" s="3">
        <v>0.18</v>
      </c>
      <c r="W20" s="3">
        <f>4%*IF($J20&gt;=1,30,20)</f>
        <v>1.2</v>
      </c>
      <c r="X20" s="3">
        <f>4%*IF($J20&gt;=1,30,20)</f>
        <v>1.2</v>
      </c>
      <c r="Y20" s="3">
        <f>4%*IF($J20&gt;=1,30,20)</f>
        <v>1.2</v>
      </c>
      <c r="Z20" s="3">
        <f>4%*IF($J20&gt;=1,30,20)</f>
        <v>1.2</v>
      </c>
      <c r="AA20" s="3">
        <v>0.36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>
        <v>0</v>
      </c>
      <c r="AO20" s="3"/>
      <c r="AP20" s="3"/>
      <c r="AQ20" s="3"/>
      <c r="AR20" s="13">
        <v>60</v>
      </c>
      <c r="AS20" s="14"/>
      <c r="AT20" s="14"/>
      <c r="AU20" s="14"/>
      <c r="AV20" s="14"/>
      <c r="AW20" s="14"/>
      <c r="AX20" s="18"/>
      <c r="AY20" s="18"/>
      <c r="AZ20" s="18"/>
      <c r="BA20" s="18"/>
      <c r="BB20" s="18"/>
      <c r="BC20" s="19"/>
      <c r="BD20" s="19"/>
      <c r="BE20" s="19"/>
      <c r="BF20" s="19"/>
      <c r="BG20" s="19"/>
      <c r="BH20" s="21"/>
      <c r="BI20" s="21"/>
      <c r="BJ20" s="21"/>
      <c r="BK20" s="21"/>
      <c r="BL20" s="21"/>
      <c r="BM20" s="24"/>
      <c r="BN20" s="24"/>
      <c r="BO20" s="24"/>
      <c r="BP20" s="24"/>
      <c r="BQ20" s="24"/>
      <c r="BR20" s="25">
        <v>130</v>
      </c>
      <c r="BS20" s="25">
        <v>130</v>
      </c>
      <c r="BT20" s="25">
        <v>1.2</v>
      </c>
      <c r="BU20" s="25">
        <v>129.96</v>
      </c>
      <c r="BV20" s="25">
        <v>27.82</v>
      </c>
      <c r="BW20" s="28">
        <f>271.7+235</f>
        <v>506.7</v>
      </c>
      <c r="BX20" s="28">
        <f>271.7+235</f>
        <v>506.7</v>
      </c>
      <c r="BY20" s="28">
        <v>4.6</v>
      </c>
      <c r="BZ20" s="28">
        <f>271.66+235</f>
        <v>506.66</v>
      </c>
      <c r="CA20" s="28">
        <f>29.0826+50.29</f>
        <v>79.3726</v>
      </c>
      <c r="CB20" s="20">
        <f>93.5*5+612.9</f>
        <v>1080.4</v>
      </c>
      <c r="CC20" s="20">
        <f>54.8*5+396.8</f>
        <v>670.8</v>
      </c>
      <c r="CD20" s="20">
        <v>6.75</v>
      </c>
      <c r="CE20" s="20">
        <f>80.625*5+532.55</f>
        <v>935.675</v>
      </c>
      <c r="CF20" s="20">
        <f>98.2046+14.4343*5</f>
        <v>170.3761</v>
      </c>
      <c r="CG20" s="30"/>
      <c r="CH20" s="30"/>
      <c r="CI20" s="30"/>
      <c r="CJ20" s="30"/>
      <c r="CK20" s="30"/>
      <c r="CL20" s="34">
        <v>400.5</v>
      </c>
      <c r="CM20" s="34">
        <f>246.7+352</f>
        <v>598.7</v>
      </c>
      <c r="CN20" s="34">
        <v>2.7</v>
      </c>
      <c r="CO20" s="34">
        <v>376.22</v>
      </c>
      <c r="CP20" s="34">
        <f>14.2738+96.0646</f>
        <v>110.3384</v>
      </c>
      <c r="CQ20" s="35">
        <v>652.3</v>
      </c>
      <c r="CR20" s="35">
        <v>0</v>
      </c>
      <c r="CS20" s="35">
        <v>2</v>
      </c>
      <c r="CT20" s="35">
        <v>452.79</v>
      </c>
      <c r="CU20" s="35">
        <v>196.5162</v>
      </c>
      <c r="CV20" s="38">
        <v>1660.4</v>
      </c>
      <c r="CW20" s="38">
        <v>328.3</v>
      </c>
      <c r="CX20" s="38">
        <v>3.2</v>
      </c>
      <c r="CY20" s="38">
        <v>1127.54</v>
      </c>
      <c r="CZ20" s="38"/>
      <c r="DA20" s="40"/>
      <c r="DB20" s="40"/>
      <c r="DC20" s="40"/>
      <c r="DD20" s="40"/>
      <c r="DE20" s="40"/>
      <c r="DF20" s="4" t="s">
        <v>506</v>
      </c>
    </row>
    <row r="21" customHeight="1" spans="6:110">
      <c r="F21" s="1" t="s">
        <v>129</v>
      </c>
      <c r="G21" s="1" t="s">
        <v>130</v>
      </c>
      <c r="H21" s="1" t="s">
        <v>237</v>
      </c>
      <c r="I21" s="1" t="s">
        <v>500</v>
      </c>
      <c r="J21" s="6">
        <f>配装!C21</f>
        <v>2</v>
      </c>
      <c r="K21" s="10">
        <f>590+75</f>
        <v>665</v>
      </c>
      <c r="L21" s="3"/>
      <c r="M21" s="3"/>
      <c r="N21" s="10"/>
      <c r="O21" s="10">
        <v>86</v>
      </c>
      <c r="P21" s="3"/>
      <c r="Q21" s="3"/>
      <c r="R21" s="3">
        <f>-4%</f>
        <v>-0.04</v>
      </c>
      <c r="S21" s="3">
        <f>5%</f>
        <v>0.05</v>
      </c>
      <c r="T21" s="3">
        <v>0.5</v>
      </c>
      <c r="U21" s="3"/>
      <c r="V21" s="3">
        <v>-0.07</v>
      </c>
      <c r="W21" s="3"/>
      <c r="X21" s="3"/>
      <c r="Y21" s="3"/>
      <c r="Z21" s="3"/>
      <c r="AA21" s="3">
        <v>0.36</v>
      </c>
      <c r="AB21" s="3"/>
      <c r="AC21" s="3"/>
      <c r="AD21" s="3">
        <f>IF($J21&gt;=6,45%,0)</f>
        <v>0</v>
      </c>
      <c r="AE21" s="3"/>
      <c r="AF21" s="3">
        <f>IF($J21&gt;=6,45%,0)</f>
        <v>0</v>
      </c>
      <c r="AG21" s="3"/>
      <c r="AH21" s="3"/>
      <c r="AI21" s="3"/>
      <c r="AJ21" s="3"/>
      <c r="AK21" s="3"/>
      <c r="AL21" s="3"/>
      <c r="AM21" s="3"/>
      <c r="AN21" s="3">
        <v>0</v>
      </c>
      <c r="AO21" s="3"/>
      <c r="AP21" s="3"/>
      <c r="AQ21" s="3"/>
      <c r="AR21" s="13">
        <v>60</v>
      </c>
      <c r="AS21" s="14"/>
      <c r="AT21" s="14"/>
      <c r="AU21" s="14"/>
      <c r="AV21" s="14"/>
      <c r="AW21" s="14"/>
      <c r="AX21" s="18">
        <f>76.6+228.5+511.4</f>
        <v>816.5</v>
      </c>
      <c r="AY21" s="18">
        <f>46.6+127.5+263.3</f>
        <v>437.4</v>
      </c>
      <c r="AZ21" s="18">
        <v>4.5</v>
      </c>
      <c r="BA21" s="18">
        <f>46.57+127.43+263.21</f>
        <v>437.21</v>
      </c>
      <c r="BB21" s="18">
        <f>9.9724+27.285+56.3462</f>
        <v>93.6036</v>
      </c>
      <c r="BC21" s="19"/>
      <c r="BD21" s="19"/>
      <c r="BE21" s="19"/>
      <c r="BF21" s="19"/>
      <c r="BG21" s="19"/>
      <c r="BH21" s="21">
        <v>131.5</v>
      </c>
      <c r="BI21" s="21">
        <v>80.1</v>
      </c>
      <c r="BJ21" s="21">
        <v>1</v>
      </c>
      <c r="BK21" s="21">
        <v>80.03</v>
      </c>
      <c r="BL21" s="21">
        <v>17.1414</v>
      </c>
      <c r="BM21" s="24"/>
      <c r="BN21" s="24"/>
      <c r="BO21" s="24"/>
      <c r="BP21" s="24"/>
      <c r="BQ21" s="24"/>
      <c r="BR21" s="25">
        <v>113.4</v>
      </c>
      <c r="BS21" s="25">
        <v>113.4</v>
      </c>
      <c r="BT21" s="25">
        <v>0.77</v>
      </c>
      <c r="BU21" s="25">
        <v>113.3</v>
      </c>
      <c r="BV21" s="25">
        <v>24.2676</v>
      </c>
      <c r="BW21" s="28"/>
      <c r="BX21" s="28"/>
      <c r="BY21" s="28"/>
      <c r="BZ21" s="28"/>
      <c r="CA21" s="28"/>
      <c r="CB21" s="20">
        <f>(131.2+102.1)+140.1+245</f>
        <v>618.4</v>
      </c>
      <c r="CC21" s="20">
        <f>(112.9+87.9)+140.1+245</f>
        <v>585.9</v>
      </c>
      <c r="CD21" s="20">
        <v>2.1</v>
      </c>
      <c r="CE21" s="20">
        <f>(94.91+122.035)+70.01+122.5</f>
        <v>409.455</v>
      </c>
      <c r="CF21" s="20">
        <f>(24.8882+31.993)+29.9814+52.43</f>
        <v>139.2926</v>
      </c>
      <c r="CG21" s="30">
        <f>(131.2+102.1)*2+140.1*0.3</f>
        <v>508.63</v>
      </c>
      <c r="CH21" s="30">
        <f>(112.9+87.9)*2+140.1*0.3</f>
        <v>443.63</v>
      </c>
      <c r="CI21" s="30">
        <v>3</v>
      </c>
      <c r="CJ21" s="30">
        <f>(94.91+122.035)*2+70.01*0.3</f>
        <v>454.893</v>
      </c>
      <c r="CK21" s="30">
        <f>(24.8882+31.993)*2+29.9814</f>
        <v>143.7438</v>
      </c>
      <c r="CL21" s="34">
        <v>377.2</v>
      </c>
      <c r="CM21" s="34">
        <f>246.7+330.4</f>
        <v>577.1</v>
      </c>
      <c r="CN21" s="34">
        <v>2.7</v>
      </c>
      <c r="CO21" s="34">
        <v>113.3</v>
      </c>
      <c r="CP21" s="34">
        <f>14.2738+63.4938</f>
        <v>77.7676</v>
      </c>
      <c r="CQ21" s="35">
        <v>745.8</v>
      </c>
      <c r="CR21" s="35">
        <v>0</v>
      </c>
      <c r="CS21" s="35">
        <v>3.6</v>
      </c>
      <c r="CT21" s="35">
        <v>546.2</v>
      </c>
      <c r="CU21" s="35">
        <v>216.5252</v>
      </c>
      <c r="CV21" s="38">
        <v>1989.8</v>
      </c>
      <c r="CW21" s="38">
        <v>376.8</v>
      </c>
      <c r="CX21" s="38">
        <v>3.55</v>
      </c>
      <c r="CY21" s="38">
        <v>376.7</v>
      </c>
      <c r="CZ21" s="38"/>
      <c r="DA21" s="40"/>
      <c r="DB21" s="40"/>
      <c r="DC21" s="40"/>
      <c r="DD21" s="40"/>
      <c r="DE21" s="40"/>
      <c r="DF21" s="4" t="s">
        <v>507</v>
      </c>
    </row>
    <row r="22" customHeight="1" spans="6:110">
      <c r="F22" s="1" t="s">
        <v>133</v>
      </c>
      <c r="G22" s="1" t="s">
        <v>130</v>
      </c>
      <c r="H22" s="1" t="s">
        <v>231</v>
      </c>
      <c r="I22" s="1" t="s">
        <v>485</v>
      </c>
      <c r="J22" s="6">
        <f>配装!C22</f>
        <v>0</v>
      </c>
      <c r="K22" s="10">
        <f>642+75</f>
        <v>717</v>
      </c>
      <c r="L22" s="3"/>
      <c r="M22" s="3"/>
      <c r="N22" s="10"/>
      <c r="O22" s="10">
        <v>83</v>
      </c>
      <c r="P22" s="3"/>
      <c r="Q22" s="3"/>
      <c r="R22" s="3">
        <f>-8%</f>
        <v>-0.08</v>
      </c>
      <c r="S22" s="3">
        <f t="shared" ref="S22:S28" si="8">5%</f>
        <v>0.05</v>
      </c>
      <c r="T22" s="3">
        <v>0.5</v>
      </c>
      <c r="U22" s="3">
        <f>4.8%*3</f>
        <v>0.144</v>
      </c>
      <c r="V22" s="3">
        <v>-0.07</v>
      </c>
      <c r="W22" s="3"/>
      <c r="X22" s="3"/>
      <c r="Y22" s="3"/>
      <c r="Z22" s="3"/>
      <c r="AA22" s="3"/>
      <c r="AB22" s="3"/>
      <c r="AC22" s="3"/>
      <c r="AD22" s="3">
        <f t="shared" ref="AD22:AL22" si="9">IF($J22&gt;=6,15%,0)</f>
        <v>0</v>
      </c>
      <c r="AE22" s="3">
        <f t="shared" si="9"/>
        <v>0</v>
      </c>
      <c r="AF22" s="3">
        <f t="shared" si="9"/>
        <v>0</v>
      </c>
      <c r="AG22" s="3">
        <f t="shared" si="9"/>
        <v>0</v>
      </c>
      <c r="AH22" s="3">
        <f t="shared" si="9"/>
        <v>0</v>
      </c>
      <c r="AI22" s="3">
        <f t="shared" si="9"/>
        <v>0</v>
      </c>
      <c r="AJ22" s="3">
        <f t="shared" si="9"/>
        <v>0</v>
      </c>
      <c r="AK22" s="3">
        <f t="shared" si="9"/>
        <v>0</v>
      </c>
      <c r="AL22" s="3">
        <f t="shared" si="9"/>
        <v>0</v>
      </c>
      <c r="AM22" s="3"/>
      <c r="AN22" s="3">
        <v>0</v>
      </c>
      <c r="AO22" s="3"/>
      <c r="AP22" s="3"/>
      <c r="AQ22" s="3"/>
      <c r="AR22" s="13">
        <v>60</v>
      </c>
      <c r="AS22" s="14"/>
      <c r="AT22" s="14"/>
      <c r="AU22" s="14"/>
      <c r="AV22" s="14"/>
      <c r="AW22" s="14"/>
      <c r="AX22" s="18"/>
      <c r="AY22" s="18"/>
      <c r="AZ22" s="18"/>
      <c r="BA22" s="18"/>
      <c r="BB22" s="18"/>
      <c r="BC22" s="19"/>
      <c r="BD22" s="19"/>
      <c r="BE22" s="19"/>
      <c r="BF22" s="19"/>
      <c r="BG22" s="19"/>
      <c r="BH22" s="21"/>
      <c r="BI22" s="21"/>
      <c r="BJ22" s="21"/>
      <c r="BK22" s="21"/>
      <c r="BL22" s="21"/>
      <c r="BM22" s="24"/>
      <c r="BN22" s="24"/>
      <c r="BO22" s="24"/>
      <c r="BP22" s="24"/>
      <c r="BQ22" s="24"/>
      <c r="BR22" s="25"/>
      <c r="BS22" s="25"/>
      <c r="BT22" s="25"/>
      <c r="BU22" s="25"/>
      <c r="BV22" s="25"/>
      <c r="BW22" s="28"/>
      <c r="BX22" s="28"/>
      <c r="BY22" s="28"/>
      <c r="BZ22" s="28"/>
      <c r="CA22" s="28"/>
      <c r="CB22" s="20">
        <v>546</v>
      </c>
      <c r="CC22" s="20">
        <v>444.5</v>
      </c>
      <c r="CD22" s="20">
        <v>1.1</v>
      </c>
      <c r="CE22" s="20">
        <v>471.62</v>
      </c>
      <c r="CF22" s="20">
        <v>89.1738</v>
      </c>
      <c r="CG22" s="30"/>
      <c r="CH22" s="30"/>
      <c r="CI22" s="30"/>
      <c r="CJ22" s="30"/>
      <c r="CK22" s="30"/>
      <c r="CL22" s="34">
        <v>310.92</v>
      </c>
      <c r="CM22" s="34">
        <v>303.6</v>
      </c>
      <c r="CN22" s="34">
        <v>1.3</v>
      </c>
      <c r="CO22" s="34">
        <v>310.92</v>
      </c>
      <c r="CP22" s="34">
        <f>80.5496</f>
        <v>80.5496</v>
      </c>
      <c r="CQ22" s="35">
        <v>1013</v>
      </c>
      <c r="CR22" s="35">
        <v>0</v>
      </c>
      <c r="CS22" s="35">
        <v>1.5</v>
      </c>
      <c r="CT22" s="35">
        <v>366.2</v>
      </c>
      <c r="CU22" s="35">
        <v>178.0052</v>
      </c>
      <c r="CV22" s="38">
        <v>2116.7</v>
      </c>
      <c r="CW22" s="38">
        <v>113.8</v>
      </c>
      <c r="CX22" s="38">
        <v>0.9</v>
      </c>
      <c r="CY22" s="38">
        <v>108.37</v>
      </c>
      <c r="CZ22" s="38"/>
      <c r="DA22" s="40"/>
      <c r="DB22" s="40"/>
      <c r="DC22" s="40"/>
      <c r="DD22" s="40"/>
      <c r="DE22" s="40"/>
      <c r="DF22" s="4" t="s">
        <v>508</v>
      </c>
    </row>
    <row r="23" customHeight="1" spans="6:110">
      <c r="F23" s="1" t="s">
        <v>136</v>
      </c>
      <c r="G23" s="1" t="s">
        <v>130</v>
      </c>
      <c r="H23" s="1" t="s">
        <v>247</v>
      </c>
      <c r="I23" s="1" t="s">
        <v>487</v>
      </c>
      <c r="J23" s="6">
        <f>配装!C23</f>
        <v>2</v>
      </c>
      <c r="K23" s="10">
        <v>649</v>
      </c>
      <c r="L23" s="3"/>
      <c r="M23" s="3"/>
      <c r="N23" s="10"/>
      <c r="O23" s="10">
        <v>88</v>
      </c>
      <c r="P23" s="3"/>
      <c r="Q23" s="3"/>
      <c r="R23" s="3">
        <v>-0.07</v>
      </c>
      <c r="S23" s="3">
        <f t="shared" si="8"/>
        <v>0.05</v>
      </c>
      <c r="T23" s="3">
        <v>0.5</v>
      </c>
      <c r="U23" s="3"/>
      <c r="V23" s="3">
        <v>-0.1</v>
      </c>
      <c r="W23" s="3"/>
      <c r="X23" s="3">
        <f>IF(J23&gt;=1,16%,0)</f>
        <v>0.16</v>
      </c>
      <c r="Y23" s="3"/>
      <c r="Z23" s="3"/>
      <c r="AA23" s="3">
        <v>0.36</v>
      </c>
      <c r="AB23" s="3"/>
      <c r="AC23" s="3"/>
      <c r="AD23" s="3"/>
      <c r="AE23" s="3"/>
      <c r="AF23" s="3"/>
      <c r="AG23" s="3"/>
      <c r="AH23" s="3"/>
      <c r="AI23" s="3">
        <f>IF(J23&gt;=1,16%,0)</f>
        <v>0.16</v>
      </c>
      <c r="AJ23" s="3"/>
      <c r="AK23" s="3"/>
      <c r="AL23" s="3"/>
      <c r="AM23" s="3"/>
      <c r="AN23" s="3">
        <v>0.16</v>
      </c>
      <c r="AO23" s="3"/>
      <c r="AP23" s="3"/>
      <c r="AQ23" s="3"/>
      <c r="AR23" s="13">
        <v>60</v>
      </c>
      <c r="AS23" s="14"/>
      <c r="AT23" s="14"/>
      <c r="AU23" s="14"/>
      <c r="AV23" s="14"/>
      <c r="AW23" s="14"/>
      <c r="AX23" s="18"/>
      <c r="AY23" s="18"/>
      <c r="AZ23" s="18"/>
      <c r="BA23" s="18"/>
      <c r="BB23" s="18"/>
      <c r="BC23" s="19"/>
      <c r="BD23" s="19"/>
      <c r="BE23" s="19"/>
      <c r="BF23" s="19"/>
      <c r="BG23" s="19"/>
      <c r="BH23" s="21"/>
      <c r="BI23" s="21"/>
      <c r="BJ23" s="21"/>
      <c r="BK23" s="21"/>
      <c r="BL23" s="21"/>
      <c r="BM23" s="24"/>
      <c r="BN23" s="24"/>
      <c r="BO23" s="24"/>
      <c r="BP23" s="24"/>
      <c r="BQ23" s="24"/>
      <c r="BR23" s="25"/>
      <c r="BS23" s="25"/>
      <c r="BT23" s="25"/>
      <c r="BU23" s="25"/>
      <c r="BV23" s="25"/>
      <c r="BW23" s="28"/>
      <c r="BX23" s="28"/>
      <c r="BY23" s="28"/>
      <c r="BZ23" s="28"/>
      <c r="CA23" s="28"/>
      <c r="CB23" s="20">
        <f>107.5+387</f>
        <v>494.5</v>
      </c>
      <c r="CC23" s="20">
        <f>89.9+323.6</f>
        <v>413.5</v>
      </c>
      <c r="CD23" s="20">
        <v>1.2</v>
      </c>
      <c r="CE23" s="20">
        <f>98.67+394.71</f>
        <v>493.38</v>
      </c>
      <c r="CF23" s="20">
        <f>26.7714+107.0856</f>
        <v>133.857</v>
      </c>
      <c r="CG23" s="30">
        <f>215+107.5+387</f>
        <v>709.5</v>
      </c>
      <c r="CH23" s="30">
        <f>179.8+89.9+323.6</f>
        <v>593.3</v>
      </c>
      <c r="CI23" s="30">
        <v>2.4</v>
      </c>
      <c r="CJ23" s="30">
        <f>197.35+98.67+394.71</f>
        <v>690.73</v>
      </c>
      <c r="CK23" s="30">
        <f>53.5428+26.7714+107.0856</f>
        <v>187.3998</v>
      </c>
      <c r="CL23" s="34">
        <v>377.1</v>
      </c>
      <c r="CM23" s="34">
        <f>246.7+330.3</f>
        <v>577</v>
      </c>
      <c r="CN23" s="34">
        <v>2</v>
      </c>
      <c r="CO23" s="34">
        <v>353.67</v>
      </c>
      <c r="CP23" s="34">
        <f>14.2738+90.7146</f>
        <v>104.9884</v>
      </c>
      <c r="CQ23" s="35">
        <f>104.8+283</f>
        <v>387.8</v>
      </c>
      <c r="CR23" s="35">
        <v>0</v>
      </c>
      <c r="CS23" s="35">
        <v>0.6</v>
      </c>
      <c r="CT23" s="35">
        <f>64.89+194.69</f>
        <v>259.58</v>
      </c>
      <c r="CU23" s="35">
        <f>33.812+101.436</f>
        <v>135.248</v>
      </c>
      <c r="CV23" s="38">
        <f>646.8+873.2</f>
        <v>1520</v>
      </c>
      <c r="CW23" s="38">
        <f>36+48.6</f>
        <v>84.6</v>
      </c>
      <c r="CX23" s="38">
        <v>0</v>
      </c>
      <c r="CY23" s="38">
        <f>35.99+53.99</f>
        <v>89.98</v>
      </c>
      <c r="CZ23" s="38"/>
      <c r="DA23" s="40"/>
      <c r="DB23" s="40"/>
      <c r="DC23" s="40"/>
      <c r="DD23" s="40"/>
      <c r="DE23" s="40"/>
      <c r="DF23" s="4" t="s">
        <v>509</v>
      </c>
    </row>
    <row r="24" customHeight="1" spans="6:110">
      <c r="F24" s="1" t="s">
        <v>139</v>
      </c>
      <c r="G24" s="1" t="s">
        <v>130</v>
      </c>
      <c r="H24" s="1" t="s">
        <v>242</v>
      </c>
      <c r="I24" s="1" t="s">
        <v>494</v>
      </c>
      <c r="J24" s="6">
        <f>配装!C24</f>
        <v>2</v>
      </c>
      <c r="K24" s="10">
        <f>583+75</f>
        <v>658</v>
      </c>
      <c r="L24" s="3"/>
      <c r="M24" s="3"/>
      <c r="N24" s="10"/>
      <c r="O24" s="10">
        <v>86</v>
      </c>
      <c r="P24" s="3"/>
      <c r="Q24" s="3"/>
      <c r="R24" s="3">
        <v>-0.07</v>
      </c>
      <c r="S24" s="3">
        <f t="shared" si="8"/>
        <v>0.05</v>
      </c>
      <c r="T24" s="3">
        <v>0.5</v>
      </c>
      <c r="U24" s="3"/>
      <c r="V24" s="3">
        <v>-0.06</v>
      </c>
      <c r="W24" s="3"/>
      <c r="X24" s="3"/>
      <c r="Y24" s="3"/>
      <c r="Z24" s="3"/>
      <c r="AA24" s="3">
        <v>0.36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0</v>
      </c>
      <c r="AO24" s="3"/>
      <c r="AP24" s="3"/>
      <c r="AQ24" s="3"/>
      <c r="AR24" s="13">
        <v>60</v>
      </c>
      <c r="AS24" s="14"/>
      <c r="AT24" s="14"/>
      <c r="AU24" s="14"/>
      <c r="AV24" s="14"/>
      <c r="AW24" s="14"/>
      <c r="AX24" s="18"/>
      <c r="AY24" s="18"/>
      <c r="AZ24" s="18"/>
      <c r="BA24" s="18"/>
      <c r="BB24" s="18"/>
      <c r="BC24" s="19"/>
      <c r="BD24" s="19"/>
      <c r="BE24" s="19"/>
      <c r="BF24" s="19"/>
      <c r="BG24" s="19"/>
      <c r="BH24" s="21"/>
      <c r="BI24" s="21"/>
      <c r="BJ24" s="21"/>
      <c r="BK24" s="21"/>
      <c r="BL24" s="21"/>
      <c r="BM24" s="24"/>
      <c r="BN24" s="24"/>
      <c r="BO24" s="24"/>
      <c r="BP24" s="24"/>
      <c r="BQ24" s="24"/>
      <c r="BR24" s="25"/>
      <c r="BS24" s="25"/>
      <c r="BT24" s="25"/>
      <c r="BU24" s="25"/>
      <c r="BV24" s="25"/>
      <c r="BW24" s="28"/>
      <c r="BX24" s="28"/>
      <c r="BY24" s="28"/>
      <c r="BZ24" s="28"/>
      <c r="CA24" s="28"/>
      <c r="CB24" s="20">
        <v>508.4</v>
      </c>
      <c r="CC24" s="20">
        <f>364.6</f>
        <v>364.6</v>
      </c>
      <c r="CD24" s="20">
        <v>1.3</v>
      </c>
      <c r="CE24" s="20">
        <v>335.41</v>
      </c>
      <c r="CF24" s="20">
        <v>129.2988</v>
      </c>
      <c r="CG24" s="30">
        <f>536.4</f>
        <v>536.4</v>
      </c>
      <c r="CH24" s="30">
        <f>389.6</f>
        <v>389.6</v>
      </c>
      <c r="CI24" s="30">
        <v>0.7</v>
      </c>
      <c r="CJ24" s="30">
        <v>342.41</v>
      </c>
      <c r="CK24" s="30">
        <v>135.7188</v>
      </c>
      <c r="CL24" s="34">
        <v>349.1</v>
      </c>
      <c r="CM24" s="34">
        <v>304.3</v>
      </c>
      <c r="CN24" s="34">
        <v>2.1</v>
      </c>
      <c r="CO24" s="34">
        <v>326.67</v>
      </c>
      <c r="CP24" s="34">
        <f>7.8538+84.2946</f>
        <v>92.1484</v>
      </c>
      <c r="CQ24" s="35">
        <v>492.4</v>
      </c>
      <c r="CR24" s="35">
        <v>0</v>
      </c>
      <c r="CS24" s="35">
        <v>1.1</v>
      </c>
      <c r="CT24" s="35">
        <v>292.8</v>
      </c>
      <c r="CU24" s="35">
        <v>162.2976</v>
      </c>
      <c r="CV24" s="38">
        <v>1718.6</v>
      </c>
      <c r="CW24" s="38">
        <v>283.5</v>
      </c>
      <c r="CX24" s="38">
        <v>0.8</v>
      </c>
      <c r="CY24" s="38">
        <v>315</v>
      </c>
      <c r="CZ24" s="38"/>
      <c r="DA24" s="40"/>
      <c r="DB24" s="40"/>
      <c r="DC24" s="40"/>
      <c r="DD24" s="40"/>
      <c r="DE24" s="40"/>
      <c r="DF24" s="4" t="s">
        <v>510</v>
      </c>
    </row>
    <row r="25" customHeight="1" spans="6:110">
      <c r="F25" s="1" t="s">
        <v>142</v>
      </c>
      <c r="G25" s="1" t="s">
        <v>130</v>
      </c>
      <c r="H25" s="1" t="s">
        <v>253</v>
      </c>
      <c r="I25" s="1" t="s">
        <v>494</v>
      </c>
      <c r="J25" s="6">
        <f>配装!C25</f>
        <v>2</v>
      </c>
      <c r="K25" s="10">
        <f>583+75</f>
        <v>658</v>
      </c>
      <c r="L25" s="3"/>
      <c r="M25" s="3"/>
      <c r="N25" s="10">
        <v>600</v>
      </c>
      <c r="O25" s="10">
        <v>86</v>
      </c>
      <c r="P25" s="3"/>
      <c r="Q25" s="3"/>
      <c r="R25" s="3">
        <v>-0.07</v>
      </c>
      <c r="S25" s="3">
        <f t="shared" si="8"/>
        <v>0.05</v>
      </c>
      <c r="T25" s="3">
        <v>0.5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>
        <v>0</v>
      </c>
      <c r="AO25" s="3"/>
      <c r="AP25" s="3"/>
      <c r="AQ25" s="3"/>
      <c r="AR25" s="13"/>
      <c r="AS25" s="14">
        <f>92.5+127.5+175</f>
        <v>395</v>
      </c>
      <c r="AT25" s="14">
        <f>15.5+21.3+29.2</f>
        <v>66</v>
      </c>
      <c r="AU25" s="14">
        <f>(3+5+8)/3</f>
        <v>5.33333333333333</v>
      </c>
      <c r="AV25" s="14"/>
      <c r="AW25" s="14"/>
      <c r="AX25" s="18"/>
      <c r="AY25" s="18"/>
      <c r="AZ25" s="18"/>
      <c r="BA25" s="18"/>
      <c r="BB25" s="18"/>
      <c r="BC25" s="19"/>
      <c r="BD25" s="19"/>
      <c r="BE25" s="19"/>
      <c r="BF25" s="19"/>
      <c r="BG25" s="19"/>
      <c r="BH25" s="21"/>
      <c r="BI25" s="21"/>
      <c r="BJ25" s="21"/>
      <c r="BK25" s="21"/>
      <c r="BL25" s="21"/>
      <c r="BM25" s="24"/>
      <c r="BN25" s="24"/>
      <c r="BO25" s="24"/>
      <c r="BP25" s="24"/>
      <c r="BQ25" s="24"/>
      <c r="BR25" s="25">
        <f>300/1.909</f>
        <v>157.150340492404</v>
      </c>
      <c r="BS25" s="25">
        <f>41.7/1.4556</f>
        <v>28.6479802143446</v>
      </c>
      <c r="BT25" s="25">
        <v>0</v>
      </c>
      <c r="BU25" s="25">
        <v>41.66</v>
      </c>
      <c r="BV25" s="25">
        <v>0</v>
      </c>
      <c r="BW25" s="28"/>
      <c r="BX25" s="28"/>
      <c r="BY25" s="28"/>
      <c r="BZ25" s="28"/>
      <c r="CA25" s="28"/>
      <c r="CB25" s="20">
        <f>250*3</f>
        <v>750</v>
      </c>
      <c r="CC25" s="20">
        <f>20*3</f>
        <v>60</v>
      </c>
      <c r="CD25" s="20">
        <v>4</v>
      </c>
      <c r="CE25" s="20"/>
      <c r="CF25" s="20"/>
      <c r="CG25" s="30"/>
      <c r="CH25" s="30"/>
      <c r="CI25" s="30"/>
      <c r="CJ25" s="30"/>
      <c r="CK25" s="30"/>
      <c r="CL25" s="34"/>
      <c r="CM25" s="34"/>
      <c r="CN25" s="34"/>
      <c r="CO25" s="34"/>
      <c r="CP25" s="34"/>
      <c r="CQ25" s="35"/>
      <c r="CR25" s="35"/>
      <c r="CS25" s="35"/>
      <c r="CT25" s="35"/>
      <c r="CU25" s="35"/>
      <c r="CV25" s="38"/>
      <c r="CW25" s="38"/>
      <c r="CX25" s="38"/>
      <c r="CY25" s="38"/>
      <c r="CZ25" s="38"/>
      <c r="DA25" s="40"/>
      <c r="DB25" s="40"/>
      <c r="DC25" s="40"/>
      <c r="DD25" s="40"/>
      <c r="DE25" s="40"/>
      <c r="DF25" s="4"/>
    </row>
    <row r="26" customHeight="1" spans="6:110">
      <c r="F26" s="1" t="s">
        <v>143</v>
      </c>
      <c r="G26" s="1" t="s">
        <v>144</v>
      </c>
      <c r="H26" s="1" t="s">
        <v>226</v>
      </c>
      <c r="I26" s="1" t="s">
        <v>494</v>
      </c>
      <c r="J26" s="6">
        <f>配装!C26</f>
        <v>0</v>
      </c>
      <c r="K26" s="10">
        <v>712</v>
      </c>
      <c r="L26" s="3"/>
      <c r="M26" s="3"/>
      <c r="N26" s="10"/>
      <c r="O26" s="10">
        <v>123</v>
      </c>
      <c r="P26" s="3"/>
      <c r="Q26" s="3">
        <v>0.2</v>
      </c>
      <c r="R26" s="3">
        <v>-0.13</v>
      </c>
      <c r="S26" s="3">
        <f t="shared" si="8"/>
        <v>0.05</v>
      </c>
      <c r="T26" s="3">
        <v>0.5</v>
      </c>
      <c r="U26" s="3"/>
      <c r="V26" s="3">
        <v>-0.1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>
        <v>0</v>
      </c>
      <c r="AO26" s="3"/>
      <c r="AP26" s="3"/>
      <c r="AQ26" s="3"/>
      <c r="AR26" s="13">
        <v>40</v>
      </c>
      <c r="AS26" s="14"/>
      <c r="AT26" s="14"/>
      <c r="AU26" s="14"/>
      <c r="AV26" s="14"/>
      <c r="AW26" s="14"/>
      <c r="AX26" s="18"/>
      <c r="AY26" s="18"/>
      <c r="AZ26" s="18"/>
      <c r="BA26" s="18"/>
      <c r="BB26" s="18"/>
      <c r="BC26" s="19">
        <f>47.2+126.3</f>
        <v>173.5</v>
      </c>
      <c r="BD26" s="19">
        <f>21.3+93.2</f>
        <v>114.5</v>
      </c>
      <c r="BE26" s="19">
        <v>1.1</v>
      </c>
      <c r="BF26" s="19">
        <f>21.42+94.1</f>
        <v>115.52</v>
      </c>
      <c r="BG26" s="22">
        <f>4.601+20.1588</f>
        <v>24.7598</v>
      </c>
      <c r="BH26" s="21"/>
      <c r="BI26" s="21"/>
      <c r="BJ26" s="21"/>
      <c r="BK26" s="21"/>
      <c r="BL26" s="21"/>
      <c r="BM26" s="24"/>
      <c r="BN26" s="24"/>
      <c r="BO26" s="24"/>
      <c r="BP26" s="24"/>
      <c r="BQ26" s="24"/>
      <c r="BR26" s="25"/>
      <c r="BS26" s="25"/>
      <c r="BT26" s="25"/>
      <c r="BU26" s="25"/>
      <c r="BV26" s="25"/>
      <c r="BW26" s="28"/>
      <c r="BX26" s="28"/>
      <c r="BY26" s="28"/>
      <c r="BZ26" s="28"/>
      <c r="CA26" s="28"/>
      <c r="CB26" s="20">
        <v>387.2</v>
      </c>
      <c r="CC26" s="20">
        <v>252.6</v>
      </c>
      <c r="CD26" s="20">
        <v>0.8</v>
      </c>
      <c r="CE26" s="20">
        <v>249.11</v>
      </c>
      <c r="CF26" s="20">
        <v>65.8478</v>
      </c>
      <c r="CG26" s="30">
        <v>425.7</v>
      </c>
      <c r="CH26" s="30">
        <v>288.4</v>
      </c>
      <c r="CI26" s="30">
        <v>1</v>
      </c>
      <c r="CJ26" s="30">
        <v>282.87</v>
      </c>
      <c r="CK26" s="30">
        <v>73.8728</v>
      </c>
      <c r="CL26" s="34">
        <v>407.2</v>
      </c>
      <c r="CM26" s="34">
        <f>271.3+356.3</f>
        <v>627.6</v>
      </c>
      <c r="CN26" s="34">
        <v>2.5</v>
      </c>
      <c r="CO26" s="36">
        <v>346.97</v>
      </c>
      <c r="CP26" s="34">
        <f>14.2738+89.1096</f>
        <v>103.3834</v>
      </c>
      <c r="CQ26" s="35">
        <v>638.8</v>
      </c>
      <c r="CR26" s="35">
        <v>0</v>
      </c>
      <c r="CS26" s="35">
        <v>1.7</v>
      </c>
      <c r="CT26" s="35">
        <v>381.16</v>
      </c>
      <c r="CU26" s="35">
        <v>181.1938</v>
      </c>
      <c r="CV26" s="38">
        <v>2012.3</v>
      </c>
      <c r="CW26" s="38">
        <v>278.7</v>
      </c>
      <c r="CX26" s="38">
        <v>2.6</v>
      </c>
      <c r="CY26" s="38">
        <v>253.29</v>
      </c>
      <c r="CZ26" s="38"/>
      <c r="DA26" s="40"/>
      <c r="DB26" s="40"/>
      <c r="DC26" s="40"/>
      <c r="DD26" s="40"/>
      <c r="DE26" s="40"/>
      <c r="DF26" s="4" t="s">
        <v>511</v>
      </c>
    </row>
    <row r="27" customHeight="1" spans="6:110">
      <c r="F27" s="1" t="s">
        <v>147</v>
      </c>
      <c r="G27" s="1" t="s">
        <v>144</v>
      </c>
      <c r="H27" s="1" t="s">
        <v>231</v>
      </c>
      <c r="I27" s="1" t="s">
        <v>483</v>
      </c>
      <c r="J27" s="6">
        <f>配装!C27</f>
        <v>2</v>
      </c>
      <c r="K27" s="10">
        <v>643</v>
      </c>
      <c r="L27" s="3"/>
      <c r="M27" s="3"/>
      <c r="N27" s="10"/>
      <c r="O27" s="10">
        <v>94</v>
      </c>
      <c r="P27" s="3"/>
      <c r="Q27" s="3"/>
      <c r="R27" s="3">
        <v>-0.14</v>
      </c>
      <c r="S27" s="3">
        <f t="shared" si="8"/>
        <v>0.05</v>
      </c>
      <c r="T27" s="3">
        <v>0.5</v>
      </c>
      <c r="U27" s="3"/>
      <c r="V27" s="3">
        <v>-0.1</v>
      </c>
      <c r="W27" s="3">
        <f>IF(J27&gt;=2,35%,0)</f>
        <v>0.35</v>
      </c>
      <c r="X27" s="3"/>
      <c r="Y27" s="3"/>
      <c r="Z27" s="3"/>
      <c r="AA27" s="3">
        <v>0.36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>
        <v>0</v>
      </c>
      <c r="AO27" s="3"/>
      <c r="AP27" s="3"/>
      <c r="AQ27" s="3"/>
      <c r="AR27" s="13">
        <v>80</v>
      </c>
      <c r="AS27" s="14"/>
      <c r="AT27" s="14"/>
      <c r="AU27" s="14"/>
      <c r="AV27" s="14"/>
      <c r="AW27" s="14"/>
      <c r="AX27" s="18">
        <f>382.8+424.2</f>
        <v>807</v>
      </c>
      <c r="AY27" s="18">
        <f>161.7+145.5</f>
        <v>307.2</v>
      </c>
      <c r="AZ27" s="18">
        <v>2.3</v>
      </c>
      <c r="BA27" s="18">
        <f>161.68*1.35</f>
        <v>218.268</v>
      </c>
      <c r="BB27" s="18">
        <f>34.6038+28.3122</f>
        <v>62.916</v>
      </c>
      <c r="BC27" s="19"/>
      <c r="BD27" s="19"/>
      <c r="BE27" s="19"/>
      <c r="BF27" s="19"/>
      <c r="BG27" s="19"/>
      <c r="BH27" s="21"/>
      <c r="BI27" s="21"/>
      <c r="BJ27" s="21"/>
      <c r="BK27" s="21"/>
      <c r="BL27" s="21"/>
      <c r="BM27" s="24"/>
      <c r="BN27" s="24"/>
      <c r="BO27" s="24"/>
      <c r="BP27" s="24"/>
      <c r="BQ27" s="24"/>
      <c r="BR27" s="25"/>
      <c r="BS27" s="25"/>
      <c r="BT27" s="25"/>
      <c r="BU27" s="25"/>
      <c r="BV27" s="25"/>
      <c r="BW27" s="28"/>
      <c r="BX27" s="28"/>
      <c r="BY27" s="28"/>
      <c r="BZ27" s="28"/>
      <c r="CA27" s="28"/>
      <c r="CB27" s="20">
        <v>646</v>
      </c>
      <c r="CC27" s="20">
        <v>540.4</v>
      </c>
      <c r="CD27" s="20">
        <v>2</v>
      </c>
      <c r="CE27" s="20">
        <v>593.16</v>
      </c>
      <c r="CF27" s="20">
        <v>160.8638</v>
      </c>
      <c r="CG27" s="30"/>
      <c r="CH27" s="30"/>
      <c r="CI27" s="30"/>
      <c r="CJ27" s="30"/>
      <c r="CK27" s="30"/>
      <c r="CL27" s="34">
        <v>428.5</v>
      </c>
      <c r="CM27" s="34">
        <f>246.7*IF(J27&gt;=4,1.25,1)+378</f>
        <v>624.7</v>
      </c>
      <c r="CN27" s="34">
        <v>1.8</v>
      </c>
      <c r="CO27" s="34">
        <v>403.22</v>
      </c>
      <c r="CP27" s="34">
        <f>14.2738+102.4846</f>
        <v>116.7584</v>
      </c>
      <c r="CQ27" s="35">
        <v>704.1</v>
      </c>
      <c r="CR27" s="35">
        <v>0</v>
      </c>
      <c r="CS27" s="35">
        <v>2.9</v>
      </c>
      <c r="CT27" s="35">
        <v>504.53</v>
      </c>
      <c r="CU27" s="35">
        <v>207.6014</v>
      </c>
      <c r="CV27" s="38">
        <v>2024.3</v>
      </c>
      <c r="CW27" s="38">
        <v>403.3</v>
      </c>
      <c r="CX27" s="38">
        <v>3.3</v>
      </c>
      <c r="CY27" s="38">
        <v>403.29</v>
      </c>
      <c r="CZ27" s="38"/>
      <c r="DA27" s="40"/>
      <c r="DB27" s="40"/>
      <c r="DC27" s="40"/>
      <c r="DD27" s="40"/>
      <c r="DE27" s="40"/>
      <c r="DF27" s="4" t="s">
        <v>512</v>
      </c>
    </row>
    <row r="28" customHeight="1" spans="6:109">
      <c r="F28" s="1" t="str">
        <f t="shared" ref="F28:I28" si="10">""</f>
        <v/>
      </c>
      <c r="G28" s="1" t="str">
        <f t="shared" si="10"/>
        <v/>
      </c>
      <c r="H28" s="1" t="str">
        <f t="shared" si="10"/>
        <v/>
      </c>
      <c r="I28" s="1" t="str">
        <f t="shared" si="10"/>
        <v/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21"/>
      <c r="BI28" s="21"/>
      <c r="BJ28" s="21"/>
      <c r="BK28" s="21"/>
      <c r="BL28" s="21"/>
      <c r="BM28" s="24"/>
      <c r="BN28" s="24"/>
      <c r="BO28" s="24"/>
      <c r="BP28" s="24"/>
      <c r="BQ28" s="24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40"/>
      <c r="DB28" s="40"/>
      <c r="DC28" s="40"/>
      <c r="DD28" s="40"/>
      <c r="DE28" s="40"/>
    </row>
    <row r="29" customHeight="1" spans="10:109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21"/>
      <c r="BI29" s="21"/>
      <c r="BJ29" s="21"/>
      <c r="BK29" s="21"/>
      <c r="BL29" s="21"/>
      <c r="BM29" s="24"/>
      <c r="BN29" s="24"/>
      <c r="BO29" s="24"/>
      <c r="BP29" s="24"/>
      <c r="BQ29" s="24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40"/>
      <c r="DB29" s="40"/>
      <c r="DC29" s="40"/>
      <c r="DD29" s="40"/>
      <c r="DE29" s="40"/>
    </row>
    <row r="30" customHeight="1" spans="10:109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21"/>
      <c r="BI30" s="21"/>
      <c r="BJ30" s="21"/>
      <c r="BK30" s="21"/>
      <c r="BL30" s="21"/>
      <c r="BM30" s="24"/>
      <c r="BN30" s="24"/>
      <c r="BO30" s="24"/>
      <c r="BP30" s="24"/>
      <c r="BQ30" s="24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40"/>
      <c r="DB30" s="40"/>
      <c r="DC30" s="40"/>
      <c r="DD30" s="40"/>
      <c r="DE30" s="40"/>
    </row>
    <row r="31" customHeight="1" spans="10:109"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21"/>
      <c r="BI31" s="21"/>
      <c r="BJ31" s="21"/>
      <c r="BK31" s="21"/>
      <c r="BL31" s="21"/>
      <c r="BM31" s="24"/>
      <c r="BN31" s="24"/>
      <c r="BO31" s="24"/>
      <c r="BP31" s="24"/>
      <c r="BQ31" s="24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40"/>
      <c r="DB31" s="40"/>
      <c r="DC31" s="40"/>
      <c r="DD31" s="40"/>
      <c r="DE31" s="40"/>
    </row>
    <row r="32" customHeight="1" spans="10:109"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21"/>
      <c r="BI32" s="21"/>
      <c r="BJ32" s="21"/>
      <c r="BK32" s="21"/>
      <c r="BL32" s="21"/>
      <c r="BM32" s="24"/>
      <c r="BN32" s="24"/>
      <c r="BO32" s="24"/>
      <c r="BP32" s="24"/>
      <c r="BQ32" s="24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40"/>
      <c r="DB32" s="40"/>
      <c r="DC32" s="40"/>
      <c r="DD32" s="40"/>
      <c r="DE32" s="40"/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1"/>
  <sheetViews>
    <sheetView zoomScale="85" zoomScaleNormal="85" topLeftCell="A2" workbookViewId="0">
      <pane xSplit="1" ySplit="1" topLeftCell="B18" activePane="bottomRight" state="frozen"/>
      <selection/>
      <selection pane="topRight"/>
      <selection pane="bottomLeft"/>
      <selection pane="bottomRight" activeCell="F22" sqref="F22"/>
    </sheetView>
  </sheetViews>
  <sheetFormatPr defaultColWidth="9.90740740740741" defaultRowHeight="44" customHeight="1"/>
  <cols>
    <col min="1" max="10" width="13.7777777777778" style="1"/>
    <col min="11" max="11" width="26.1111111111111" style="5" customWidth="1"/>
    <col min="12" max="16384" width="13.7777777777778" style="1"/>
  </cols>
  <sheetData>
    <row r="1" customHeight="1" spans="1:35">
      <c r="A1" s="1">
        <f t="shared" ref="A1:Q1" si="0">COLUMN()</f>
        <v>1</v>
      </c>
      <c r="B1" s="1">
        <f t="shared" si="0"/>
        <v>2</v>
      </c>
      <c r="C1" s="1">
        <f t="shared" si="0"/>
        <v>3</v>
      </c>
      <c r="D1" s="1">
        <f t="shared" si="0"/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ref="R1:Z1" si="1">COLUMN()</f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  <c r="Z1" s="1">
        <f t="shared" si="1"/>
        <v>26</v>
      </c>
      <c r="AA1" s="1">
        <f t="shared" ref="AA1:AI1" si="2">COLUMN()</f>
        <v>27</v>
      </c>
      <c r="AB1" s="1">
        <f t="shared" si="2"/>
        <v>28</v>
      </c>
      <c r="AC1" s="1">
        <f t="shared" si="2"/>
        <v>29</v>
      </c>
      <c r="AD1" s="1">
        <f t="shared" si="2"/>
        <v>30</v>
      </c>
      <c r="AE1" s="1">
        <f t="shared" si="2"/>
        <v>31</v>
      </c>
      <c r="AF1" s="1">
        <f t="shared" si="2"/>
        <v>32</v>
      </c>
      <c r="AG1" s="1">
        <f t="shared" si="2"/>
        <v>33</v>
      </c>
      <c r="AH1" s="1">
        <f t="shared" si="2"/>
        <v>34</v>
      </c>
      <c r="AI1" s="1">
        <f t="shared" si="2"/>
        <v>35</v>
      </c>
    </row>
    <row r="2" customHeight="1" spans="1:35">
      <c r="A2" s="1" t="s">
        <v>349</v>
      </c>
      <c r="B2" s="1" t="s">
        <v>221</v>
      </c>
      <c r="C2" s="1" t="s">
        <v>397</v>
      </c>
      <c r="D2" s="1" t="s">
        <v>215</v>
      </c>
      <c r="E2" s="1" t="s">
        <v>82</v>
      </c>
      <c r="F2" s="1" t="s">
        <v>69</v>
      </c>
      <c r="G2" s="1" t="s">
        <v>255</v>
      </c>
      <c r="H2" s="1" t="s">
        <v>114</v>
      </c>
      <c r="I2" s="1" t="s">
        <v>400</v>
      </c>
      <c r="J2" s="1" t="s">
        <v>138</v>
      </c>
      <c r="K2" s="1" t="s">
        <v>52</v>
      </c>
      <c r="L2" s="1" t="s">
        <v>513</v>
      </c>
      <c r="M2" s="1" t="s">
        <v>82</v>
      </c>
      <c r="N2" s="1" t="s">
        <v>69</v>
      </c>
      <c r="O2" s="1" t="s">
        <v>255</v>
      </c>
      <c r="P2" s="1" t="s">
        <v>114</v>
      </c>
      <c r="Q2" s="1" t="s">
        <v>121</v>
      </c>
      <c r="R2" s="1" t="s">
        <v>387</v>
      </c>
      <c r="S2" s="1" t="s">
        <v>368</v>
      </c>
      <c r="T2" s="1" t="s">
        <v>207</v>
      </c>
      <c r="U2" s="1" t="s">
        <v>209</v>
      </c>
      <c r="V2" s="1" t="s">
        <v>406</v>
      </c>
      <c r="W2" s="1" t="s">
        <v>407</v>
      </c>
      <c r="X2" s="1" t="s">
        <v>408</v>
      </c>
      <c r="Y2" s="1" t="s">
        <v>409</v>
      </c>
      <c r="Z2" s="1" t="s">
        <v>410</v>
      </c>
      <c r="AA2" s="1" t="s">
        <v>411</v>
      </c>
      <c r="AB2" s="1" t="s">
        <v>412</v>
      </c>
      <c r="AC2" s="4" t="s">
        <v>413</v>
      </c>
      <c r="AD2" s="4" t="s">
        <v>414</v>
      </c>
      <c r="AE2" s="4" t="s">
        <v>415</v>
      </c>
      <c r="AF2" s="4" t="s">
        <v>514</v>
      </c>
      <c r="AG2" s="4" t="s">
        <v>417</v>
      </c>
      <c r="AH2" s="4" t="s">
        <v>419</v>
      </c>
      <c r="AI2" s="4" t="s">
        <v>515</v>
      </c>
    </row>
    <row r="3" customHeight="1" spans="1:35">
      <c r="A3" s="1" t="s">
        <v>320</v>
      </c>
      <c r="B3" s="1" t="s">
        <v>93</v>
      </c>
      <c r="C3" s="6">
        <v>714</v>
      </c>
      <c r="D3" s="3"/>
      <c r="E3" s="3"/>
      <c r="F3" s="3"/>
      <c r="G3" s="3"/>
      <c r="H3" s="3"/>
      <c r="I3" s="3">
        <v>0.18</v>
      </c>
      <c r="J3" s="3"/>
      <c r="K3" s="2" t="s">
        <v>516</v>
      </c>
      <c r="L3" s="3"/>
      <c r="M3" s="3"/>
      <c r="N3" s="3"/>
      <c r="O3" s="3"/>
      <c r="P3" s="3"/>
      <c r="Q3" s="3"/>
      <c r="R3" s="3">
        <v>0.22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spans="1:35">
      <c r="A4" s="1" t="s">
        <v>321</v>
      </c>
      <c r="B4" s="1" t="s">
        <v>93</v>
      </c>
      <c r="C4" s="6">
        <v>714</v>
      </c>
      <c r="D4" s="3"/>
      <c r="E4" s="3"/>
      <c r="F4" s="3"/>
      <c r="G4" s="3"/>
      <c r="H4" s="3"/>
      <c r="I4" s="3">
        <v>0.18</v>
      </c>
      <c r="J4" s="3"/>
      <c r="K4" s="2" t="s">
        <v>517</v>
      </c>
      <c r="L4" s="3"/>
      <c r="M4" s="3"/>
      <c r="N4" s="3"/>
      <c r="O4" s="3"/>
      <c r="P4" s="3"/>
      <c r="Q4" s="3"/>
      <c r="R4" s="3">
        <v>0.21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customHeight="1" spans="1:35">
      <c r="A5" s="1" t="s">
        <v>518</v>
      </c>
      <c r="B5" s="1" t="s">
        <v>93</v>
      </c>
      <c r="C5" s="6">
        <v>684</v>
      </c>
      <c r="D5" s="3"/>
      <c r="E5" s="3"/>
      <c r="F5" s="3"/>
      <c r="G5" s="3"/>
      <c r="H5" s="3"/>
      <c r="I5" s="3">
        <v>0.18</v>
      </c>
      <c r="J5" s="3"/>
      <c r="K5" s="2" t="s">
        <v>519</v>
      </c>
      <c r="L5" s="3"/>
      <c r="M5" s="3"/>
      <c r="N5" s="3"/>
      <c r="O5" s="3"/>
      <c r="P5" s="3"/>
      <c r="Q5" s="3"/>
      <c r="R5" s="3"/>
      <c r="S5" s="3"/>
      <c r="T5" s="3"/>
      <c r="U5" s="3"/>
      <c r="V5" s="3">
        <v>0.3</v>
      </c>
      <c r="W5" s="3">
        <v>0.3</v>
      </c>
      <c r="X5" s="3"/>
      <c r="Y5" s="3"/>
      <c r="Z5" s="3"/>
      <c r="AA5" s="3"/>
      <c r="AB5" s="3"/>
      <c r="AC5" s="3"/>
      <c r="AD5" s="3"/>
      <c r="AE5" s="3"/>
      <c r="AF5" s="3"/>
      <c r="AG5" s="3">
        <v>0.3</v>
      </c>
      <c r="AH5" s="3"/>
      <c r="AI5" s="3"/>
    </row>
    <row r="6" customHeight="1" spans="1:35">
      <c r="A6" s="1" t="s">
        <v>520</v>
      </c>
      <c r="B6" s="1" t="s">
        <v>93</v>
      </c>
      <c r="C6" s="6">
        <v>684</v>
      </c>
      <c r="D6" s="3"/>
      <c r="E6" s="3"/>
      <c r="F6" s="3"/>
      <c r="G6" s="3"/>
      <c r="H6" s="3"/>
      <c r="I6" s="3">
        <v>0.18</v>
      </c>
      <c r="J6" s="3"/>
      <c r="K6" s="2" t="s">
        <v>521</v>
      </c>
      <c r="L6" s="3"/>
      <c r="M6" s="3"/>
      <c r="N6" s="3"/>
      <c r="O6" s="3"/>
      <c r="P6" s="3"/>
      <c r="Q6" s="3"/>
      <c r="R6" s="3">
        <v>0.1</v>
      </c>
      <c r="S6" s="3">
        <v>0.6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customHeight="1" spans="1:35">
      <c r="A7" s="1" t="s">
        <v>522</v>
      </c>
      <c r="B7" s="1" t="s">
        <v>93</v>
      </c>
      <c r="C7" s="6">
        <v>625</v>
      </c>
      <c r="D7" s="3"/>
      <c r="E7" s="3"/>
      <c r="F7" s="3"/>
      <c r="G7" s="3"/>
      <c r="H7" s="3"/>
      <c r="I7" s="3">
        <v>0.15</v>
      </c>
      <c r="J7" s="3"/>
      <c r="K7" s="2" t="s">
        <v>523</v>
      </c>
      <c r="L7" s="3"/>
      <c r="M7" s="3"/>
      <c r="N7" s="3"/>
      <c r="O7" s="3"/>
      <c r="P7" s="3"/>
      <c r="Q7" s="3"/>
      <c r="R7" s="3"/>
      <c r="S7" s="3"/>
      <c r="T7" s="3">
        <v>0.18</v>
      </c>
      <c r="U7" s="3"/>
      <c r="V7" s="3">
        <v>0.15</v>
      </c>
      <c r="W7" s="3">
        <v>0.15</v>
      </c>
      <c r="X7" s="3">
        <v>0.15</v>
      </c>
      <c r="Y7" s="3">
        <v>0.15</v>
      </c>
      <c r="Z7" s="3">
        <v>0.15</v>
      </c>
      <c r="AA7" s="3">
        <v>0.15</v>
      </c>
      <c r="AB7" s="3">
        <v>0.15</v>
      </c>
      <c r="AC7" s="3">
        <v>0.15</v>
      </c>
      <c r="AD7" s="3">
        <v>0.15</v>
      </c>
      <c r="AE7" s="3">
        <v>0.15</v>
      </c>
      <c r="AF7" s="3">
        <v>0.15</v>
      </c>
      <c r="AG7" s="3"/>
      <c r="AH7" s="3"/>
      <c r="AI7" s="3"/>
    </row>
    <row r="8" customHeight="1" spans="1:35">
      <c r="A8" s="1" t="s">
        <v>524</v>
      </c>
      <c r="B8" s="1" t="s">
        <v>93</v>
      </c>
      <c r="C8" s="6">
        <v>594</v>
      </c>
      <c r="D8" s="3"/>
      <c r="E8" s="3"/>
      <c r="F8" s="3"/>
      <c r="G8" s="3"/>
      <c r="H8" s="3"/>
      <c r="I8" s="3">
        <v>0.15</v>
      </c>
      <c r="J8" s="3"/>
      <c r="K8" s="2" t="s">
        <v>525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>
        <v>0.384</v>
      </c>
      <c r="AI8" s="3"/>
    </row>
    <row r="9" customHeight="1" spans="1:35">
      <c r="A9" s="1" t="s">
        <v>100</v>
      </c>
      <c r="B9" s="1" t="s">
        <v>93</v>
      </c>
      <c r="C9" s="6">
        <v>594</v>
      </c>
      <c r="D9" s="3"/>
      <c r="E9" s="3"/>
      <c r="F9" s="3"/>
      <c r="G9" s="3"/>
      <c r="H9" s="3"/>
      <c r="I9" s="3">
        <v>0.15</v>
      </c>
      <c r="J9" s="3"/>
      <c r="K9" s="2" t="s">
        <v>526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f>18%+18%</f>
        <v>0.36</v>
      </c>
      <c r="AH9" s="3">
        <f>18%+18%</f>
        <v>0.36</v>
      </c>
      <c r="AI9" s="3"/>
    </row>
    <row r="10" customHeight="1" spans="1:35">
      <c r="A10" s="1" t="s">
        <v>94</v>
      </c>
      <c r="B10" s="1" t="s">
        <v>93</v>
      </c>
      <c r="C10" s="6">
        <v>594</v>
      </c>
      <c r="D10" s="3"/>
      <c r="E10" s="3"/>
      <c r="F10" s="3"/>
      <c r="G10" s="3"/>
      <c r="H10" s="3"/>
      <c r="I10" s="3"/>
      <c r="J10" s="3">
        <v>0.5</v>
      </c>
      <c r="K10" s="2" t="s">
        <v>527</v>
      </c>
      <c r="L10" s="3"/>
      <c r="M10" s="3"/>
      <c r="N10" s="3"/>
      <c r="O10" s="3"/>
      <c r="P10" s="3"/>
      <c r="Q10" s="3"/>
      <c r="R10" s="3">
        <f>3.2%*8</f>
        <v>0.256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customHeight="1" spans="1:35">
      <c r="A11" s="1" t="s">
        <v>528</v>
      </c>
      <c r="B11" s="1" t="s">
        <v>93</v>
      </c>
      <c r="C11" s="6">
        <v>475</v>
      </c>
      <c r="D11" s="3"/>
      <c r="E11" s="3"/>
      <c r="F11" s="3"/>
      <c r="G11" s="3"/>
      <c r="H11" s="3"/>
      <c r="I11" s="3">
        <v>0.12</v>
      </c>
      <c r="J11" s="3"/>
      <c r="K11" s="2" t="s">
        <v>529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>
        <v>0.12</v>
      </c>
      <c r="AH11" s="3">
        <v>0.12</v>
      </c>
      <c r="AI11" s="3"/>
    </row>
    <row r="12" customHeight="1" spans="1:35">
      <c r="A12" s="1" t="s">
        <v>66</v>
      </c>
      <c r="B12" s="1" t="s">
        <v>65</v>
      </c>
      <c r="C12" s="6">
        <v>714</v>
      </c>
      <c r="D12" s="3"/>
      <c r="E12" s="3"/>
      <c r="F12" s="3">
        <v>0.48</v>
      </c>
      <c r="G12" s="3"/>
      <c r="H12" s="3"/>
      <c r="I12" s="3"/>
      <c r="J12" s="3"/>
      <c r="K12" s="2" t="s">
        <v>530</v>
      </c>
      <c r="L12" s="3"/>
      <c r="M12" s="3">
        <v>0.15</v>
      </c>
      <c r="N12" s="3"/>
      <c r="O12" s="3"/>
      <c r="P12" s="3"/>
      <c r="Q12" s="3"/>
      <c r="R12" s="3"/>
      <c r="S12" s="3"/>
      <c r="T12" s="3"/>
      <c r="U12" s="3"/>
      <c r="V12" s="3"/>
      <c r="W12" s="3">
        <v>0.35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customHeight="1" spans="1:35">
      <c r="A13" s="1" t="s">
        <v>73</v>
      </c>
      <c r="B13" s="1" t="s">
        <v>65</v>
      </c>
      <c r="C13" s="6">
        <v>714</v>
      </c>
      <c r="D13" s="3"/>
      <c r="E13" s="3">
        <v>0.24</v>
      </c>
      <c r="F13" s="3"/>
      <c r="G13" s="3"/>
      <c r="H13" s="3"/>
      <c r="I13" s="3"/>
      <c r="J13" s="3"/>
      <c r="K13" s="2" t="s">
        <v>531</v>
      </c>
      <c r="L13" s="3"/>
      <c r="M13" s="3">
        <v>0.2</v>
      </c>
      <c r="N13" s="3"/>
      <c r="O13" s="3"/>
      <c r="P13" s="3"/>
      <c r="Q13" s="3"/>
      <c r="R13" s="3"/>
      <c r="S13" s="3"/>
      <c r="T13" s="3"/>
      <c r="U13" s="3"/>
      <c r="V13" s="3">
        <v>0.25</v>
      </c>
      <c r="W13" s="3">
        <v>0.25</v>
      </c>
      <c r="X13" s="3">
        <v>0.25</v>
      </c>
      <c r="Y13" s="3">
        <v>0.25</v>
      </c>
      <c r="Z13" s="3">
        <v>0.25</v>
      </c>
      <c r="AA13" s="3">
        <v>0.25</v>
      </c>
      <c r="AB13" s="3">
        <v>0.25</v>
      </c>
      <c r="AC13" s="3">
        <v>0.25</v>
      </c>
      <c r="AD13" s="3">
        <v>0.25</v>
      </c>
      <c r="AE13" s="3">
        <v>0.25</v>
      </c>
      <c r="AF13" s="3">
        <v>0.25</v>
      </c>
      <c r="AG13" s="3"/>
      <c r="AH13" s="3"/>
      <c r="AI13" s="3"/>
    </row>
    <row r="14" customHeight="1" spans="1:35">
      <c r="A14" s="1" t="s">
        <v>532</v>
      </c>
      <c r="B14" s="1" t="s">
        <v>65</v>
      </c>
      <c r="C14" s="6">
        <v>684</v>
      </c>
      <c r="D14" s="3"/>
      <c r="E14" s="3">
        <v>0.24</v>
      </c>
      <c r="F14" s="3"/>
      <c r="G14" s="3"/>
      <c r="H14" s="3"/>
      <c r="I14" s="3"/>
      <c r="J14" s="3"/>
      <c r="K14" s="2" t="s">
        <v>533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0.25</v>
      </c>
      <c r="W14" s="3">
        <v>0.25</v>
      </c>
      <c r="X14" s="3">
        <v>0.25</v>
      </c>
      <c r="Y14" s="3">
        <v>0.25</v>
      </c>
      <c r="Z14" s="3">
        <v>0.25</v>
      </c>
      <c r="AA14" s="3">
        <v>0.25</v>
      </c>
      <c r="AB14" s="3">
        <v>0.25</v>
      </c>
      <c r="AC14" s="3">
        <v>0.25</v>
      </c>
      <c r="AD14" s="3">
        <v>0.25</v>
      </c>
      <c r="AE14" s="3">
        <v>0.25</v>
      </c>
      <c r="AF14" s="3">
        <v>0.25</v>
      </c>
      <c r="AG14" s="3"/>
      <c r="AH14" s="3"/>
      <c r="AI14" s="3"/>
    </row>
    <row r="15" customHeight="1" spans="1:35">
      <c r="A15" s="1" t="s">
        <v>79</v>
      </c>
      <c r="B15" s="1" t="s">
        <v>65</v>
      </c>
      <c r="C15" s="6">
        <v>684</v>
      </c>
      <c r="D15" s="3">
        <v>0.3</v>
      </c>
      <c r="E15" s="3"/>
      <c r="F15" s="3"/>
      <c r="G15" s="3"/>
      <c r="H15" s="3"/>
      <c r="I15" s="3"/>
      <c r="J15" s="3"/>
      <c r="K15" s="2" t="s">
        <v>534</v>
      </c>
      <c r="L15" s="3">
        <f>3.5%*8</f>
        <v>0.28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customHeight="1" spans="1:35">
      <c r="A16" s="1" t="s">
        <v>88</v>
      </c>
      <c r="B16" s="1" t="s">
        <v>65</v>
      </c>
      <c r="C16" s="6">
        <v>625</v>
      </c>
      <c r="D16" s="3">
        <v>0.25</v>
      </c>
      <c r="E16" s="3"/>
      <c r="F16" s="3"/>
      <c r="G16" s="3"/>
      <c r="H16" s="3"/>
      <c r="I16" s="3"/>
      <c r="J16" s="3"/>
      <c r="K16" s="2" t="s">
        <v>535</v>
      </c>
      <c r="L16" s="3"/>
      <c r="M16" s="3"/>
      <c r="N16" s="3"/>
      <c r="O16" s="3"/>
      <c r="P16" s="3"/>
      <c r="Q16" s="3"/>
      <c r="R16" s="3"/>
      <c r="S16" s="3">
        <v>0.45</v>
      </c>
      <c r="T16" s="3"/>
      <c r="U16" s="3"/>
      <c r="V16" s="3"/>
      <c r="W16" s="3"/>
      <c r="X16" s="3"/>
      <c r="Y16" s="3"/>
      <c r="Z16" s="3"/>
      <c r="AA16" s="3"/>
      <c r="AB16" s="3">
        <v>0.45</v>
      </c>
      <c r="AC16" s="3"/>
      <c r="AD16" s="3"/>
      <c r="AE16" s="3"/>
      <c r="AF16" s="3"/>
      <c r="AG16" s="3"/>
      <c r="AH16" s="3"/>
      <c r="AI16" s="3"/>
    </row>
    <row r="17" customHeight="1" spans="1:35">
      <c r="A17" s="1" t="s">
        <v>536</v>
      </c>
      <c r="B17" s="1" t="s">
        <v>65</v>
      </c>
      <c r="C17" s="6">
        <v>625</v>
      </c>
      <c r="D17" s="3"/>
      <c r="E17" s="3"/>
      <c r="F17" s="3"/>
      <c r="G17" s="3"/>
      <c r="H17" s="3"/>
      <c r="I17" s="3"/>
      <c r="J17" s="3">
        <v>0.5</v>
      </c>
      <c r="K17" s="2" t="s">
        <v>537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0.5</v>
      </c>
      <c r="W17" s="3">
        <v>0.5</v>
      </c>
      <c r="X17" s="3">
        <v>0.5</v>
      </c>
      <c r="Y17" s="3">
        <v>0.5</v>
      </c>
      <c r="Z17" s="3">
        <v>0.5</v>
      </c>
      <c r="AA17" s="3">
        <v>0.5</v>
      </c>
      <c r="AB17" s="3">
        <v>0.5</v>
      </c>
      <c r="AC17" s="3">
        <v>0.5</v>
      </c>
      <c r="AD17" s="3">
        <v>0.5</v>
      </c>
      <c r="AE17" s="3">
        <v>0.5</v>
      </c>
      <c r="AF17" s="3">
        <v>0.5</v>
      </c>
      <c r="AG17" s="3"/>
      <c r="AH17" s="3"/>
      <c r="AI17" s="3"/>
    </row>
    <row r="18" customHeight="1" spans="1:35">
      <c r="A18" s="1" t="s">
        <v>538</v>
      </c>
      <c r="B18" s="1" t="s">
        <v>65</v>
      </c>
      <c r="C18" s="6">
        <v>594</v>
      </c>
      <c r="D18" s="3"/>
      <c r="E18" s="3">
        <v>0.2</v>
      </c>
      <c r="F18" s="3"/>
      <c r="G18" s="3"/>
      <c r="H18" s="3"/>
      <c r="I18" s="3"/>
      <c r="J18" s="3"/>
      <c r="K18" s="2" t="s">
        <v>539</v>
      </c>
      <c r="L18" s="3">
        <f>9.6%*2</f>
        <v>0.192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customHeight="1" spans="1:35">
      <c r="A19" s="1" t="s">
        <v>540</v>
      </c>
      <c r="B19" s="1" t="s">
        <v>65</v>
      </c>
      <c r="C19" s="6">
        <v>594</v>
      </c>
      <c r="D19" s="3">
        <v>0.25</v>
      </c>
      <c r="E19" s="3"/>
      <c r="F19" s="3"/>
      <c r="G19" s="3"/>
      <c r="H19" s="3"/>
      <c r="I19" s="3"/>
      <c r="J19" s="3"/>
      <c r="K19" s="2" t="s">
        <v>541</v>
      </c>
      <c r="L19" s="3">
        <v>0.096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0.24</v>
      </c>
      <c r="AC19" s="3"/>
      <c r="AD19" s="3"/>
      <c r="AE19" s="3"/>
      <c r="AF19" s="3"/>
      <c r="AG19" s="3"/>
      <c r="AH19" s="3"/>
      <c r="AI19" s="3"/>
    </row>
    <row r="20" customHeight="1" spans="1:35">
      <c r="A20" s="1" t="s">
        <v>542</v>
      </c>
      <c r="B20" s="1" t="s">
        <v>65</v>
      </c>
      <c r="C20" s="6">
        <v>594</v>
      </c>
      <c r="D20" s="3">
        <v>0.25</v>
      </c>
      <c r="E20" s="3"/>
      <c r="F20" s="3"/>
      <c r="G20" s="3"/>
      <c r="H20" s="3"/>
      <c r="I20" s="3"/>
      <c r="J20" s="3"/>
      <c r="K20" s="2" t="s">
        <v>543</v>
      </c>
      <c r="L20" s="3">
        <v>0.192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customHeight="1" spans="1:35">
      <c r="A21" s="1" t="s">
        <v>544</v>
      </c>
      <c r="B21" s="1" t="s">
        <v>65</v>
      </c>
      <c r="C21" s="6">
        <v>594</v>
      </c>
      <c r="D21" s="3"/>
      <c r="E21" s="3">
        <v>0.2</v>
      </c>
      <c r="F21" s="3"/>
      <c r="G21" s="3"/>
      <c r="H21" s="3"/>
      <c r="I21" s="3"/>
      <c r="J21" s="3"/>
      <c r="K21" s="2" t="s">
        <v>545</v>
      </c>
      <c r="L21" s="3">
        <v>0.12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customHeight="1" spans="1:35">
      <c r="A22" s="1" t="s">
        <v>112</v>
      </c>
      <c r="B22" s="1" t="s">
        <v>111</v>
      </c>
      <c r="C22" s="6">
        <v>714</v>
      </c>
      <c r="D22" s="3"/>
      <c r="E22" s="3">
        <v>0.24</v>
      </c>
      <c r="F22" s="3"/>
      <c r="G22" s="3"/>
      <c r="H22" s="3"/>
      <c r="I22" s="3"/>
      <c r="J22" s="3"/>
      <c r="K22" s="2" t="s">
        <v>546</v>
      </c>
      <c r="L22" s="3"/>
      <c r="M22" s="3">
        <v>0.2</v>
      </c>
      <c r="N22" s="3"/>
      <c r="O22" s="3"/>
      <c r="P22" s="3"/>
      <c r="Q22" s="3"/>
      <c r="R22" s="3"/>
      <c r="S22" s="3"/>
      <c r="T22" s="3"/>
      <c r="U22" s="3"/>
      <c r="V22" s="3">
        <v>0.25</v>
      </c>
      <c r="W22" s="3">
        <v>0.25</v>
      </c>
      <c r="X22" s="3">
        <v>0.25</v>
      </c>
      <c r="Y22" s="3">
        <v>0.25</v>
      </c>
      <c r="Z22" s="3">
        <v>0.25</v>
      </c>
      <c r="AA22" s="3">
        <v>0.25</v>
      </c>
      <c r="AB22" s="3">
        <v>0.25</v>
      </c>
      <c r="AC22" s="3">
        <v>0.25</v>
      </c>
      <c r="AD22" s="3">
        <v>0.25</v>
      </c>
      <c r="AE22" s="3">
        <v>0.25</v>
      </c>
      <c r="AF22" s="3">
        <v>0.25</v>
      </c>
      <c r="AG22" s="3"/>
      <c r="AH22" s="3"/>
      <c r="AI22" s="3"/>
    </row>
    <row r="23" customHeight="1" spans="1:35">
      <c r="A23" s="1" t="s">
        <v>113</v>
      </c>
      <c r="B23" s="1" t="s">
        <v>111</v>
      </c>
      <c r="C23" s="6">
        <v>714</v>
      </c>
      <c r="D23" s="3">
        <v>0.3</v>
      </c>
      <c r="E23" s="3"/>
      <c r="F23" s="3"/>
      <c r="G23" s="3"/>
      <c r="H23" s="3"/>
      <c r="I23" s="3"/>
      <c r="J23" s="3"/>
      <c r="K23" s="2" t="s">
        <v>547</v>
      </c>
      <c r="L23" s="3"/>
      <c r="M23" s="3"/>
      <c r="N23" s="3"/>
      <c r="O23" s="3"/>
      <c r="P23" s="3">
        <v>0.75</v>
      </c>
      <c r="Q23" s="3"/>
      <c r="R23" s="3"/>
      <c r="S23" s="3"/>
      <c r="T23" s="3"/>
      <c r="U23" s="3">
        <v>0.3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customHeight="1" spans="1:35">
      <c r="A24" s="1" t="s">
        <v>548</v>
      </c>
      <c r="B24" s="1" t="s">
        <v>111</v>
      </c>
      <c r="C24" s="6">
        <v>714</v>
      </c>
      <c r="D24" s="3">
        <v>0.3</v>
      </c>
      <c r="E24" s="3"/>
      <c r="F24" s="3"/>
      <c r="G24" s="3"/>
      <c r="H24" s="3"/>
      <c r="I24" s="3"/>
      <c r="J24" s="3"/>
      <c r="K24" s="2" t="s">
        <v>549</v>
      </c>
      <c r="L24" s="3"/>
      <c r="M24" s="3"/>
      <c r="N24" s="3"/>
      <c r="O24" s="3"/>
      <c r="P24" s="3">
        <v>0.5</v>
      </c>
      <c r="Q24" s="3"/>
      <c r="R24" s="3"/>
      <c r="S24" s="3">
        <v>0.6</v>
      </c>
      <c r="T24" s="3"/>
      <c r="U24" s="3"/>
      <c r="V24" s="3"/>
      <c r="W24" s="3"/>
      <c r="X24" s="3"/>
      <c r="Y24" s="3"/>
      <c r="Z24" s="3"/>
      <c r="AA24" s="3"/>
      <c r="AB24" s="3">
        <v>0.35</v>
      </c>
      <c r="AC24" s="3"/>
      <c r="AD24" s="3"/>
      <c r="AE24" s="3"/>
      <c r="AF24" s="3">
        <v>0.35</v>
      </c>
      <c r="AG24" s="3"/>
      <c r="AH24" s="3"/>
      <c r="AI24" s="3"/>
    </row>
    <row r="25" customHeight="1" spans="1:35">
      <c r="A25" s="1" t="s">
        <v>120</v>
      </c>
      <c r="B25" s="1" t="s">
        <v>111</v>
      </c>
      <c r="C25" s="6">
        <v>714</v>
      </c>
      <c r="D25" s="3"/>
      <c r="E25" s="3"/>
      <c r="F25" s="3"/>
      <c r="G25" s="3"/>
      <c r="H25" s="3">
        <v>0.9</v>
      </c>
      <c r="I25" s="3"/>
      <c r="J25" s="3"/>
      <c r="K25" s="2" t="s">
        <v>550</v>
      </c>
      <c r="L25" s="3"/>
      <c r="M25" s="3"/>
      <c r="N25" s="3"/>
      <c r="O25" s="3"/>
      <c r="P25" s="3"/>
      <c r="Q25" s="3"/>
      <c r="R25" s="3"/>
      <c r="S25" s="3"/>
      <c r="T25" s="3"/>
      <c r="U25" s="3">
        <v>0.4</v>
      </c>
      <c r="V25" s="3">
        <v>0.36</v>
      </c>
      <c r="W25" s="3">
        <v>0.36</v>
      </c>
      <c r="X25" s="3">
        <v>0.36</v>
      </c>
      <c r="Y25" s="3">
        <v>0.36</v>
      </c>
      <c r="Z25" s="3">
        <v>0.36</v>
      </c>
      <c r="AA25" s="3">
        <v>0.36</v>
      </c>
      <c r="AB25" s="3">
        <v>0.36</v>
      </c>
      <c r="AC25" s="3">
        <v>0.36</v>
      </c>
      <c r="AD25" s="3">
        <v>0.36</v>
      </c>
      <c r="AE25" s="3">
        <v>0.36</v>
      </c>
      <c r="AF25" s="3">
        <v>0.36</v>
      </c>
      <c r="AG25" s="3"/>
      <c r="AH25" s="3"/>
      <c r="AI25" s="3"/>
    </row>
    <row r="26" customHeight="1" spans="1:35">
      <c r="A26" s="1" t="s">
        <v>124</v>
      </c>
      <c r="B26" s="1" t="s">
        <v>111</v>
      </c>
      <c r="C26" s="6">
        <v>684</v>
      </c>
      <c r="D26" s="3"/>
      <c r="E26" s="3"/>
      <c r="F26" s="3"/>
      <c r="G26" s="3">
        <v>0.24</v>
      </c>
      <c r="H26" s="3"/>
      <c r="I26" s="3"/>
      <c r="J26" s="3"/>
      <c r="K26" s="2" t="s">
        <v>551</v>
      </c>
      <c r="L26" s="3">
        <v>0.12</v>
      </c>
      <c r="M26" s="3"/>
      <c r="N26" s="3"/>
      <c r="O26" s="3"/>
      <c r="P26" s="3">
        <v>0.75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customHeight="1" spans="1:35">
      <c r="A27" s="1" t="s">
        <v>127</v>
      </c>
      <c r="B27" s="1" t="s">
        <v>111</v>
      </c>
      <c r="C27" s="6">
        <v>625</v>
      </c>
      <c r="D27" s="3">
        <v>0.25</v>
      </c>
      <c r="E27" s="3"/>
      <c r="F27" s="3"/>
      <c r="G27" s="3"/>
      <c r="H27" s="3"/>
      <c r="I27" s="3"/>
      <c r="J27" s="3"/>
      <c r="K27" s="2" t="s">
        <v>552</v>
      </c>
      <c r="L27" s="3">
        <v>0.08</v>
      </c>
      <c r="M27" s="3"/>
      <c r="N27" s="3"/>
      <c r="O27" s="3"/>
      <c r="P27" s="3">
        <v>0.4</v>
      </c>
      <c r="Q27" s="3"/>
      <c r="R27" s="3"/>
      <c r="S27" s="3"/>
      <c r="T27" s="3"/>
      <c r="U27" s="3">
        <v>0.25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customHeight="1" spans="1:35">
      <c r="A28" s="1" t="s">
        <v>553</v>
      </c>
      <c r="B28" s="1" t="s">
        <v>111</v>
      </c>
      <c r="C28" s="6">
        <v>594</v>
      </c>
      <c r="D28" s="3">
        <v>0.25</v>
      </c>
      <c r="E28" s="3"/>
      <c r="F28" s="3"/>
      <c r="G28" s="3"/>
      <c r="H28" s="3"/>
      <c r="I28" s="3"/>
      <c r="J28" s="3"/>
      <c r="K28" s="2" t="s">
        <v>554</v>
      </c>
      <c r="L28" s="3"/>
      <c r="M28" s="3"/>
      <c r="N28" s="3"/>
      <c r="O28" s="3"/>
      <c r="P28" s="3">
        <f>48%*4</f>
        <v>1.92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customHeight="1" spans="1:35">
      <c r="A29" s="1" t="s">
        <v>555</v>
      </c>
      <c r="B29" s="1" t="s">
        <v>111</v>
      </c>
      <c r="C29" s="6">
        <v>594</v>
      </c>
      <c r="D29" s="3"/>
      <c r="E29" s="3"/>
      <c r="F29" s="3"/>
      <c r="G29" s="3"/>
      <c r="H29" s="3">
        <v>0.75</v>
      </c>
      <c r="I29" s="3"/>
      <c r="J29" s="3"/>
      <c r="K29" s="2" t="s">
        <v>556</v>
      </c>
      <c r="L29" s="3">
        <f>4%*10</f>
        <v>0.4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customHeight="1" spans="1:35">
      <c r="A30" s="1" t="s">
        <v>117</v>
      </c>
      <c r="B30" s="1" t="s">
        <v>111</v>
      </c>
      <c r="C30" s="6">
        <v>594</v>
      </c>
      <c r="D30" s="3"/>
      <c r="E30" s="3"/>
      <c r="F30" s="3"/>
      <c r="G30" s="3"/>
      <c r="H30" s="3">
        <v>0.75</v>
      </c>
      <c r="I30" s="3"/>
      <c r="J30" s="3"/>
      <c r="K30" s="2" t="s">
        <v>557</v>
      </c>
      <c r="L30" s="3">
        <v>0.16</v>
      </c>
      <c r="M30" s="3"/>
      <c r="N30" s="3"/>
      <c r="O30" s="3"/>
      <c r="P30" s="3"/>
      <c r="Q30" s="3"/>
      <c r="R30" s="3"/>
      <c r="S30" s="3"/>
      <c r="T30" s="3"/>
      <c r="U30" s="3"/>
      <c r="V30" s="3">
        <v>0.25</v>
      </c>
      <c r="W30" s="3">
        <v>0.25</v>
      </c>
      <c r="X30" s="3">
        <v>0.25</v>
      </c>
      <c r="Y30" s="3">
        <v>0.25</v>
      </c>
      <c r="Z30" s="3">
        <v>0.25</v>
      </c>
      <c r="AA30" s="3">
        <v>0.25</v>
      </c>
      <c r="AB30" s="3">
        <v>0.25</v>
      </c>
      <c r="AC30" s="3">
        <v>0.25</v>
      </c>
      <c r="AD30" s="3">
        <v>0.25</v>
      </c>
      <c r="AE30" s="3">
        <v>0.25</v>
      </c>
      <c r="AF30" s="3">
        <v>0.25</v>
      </c>
      <c r="AG30" s="3"/>
      <c r="AH30" s="3"/>
      <c r="AI30" s="3"/>
    </row>
    <row r="31" customHeight="1" spans="1:35">
      <c r="A31" s="1" t="s">
        <v>558</v>
      </c>
      <c r="B31" s="1" t="s">
        <v>111</v>
      </c>
      <c r="C31" s="6">
        <v>475</v>
      </c>
      <c r="D31" s="3">
        <v>0.2</v>
      </c>
      <c r="E31" s="3"/>
      <c r="F31" s="3"/>
      <c r="G31" s="3"/>
      <c r="H31" s="3"/>
      <c r="I31" s="3"/>
      <c r="J31" s="3"/>
      <c r="K31" s="2" t="s">
        <v>559</v>
      </c>
      <c r="L31" s="3"/>
      <c r="M31" s="3"/>
      <c r="N31" s="3"/>
      <c r="O31" s="3"/>
      <c r="P31" s="3"/>
      <c r="Q31" s="3">
        <v>0.4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customHeight="1" spans="1:35">
      <c r="A32" s="1" t="s">
        <v>560</v>
      </c>
      <c r="B32" s="1" t="s">
        <v>111</v>
      </c>
      <c r="C32" s="6">
        <v>475</v>
      </c>
      <c r="D32" s="3"/>
      <c r="E32" s="3"/>
      <c r="F32" s="3"/>
      <c r="G32" s="3"/>
      <c r="H32" s="3">
        <v>0.6</v>
      </c>
      <c r="I32" s="3"/>
      <c r="J32" s="3"/>
      <c r="K32" s="2" t="s">
        <v>561</v>
      </c>
      <c r="L32" s="3"/>
      <c r="M32" s="3"/>
      <c r="N32" s="3"/>
      <c r="O32" s="3"/>
      <c r="P32" s="3">
        <v>0.4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customHeight="1" spans="1:35">
      <c r="A33" s="1" t="s">
        <v>134</v>
      </c>
      <c r="B33" s="1" t="s">
        <v>130</v>
      </c>
      <c r="C33" s="6">
        <v>684</v>
      </c>
      <c r="D33" s="3"/>
      <c r="E33" s="3"/>
      <c r="F33" s="3"/>
      <c r="G33" s="3">
        <v>0.24</v>
      </c>
      <c r="H33" s="3"/>
      <c r="I33" s="3"/>
      <c r="J33" s="3"/>
      <c r="K33" s="2" t="s">
        <v>562</v>
      </c>
      <c r="L33" s="3"/>
      <c r="M33" s="3"/>
      <c r="N33" s="3"/>
      <c r="O33" s="3"/>
      <c r="P33" s="3"/>
      <c r="Q33" s="3"/>
      <c r="R33" s="3"/>
      <c r="S33" s="3">
        <v>0.6</v>
      </c>
      <c r="T33" s="3"/>
      <c r="U33" s="3"/>
      <c r="V33" s="3">
        <v>0.202</v>
      </c>
      <c r="W33" s="3">
        <v>0.202</v>
      </c>
      <c r="X33" s="3">
        <v>0.202</v>
      </c>
      <c r="Y33" s="3">
        <v>0.202</v>
      </c>
      <c r="Z33" s="3">
        <v>0.202</v>
      </c>
      <c r="AA33" s="3">
        <v>0.202</v>
      </c>
      <c r="AB33" s="3">
        <v>0.202</v>
      </c>
      <c r="AC33" s="3">
        <v>0.202</v>
      </c>
      <c r="AD33" s="3">
        <v>0.202</v>
      </c>
      <c r="AE33" s="3">
        <v>0.202</v>
      </c>
      <c r="AF33" s="3">
        <v>0.202</v>
      </c>
      <c r="AG33" s="3"/>
      <c r="AH33" s="3"/>
      <c r="AI33" s="3"/>
    </row>
    <row r="34" customHeight="1" spans="1:35">
      <c r="A34" s="1" t="s">
        <v>137</v>
      </c>
      <c r="B34" s="1" t="s">
        <v>130</v>
      </c>
      <c r="C34" s="6">
        <v>625</v>
      </c>
      <c r="D34" s="3"/>
      <c r="E34" s="3"/>
      <c r="F34" s="3"/>
      <c r="G34" s="3"/>
      <c r="H34" s="3"/>
      <c r="I34" s="3"/>
      <c r="J34" s="3">
        <v>0.5</v>
      </c>
      <c r="K34" s="2" t="s">
        <v>563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customHeight="1" spans="1:35">
      <c r="A35" s="1" t="s">
        <v>140</v>
      </c>
      <c r="B35" s="1" t="s">
        <v>130</v>
      </c>
      <c r="C35" s="6">
        <v>625</v>
      </c>
      <c r="D35" s="3"/>
      <c r="E35" s="3"/>
      <c r="F35" s="3"/>
      <c r="G35" s="3"/>
      <c r="H35" s="3"/>
      <c r="I35" s="3"/>
      <c r="J35" s="3">
        <v>0.5</v>
      </c>
      <c r="K35" s="2" t="s">
        <v>564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customHeight="1" spans="1:35">
      <c r="A36" s="1" t="s">
        <v>131</v>
      </c>
      <c r="B36" s="1" t="s">
        <v>130</v>
      </c>
      <c r="C36" s="6">
        <v>625</v>
      </c>
      <c r="D36" s="3">
        <v>0.25</v>
      </c>
      <c r="E36" s="3"/>
      <c r="F36" s="3"/>
      <c r="G36" s="3"/>
      <c r="H36" s="3"/>
      <c r="I36" s="3"/>
      <c r="J36" s="3"/>
      <c r="K36" s="2" t="s">
        <v>565</v>
      </c>
      <c r="L36" s="3">
        <f>2%*3</f>
        <v>0.06</v>
      </c>
      <c r="M36" s="3"/>
      <c r="N36" s="3"/>
      <c r="O36" s="3"/>
      <c r="P36" s="3"/>
      <c r="Q36" s="3"/>
      <c r="R36" s="3"/>
      <c r="S36" s="3"/>
      <c r="T36" s="3"/>
      <c r="U36" s="3"/>
      <c r="V36" s="3">
        <v>0.15</v>
      </c>
      <c r="W36" s="3">
        <v>0.15</v>
      </c>
      <c r="X36" s="3">
        <v>0.15</v>
      </c>
      <c r="Y36" s="3">
        <v>0.15</v>
      </c>
      <c r="Z36" s="3">
        <v>0.15</v>
      </c>
      <c r="AA36" s="3">
        <v>0.15</v>
      </c>
      <c r="AB36" s="3">
        <v>0.15</v>
      </c>
      <c r="AC36" s="3">
        <v>0.15</v>
      </c>
      <c r="AD36" s="3">
        <v>0.15</v>
      </c>
      <c r="AE36" s="3">
        <v>0.15</v>
      </c>
      <c r="AF36" s="3">
        <v>0.15</v>
      </c>
      <c r="AG36" s="3"/>
      <c r="AH36" s="3"/>
      <c r="AI36" s="3"/>
    </row>
    <row r="37" customHeight="1" spans="1:35">
      <c r="A37" s="1" t="s">
        <v>566</v>
      </c>
      <c r="B37" s="1" t="s">
        <v>130</v>
      </c>
      <c r="C37" s="6">
        <v>594</v>
      </c>
      <c r="D37" s="3"/>
      <c r="E37" s="3"/>
      <c r="F37" s="3"/>
      <c r="G37" s="3">
        <v>0.2</v>
      </c>
      <c r="H37" s="3"/>
      <c r="I37" s="3"/>
      <c r="J37" s="3"/>
      <c r="K37" s="2" t="s">
        <v>567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customHeight="1" spans="1:35">
      <c r="A38" s="1" t="s">
        <v>568</v>
      </c>
      <c r="B38" s="1" t="s">
        <v>130</v>
      </c>
      <c r="C38" s="6">
        <v>594</v>
      </c>
      <c r="D38" s="3"/>
      <c r="E38" s="3"/>
      <c r="F38" s="3"/>
      <c r="G38" s="3"/>
      <c r="H38" s="3"/>
      <c r="I38" s="3"/>
      <c r="J38" s="3">
        <v>0.5</v>
      </c>
      <c r="K38" s="2" t="s">
        <v>569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customHeight="1" spans="1:35">
      <c r="A39" s="1" t="s">
        <v>570</v>
      </c>
      <c r="B39" s="1" t="s">
        <v>130</v>
      </c>
      <c r="C39" s="6">
        <v>475</v>
      </c>
      <c r="D39" s="3"/>
      <c r="E39" s="3"/>
      <c r="F39" s="3"/>
      <c r="G39" s="3"/>
      <c r="H39" s="3"/>
      <c r="I39" s="3"/>
      <c r="J39" s="3">
        <v>0.4</v>
      </c>
      <c r="K39" s="2" t="s">
        <v>571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customHeight="1" spans="1:35">
      <c r="A40" s="1" t="s">
        <v>145</v>
      </c>
      <c r="B40" s="1" t="s">
        <v>144</v>
      </c>
      <c r="C40" s="6">
        <v>714</v>
      </c>
      <c r="D40" s="3"/>
      <c r="E40" s="3"/>
      <c r="F40" s="3"/>
      <c r="G40" s="3"/>
      <c r="H40" s="3"/>
      <c r="I40" s="3">
        <v>0.18</v>
      </c>
      <c r="J40" s="3"/>
      <c r="K40" s="2" t="s">
        <v>572</v>
      </c>
      <c r="L40" s="3"/>
      <c r="M40" s="3"/>
      <c r="N40" s="3"/>
      <c r="O40" s="3"/>
      <c r="P40" s="3"/>
      <c r="Q40" s="3"/>
      <c r="R40" s="3"/>
      <c r="S40" s="3"/>
      <c r="T40" s="3">
        <v>0.2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customHeight="1" spans="1:35">
      <c r="A41" s="1" t="s">
        <v>573</v>
      </c>
      <c r="B41" s="1" t="s">
        <v>144</v>
      </c>
      <c r="C41" s="6">
        <v>625</v>
      </c>
      <c r="D41" s="3">
        <v>0.25</v>
      </c>
      <c r="E41" s="3"/>
      <c r="F41" s="3"/>
      <c r="G41" s="3"/>
      <c r="H41" s="3"/>
      <c r="I41" s="3"/>
      <c r="J41" s="3"/>
      <c r="K41" s="2" t="s">
        <v>574</v>
      </c>
      <c r="L41" s="3"/>
      <c r="M41" s="3"/>
      <c r="N41" s="3"/>
      <c r="O41" s="3"/>
      <c r="P41" s="3"/>
      <c r="Q41" s="3"/>
      <c r="R41" s="3"/>
      <c r="S41" s="3">
        <v>0.4</v>
      </c>
      <c r="T41" s="3"/>
      <c r="U41" s="3">
        <v>0.36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customHeight="1" spans="1:35">
      <c r="A42" s="1" t="s">
        <v>575</v>
      </c>
      <c r="B42" s="1" t="s">
        <v>144</v>
      </c>
      <c r="C42" s="6">
        <v>595</v>
      </c>
      <c r="D42" s="3"/>
      <c r="E42" s="3"/>
      <c r="F42" s="3"/>
      <c r="G42" s="3"/>
      <c r="H42" s="3"/>
      <c r="I42" s="3"/>
      <c r="J42" s="3"/>
      <c r="K42" s="2" t="s">
        <v>576</v>
      </c>
      <c r="L42" s="3"/>
      <c r="M42" s="3"/>
      <c r="N42" s="3"/>
      <c r="O42" s="3"/>
      <c r="P42" s="3"/>
      <c r="Q42" s="3"/>
      <c r="R42" s="3">
        <v>0.16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8" customHeight="1" spans="22:35"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customHeight="1" spans="22:35"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customHeight="1" spans="22:35"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customHeight="1" spans="22:35"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</sheetData>
  <sheetProtection formatCells="0" insertHyperlinks="0" autoFilter="0"/>
  <conditionalFormatting sqref="C3">
    <cfRule type="cellIs" dxfId="0" priority="11" operator="equal">
      <formula>0</formula>
    </cfRule>
  </conditionalFormatting>
  <conditionalFormatting sqref="D3:H3">
    <cfRule type="cellIs" dxfId="0" priority="13" operator="equal">
      <formula>0</formula>
    </cfRule>
  </conditionalFormatting>
  <conditionalFormatting sqref="I3:J3">
    <cfRule type="cellIs" dxfId="0" priority="12" operator="equal">
      <formula>0</formula>
    </cfRule>
  </conditionalFormatting>
  <conditionalFormatting sqref="L3:P3">
    <cfRule type="cellIs" dxfId="0" priority="10" operator="equal">
      <formula>0</formula>
    </cfRule>
  </conditionalFormatting>
  <conditionalFormatting sqref="Q3">
    <cfRule type="cellIs" dxfId="0" priority="8" operator="equal">
      <formula>0</formula>
    </cfRule>
  </conditionalFormatting>
  <conditionalFormatting sqref="R3:U3">
    <cfRule type="cellIs" dxfId="0" priority="9" operator="equal">
      <formula>0</formula>
    </cfRule>
  </conditionalFormatting>
  <conditionalFormatting sqref="C4">
    <cfRule type="cellIs" dxfId="0" priority="17" operator="equal">
      <formula>0</formula>
    </cfRule>
  </conditionalFormatting>
  <conditionalFormatting sqref="D4:H4">
    <cfRule type="cellIs" dxfId="0" priority="19" operator="equal">
      <formula>0</formula>
    </cfRule>
  </conditionalFormatting>
  <conditionalFormatting sqref="I4:J4">
    <cfRule type="cellIs" dxfId="0" priority="18" operator="equal">
      <formula>0</formula>
    </cfRule>
  </conditionalFormatting>
  <conditionalFormatting sqref="L4:P4">
    <cfRule type="cellIs" dxfId="0" priority="16" operator="equal">
      <formula>0</formula>
    </cfRule>
  </conditionalFormatting>
  <conditionalFormatting sqref="Q4">
    <cfRule type="cellIs" dxfId="0" priority="14" operator="equal">
      <formula>0</formula>
    </cfRule>
  </conditionalFormatting>
  <conditionalFormatting sqref="R4:U4">
    <cfRule type="cellIs" dxfId="0" priority="15" operator="equal">
      <formula>0</formula>
    </cfRule>
  </conditionalFormatting>
  <conditionalFormatting sqref="C9">
    <cfRule type="cellIs" dxfId="0" priority="65" operator="equal">
      <formula>0</formula>
    </cfRule>
  </conditionalFormatting>
  <conditionalFormatting sqref="C22">
    <cfRule type="cellIs" dxfId="0" priority="4" operator="equal">
      <formula>0</formula>
    </cfRule>
  </conditionalFormatting>
  <conditionalFormatting sqref="D22:H22">
    <cfRule type="cellIs" dxfId="0" priority="6" operator="equal">
      <formula>0</formula>
    </cfRule>
  </conditionalFormatting>
  <conditionalFormatting sqref="I22:J22">
    <cfRule type="cellIs" dxfId="0" priority="5" operator="equal">
      <formula>0</formula>
    </cfRule>
  </conditionalFormatting>
  <conditionalFormatting sqref="L22:P22">
    <cfRule type="cellIs" dxfId="0" priority="3" operator="equal">
      <formula>0</formula>
    </cfRule>
  </conditionalFormatting>
  <conditionalFormatting sqref="Q22">
    <cfRule type="cellIs" dxfId="0" priority="1" operator="equal">
      <formula>0</formula>
    </cfRule>
  </conditionalFormatting>
  <conditionalFormatting sqref="R22:U22">
    <cfRule type="cellIs" dxfId="0" priority="2" operator="equal">
      <formula>0</formula>
    </cfRule>
  </conditionalFormatting>
  <conditionalFormatting sqref="C23">
    <cfRule type="cellIs" dxfId="0" priority="23" operator="equal">
      <formula>0</formula>
    </cfRule>
  </conditionalFormatting>
  <conditionalFormatting sqref="D23:H23">
    <cfRule type="cellIs" dxfId="0" priority="25" operator="equal">
      <formula>0</formula>
    </cfRule>
  </conditionalFormatting>
  <conditionalFormatting sqref="I23:J23">
    <cfRule type="cellIs" dxfId="0" priority="24" operator="equal">
      <formula>0</formula>
    </cfRule>
  </conditionalFormatting>
  <conditionalFormatting sqref="L23:P23">
    <cfRule type="cellIs" dxfId="0" priority="22" operator="equal">
      <formula>0</formula>
    </cfRule>
  </conditionalFormatting>
  <conditionalFormatting sqref="Q23">
    <cfRule type="cellIs" dxfId="0" priority="20" operator="equal">
      <formula>0</formula>
    </cfRule>
  </conditionalFormatting>
  <conditionalFormatting sqref="R23:U23">
    <cfRule type="cellIs" dxfId="0" priority="21" operator="equal">
      <formula>0</formula>
    </cfRule>
  </conditionalFormatting>
  <conditionalFormatting sqref="C24">
    <cfRule type="cellIs" dxfId="0" priority="62" operator="equal">
      <formula>0</formula>
    </cfRule>
  </conditionalFormatting>
  <conditionalFormatting sqref="D24:H24">
    <cfRule type="cellIs" dxfId="0" priority="64" operator="equal">
      <formula>0</formula>
    </cfRule>
  </conditionalFormatting>
  <conditionalFormatting sqref="I24:J24">
    <cfRule type="cellIs" dxfId="0" priority="63" operator="equal">
      <formula>0</formula>
    </cfRule>
  </conditionalFormatting>
  <conditionalFormatting sqref="L24:P24">
    <cfRule type="cellIs" dxfId="0" priority="61" operator="equal">
      <formula>0</formula>
    </cfRule>
  </conditionalFormatting>
  <conditionalFormatting sqref="Q24">
    <cfRule type="cellIs" dxfId="0" priority="41" operator="equal">
      <formula>0</formula>
    </cfRule>
  </conditionalFormatting>
  <conditionalFormatting sqref="R24:U24">
    <cfRule type="cellIs" dxfId="0" priority="60" operator="equal">
      <formula>0</formula>
    </cfRule>
  </conditionalFormatting>
  <conditionalFormatting sqref="C31">
    <cfRule type="cellIs" dxfId="0" priority="49" operator="equal">
      <formula>0</formula>
    </cfRule>
  </conditionalFormatting>
  <conditionalFormatting sqref="D31:H31">
    <cfRule type="cellIs" dxfId="0" priority="51" operator="equal">
      <formula>0</formula>
    </cfRule>
  </conditionalFormatting>
  <conditionalFormatting sqref="I31:J31">
    <cfRule type="cellIs" dxfId="0" priority="50" operator="equal">
      <formula>0</formula>
    </cfRule>
  </conditionalFormatting>
  <conditionalFormatting sqref="L31:P31">
    <cfRule type="cellIs" dxfId="0" priority="48" operator="equal">
      <formula>0</formula>
    </cfRule>
  </conditionalFormatting>
  <conditionalFormatting sqref="Q31">
    <cfRule type="cellIs" dxfId="0" priority="37" operator="equal">
      <formula>0</formula>
    </cfRule>
  </conditionalFormatting>
  <conditionalFormatting sqref="R31:U31">
    <cfRule type="cellIs" dxfId="0" priority="47" operator="equal">
      <formula>0</formula>
    </cfRule>
  </conditionalFormatting>
  <conditionalFormatting sqref="D37:H37">
    <cfRule type="cellIs" dxfId="0" priority="87" operator="equal">
      <formula>0</formula>
    </cfRule>
  </conditionalFormatting>
  <conditionalFormatting sqref="I37:J37">
    <cfRule type="cellIs" dxfId="0" priority="86" operator="equal">
      <formula>0</formula>
    </cfRule>
  </conditionalFormatting>
  <conditionalFormatting sqref="L37:P37">
    <cfRule type="cellIs" dxfId="0" priority="75" operator="equal">
      <formula>0</formula>
    </cfRule>
  </conditionalFormatting>
  <conditionalFormatting sqref="Q37">
    <cfRule type="cellIs" dxfId="0" priority="45" operator="equal">
      <formula>0</formula>
    </cfRule>
  </conditionalFormatting>
  <conditionalFormatting sqref="R37:U37">
    <cfRule type="cellIs" dxfId="0" priority="74" operator="equal">
      <formula>0</formula>
    </cfRule>
  </conditionalFormatting>
  <conditionalFormatting sqref="D38:H38">
    <cfRule type="cellIs" dxfId="0" priority="85" operator="equal">
      <formula>0</formula>
    </cfRule>
  </conditionalFormatting>
  <conditionalFormatting sqref="I38:J38">
    <cfRule type="cellIs" dxfId="0" priority="84" operator="equal">
      <formula>0</formula>
    </cfRule>
  </conditionalFormatting>
  <conditionalFormatting sqref="L38:P38">
    <cfRule type="cellIs" dxfId="0" priority="73" operator="equal">
      <formula>0</formula>
    </cfRule>
  </conditionalFormatting>
  <conditionalFormatting sqref="Q38">
    <cfRule type="cellIs" dxfId="0" priority="44" operator="equal">
      <formula>0</formula>
    </cfRule>
  </conditionalFormatting>
  <conditionalFormatting sqref="R38:U38">
    <cfRule type="cellIs" dxfId="0" priority="72" operator="equal">
      <formula>0</formula>
    </cfRule>
  </conditionalFormatting>
  <conditionalFormatting sqref="D39:H39">
    <cfRule type="cellIs" dxfId="0" priority="69" operator="equal">
      <formula>0</formula>
    </cfRule>
  </conditionalFormatting>
  <conditionalFormatting sqref="I39:J39">
    <cfRule type="cellIs" dxfId="0" priority="68" operator="equal">
      <formula>0</formula>
    </cfRule>
  </conditionalFormatting>
  <conditionalFormatting sqref="L39:P39">
    <cfRule type="cellIs" dxfId="0" priority="67" operator="equal">
      <formula>0</formula>
    </cfRule>
  </conditionalFormatting>
  <conditionalFormatting sqref="Q39">
    <cfRule type="cellIs" dxfId="0" priority="42" operator="equal">
      <formula>0</formula>
    </cfRule>
  </conditionalFormatting>
  <conditionalFormatting sqref="R39:U39">
    <cfRule type="cellIs" dxfId="0" priority="66" operator="equal">
      <formula>0</formula>
    </cfRule>
  </conditionalFormatting>
  <conditionalFormatting sqref="D40:H40">
    <cfRule type="cellIs" dxfId="0" priority="59" operator="equal">
      <formula>0</formula>
    </cfRule>
  </conditionalFormatting>
  <conditionalFormatting sqref="I40:J40">
    <cfRule type="cellIs" dxfId="0" priority="58" operator="equal">
      <formula>0</formula>
    </cfRule>
  </conditionalFormatting>
  <conditionalFormatting sqref="L40:P40">
    <cfRule type="cellIs" dxfId="0" priority="57" operator="equal">
      <formula>0</formula>
    </cfRule>
  </conditionalFormatting>
  <conditionalFormatting sqref="Q40">
    <cfRule type="cellIs" dxfId="0" priority="40" operator="equal">
      <formula>0</formula>
    </cfRule>
  </conditionalFormatting>
  <conditionalFormatting sqref="R40:U40">
    <cfRule type="cellIs" dxfId="0" priority="56" operator="equal">
      <formula>0</formula>
    </cfRule>
  </conditionalFormatting>
  <conditionalFormatting sqref="D41:H41">
    <cfRule type="cellIs" dxfId="0" priority="55" operator="equal">
      <formula>0</formula>
    </cfRule>
  </conditionalFormatting>
  <conditionalFormatting sqref="I41:J41">
    <cfRule type="cellIs" dxfId="0" priority="54" operator="equal">
      <formula>0</formula>
    </cfRule>
  </conditionalFormatting>
  <conditionalFormatting sqref="L41:P41">
    <cfRule type="cellIs" dxfId="0" priority="53" operator="equal">
      <formula>0</formula>
    </cfRule>
  </conditionalFormatting>
  <conditionalFormatting sqref="Q41">
    <cfRule type="cellIs" dxfId="0" priority="39" operator="equal">
      <formula>0</formula>
    </cfRule>
  </conditionalFormatting>
  <conditionalFormatting sqref="R41:U41">
    <cfRule type="cellIs" dxfId="0" priority="52" operator="equal">
      <formula>0</formula>
    </cfRule>
  </conditionalFormatting>
  <conditionalFormatting sqref="D42:H42">
    <cfRule type="cellIs" dxfId="0" priority="83" operator="equal">
      <formula>0</formula>
    </cfRule>
  </conditionalFormatting>
  <conditionalFormatting sqref="I42:J42">
    <cfRule type="cellIs" dxfId="0" priority="82" operator="equal">
      <formula>0</formula>
    </cfRule>
  </conditionalFormatting>
  <conditionalFormatting sqref="L42:P42">
    <cfRule type="cellIs" dxfId="0" priority="71" operator="equal">
      <formula>0</formula>
    </cfRule>
  </conditionalFormatting>
  <conditionalFormatting sqref="Q42">
    <cfRule type="cellIs" dxfId="0" priority="43" operator="equal">
      <formula>0</formula>
    </cfRule>
  </conditionalFormatting>
  <conditionalFormatting sqref="R42:U42">
    <cfRule type="cellIs" dxfId="0" priority="70" operator="equal">
      <formula>0</formula>
    </cfRule>
  </conditionalFormatting>
  <conditionalFormatting sqref="C5:C7">
    <cfRule type="cellIs" dxfId="0" priority="81" operator="equal">
      <formula>0</formula>
    </cfRule>
  </conditionalFormatting>
  <conditionalFormatting sqref="C13:C20">
    <cfRule type="cellIs" dxfId="0" priority="79" operator="equal">
      <formula>0</formula>
    </cfRule>
  </conditionalFormatting>
  <conditionalFormatting sqref="D5:H21 D25:H30 D32:H36">
    <cfRule type="cellIs" dxfId="0" priority="89" operator="equal">
      <formula>0</formula>
    </cfRule>
  </conditionalFormatting>
  <conditionalFormatting sqref="I5:J21 I25:J30 I32:J36">
    <cfRule type="cellIs" dxfId="0" priority="88" operator="equal">
      <formula>0</formula>
    </cfRule>
  </conditionalFormatting>
  <conditionalFormatting sqref="L5:P21 L25:P30 L32:P36">
    <cfRule type="cellIs" dxfId="0" priority="77" operator="equal">
      <formula>0</formula>
    </cfRule>
  </conditionalFormatting>
  <conditionalFormatting sqref="Q5:Q21 Q25:Q30 Q32:Q36">
    <cfRule type="cellIs" dxfId="0" priority="46" operator="equal">
      <formula>0</formula>
    </cfRule>
  </conditionalFormatting>
  <conditionalFormatting sqref="R5:U21 R32:U36 R25:U30">
    <cfRule type="cellIs" dxfId="0" priority="76" operator="equal">
      <formula>0</formula>
    </cfRule>
  </conditionalFormatting>
  <conditionalFormatting sqref="C8 C10:C12">
    <cfRule type="cellIs" dxfId="0" priority="80" operator="equal">
      <formula>0</formula>
    </cfRule>
  </conditionalFormatting>
  <conditionalFormatting sqref="C21 C25:C30 C32:C33">
    <cfRule type="cellIs" dxfId="0" priority="78" operator="equal">
      <formula>0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"/>
  <sheetViews>
    <sheetView topLeftCell="A2" workbookViewId="0">
      <pane xSplit="1" ySplit="1" topLeftCell="I6" activePane="bottomRight" state="frozen"/>
      <selection/>
      <selection pane="topRight"/>
      <selection pane="bottomLeft"/>
      <selection pane="bottomRight" activeCell="L6" sqref="L6"/>
    </sheetView>
  </sheetViews>
  <sheetFormatPr defaultColWidth="9.90740740740741" defaultRowHeight="44" customHeight="1"/>
  <cols>
    <col min="1" max="9" width="13.7777777777778" style="1"/>
    <col min="10" max="10" width="30.7777777777778" style="2" customWidth="1"/>
    <col min="11" max="16384" width="13.7777777777778" style="1"/>
  </cols>
  <sheetData>
    <row r="1" customHeight="1" spans="1:26">
      <c r="A1" s="1">
        <f>COLUMN()</f>
        <v>1</v>
      </c>
      <c r="B1" s="1">
        <f>COLUMN()</f>
        <v>2</v>
      </c>
      <c r="C1" s="1">
        <f>COLUMN()</f>
        <v>3</v>
      </c>
      <c r="D1" s="1">
        <f>COLUMN()</f>
        <v>4</v>
      </c>
      <c r="E1" s="1">
        <f t="shared" ref="E1:S1" si="0">COLUMN()</f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  <c r="S1" s="1">
        <f t="shared" si="0"/>
        <v>19</v>
      </c>
      <c r="T1" s="1">
        <f t="shared" ref="S1:Z1" si="1">COLUMN()</f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  <c r="Z1" s="1">
        <f t="shared" si="1"/>
        <v>26</v>
      </c>
    </row>
    <row r="2" customHeight="1" spans="1:26">
      <c r="A2" s="1" t="s">
        <v>162</v>
      </c>
      <c r="B2" s="1" t="s">
        <v>97</v>
      </c>
      <c r="C2" s="1" t="s">
        <v>70</v>
      </c>
      <c r="D2" s="1" t="s">
        <v>82</v>
      </c>
      <c r="E2" s="1" t="s">
        <v>69</v>
      </c>
      <c r="F2" s="1" t="s">
        <v>76</v>
      </c>
      <c r="G2" s="1" t="s">
        <v>114</v>
      </c>
      <c r="H2" s="1" t="s">
        <v>98</v>
      </c>
      <c r="I2" s="1" t="s">
        <v>138</v>
      </c>
      <c r="J2" s="4" t="s">
        <v>577</v>
      </c>
      <c r="K2" s="1" t="s">
        <v>70</v>
      </c>
      <c r="L2" s="1" t="s">
        <v>82</v>
      </c>
      <c r="M2" s="1" t="s">
        <v>69</v>
      </c>
      <c r="N2" s="1" t="s">
        <v>406</v>
      </c>
      <c r="O2" s="1" t="s">
        <v>407</v>
      </c>
      <c r="P2" s="1" t="s">
        <v>408</v>
      </c>
      <c r="Q2" s="1" t="s">
        <v>409</v>
      </c>
      <c r="R2" s="1" t="s">
        <v>410</v>
      </c>
      <c r="S2" s="1" t="s">
        <v>411</v>
      </c>
      <c r="T2" s="1" t="s">
        <v>412</v>
      </c>
      <c r="U2" s="4" t="s">
        <v>413</v>
      </c>
      <c r="V2" s="4" t="s">
        <v>414</v>
      </c>
      <c r="W2" s="4" t="s">
        <v>415</v>
      </c>
      <c r="X2" s="4" t="s">
        <v>514</v>
      </c>
      <c r="Y2" s="1" t="s">
        <v>417</v>
      </c>
      <c r="Z2" s="1" t="s">
        <v>515</v>
      </c>
    </row>
    <row r="3" customHeight="1" spans="1:25">
      <c r="A3" s="1" t="s">
        <v>68</v>
      </c>
      <c r="B3" s="3"/>
      <c r="C3" s="3"/>
      <c r="D3" s="3">
        <v>0.08</v>
      </c>
      <c r="E3" s="3"/>
      <c r="F3" s="3"/>
      <c r="G3" s="3"/>
      <c r="H3" s="3"/>
      <c r="I3" s="3"/>
      <c r="J3" s="2" t="s">
        <v>578</v>
      </c>
      <c r="K3" s="3">
        <f>9%*3</f>
        <v>0.27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spans="1:25">
      <c r="A4" s="1" t="s">
        <v>75</v>
      </c>
      <c r="B4" s="3"/>
      <c r="C4" s="3"/>
      <c r="D4" s="3"/>
      <c r="E4" s="3"/>
      <c r="F4" s="3">
        <v>0.08</v>
      </c>
      <c r="G4" s="3"/>
      <c r="H4" s="3"/>
      <c r="I4" s="3"/>
      <c r="J4" s="2" t="s">
        <v>579</v>
      </c>
      <c r="K4" s="3">
        <v>0.05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>
        <v>0.2</v>
      </c>
      <c r="X4" s="3"/>
      <c r="Y4" s="3"/>
    </row>
    <row r="5" customHeight="1" spans="1:25">
      <c r="A5" s="1" t="s">
        <v>80</v>
      </c>
      <c r="B5" s="3"/>
      <c r="C5" s="3">
        <v>0.1</v>
      </c>
      <c r="D5" s="3"/>
      <c r="E5" s="3"/>
      <c r="F5" s="3"/>
      <c r="G5" s="3"/>
      <c r="H5" s="3"/>
      <c r="I5" s="3"/>
      <c r="J5" s="2" t="s">
        <v>580</v>
      </c>
      <c r="K5" s="3">
        <v>0.25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Height="1" spans="1:25">
      <c r="A6" s="1" t="s">
        <v>74</v>
      </c>
      <c r="B6" s="3">
        <v>0.1</v>
      </c>
      <c r="C6" s="3"/>
      <c r="D6" s="3"/>
      <c r="E6" s="3"/>
      <c r="F6" s="3"/>
      <c r="G6" s="3"/>
      <c r="H6" s="3"/>
      <c r="I6" s="3"/>
      <c r="J6" s="2" t="s">
        <v>581</v>
      </c>
      <c r="K6" s="3"/>
      <c r="L6" s="3"/>
      <c r="M6" s="3"/>
      <c r="N6" s="3">
        <v>0.5</v>
      </c>
      <c r="O6" s="3">
        <v>0.5</v>
      </c>
      <c r="P6" s="3">
        <v>0.5</v>
      </c>
      <c r="Q6" s="3">
        <v>0.5</v>
      </c>
      <c r="R6" s="3"/>
      <c r="S6" s="3"/>
      <c r="T6" s="3"/>
      <c r="U6" s="3"/>
      <c r="V6" s="3"/>
      <c r="W6" s="3"/>
      <c r="X6" s="3">
        <v>0.5</v>
      </c>
      <c r="Y6" s="3"/>
    </row>
    <row r="7" customHeight="1" spans="1:25">
      <c r="A7" s="1" t="s">
        <v>67</v>
      </c>
      <c r="B7" s="3">
        <v>0.1</v>
      </c>
      <c r="C7" s="3"/>
      <c r="D7" s="3"/>
      <c r="E7" s="3"/>
      <c r="F7" s="3"/>
      <c r="G7" s="3"/>
      <c r="H7" s="3"/>
      <c r="I7" s="3"/>
      <c r="J7" s="2" t="s">
        <v>582</v>
      </c>
      <c r="K7" s="3"/>
      <c r="L7" s="3"/>
      <c r="M7" s="3">
        <f>20%+5.5%*6</f>
        <v>0.53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Height="1" spans="1:25">
      <c r="A8" s="1" t="s">
        <v>85</v>
      </c>
      <c r="B8" s="3">
        <v>0.1</v>
      </c>
      <c r="C8" s="3"/>
      <c r="D8" s="3"/>
      <c r="E8" s="3"/>
      <c r="F8" s="3"/>
      <c r="G8" s="3"/>
      <c r="H8" s="3"/>
      <c r="I8" s="3"/>
      <c r="J8" s="2" t="s">
        <v>583</v>
      </c>
      <c r="K8" s="3"/>
      <c r="L8" s="3">
        <v>0.28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Height="1" spans="1:25">
      <c r="A9" s="1" t="s">
        <v>91</v>
      </c>
      <c r="B9" s="3">
        <v>0.1</v>
      </c>
      <c r="C9" s="3"/>
      <c r="D9" s="3"/>
      <c r="E9" s="3"/>
      <c r="F9" s="3"/>
      <c r="G9" s="3"/>
      <c r="H9" s="3"/>
      <c r="I9" s="3"/>
      <c r="J9" s="2" t="s">
        <v>584</v>
      </c>
      <c r="K9" s="3">
        <v>0.27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Height="1" spans="1:25">
      <c r="A10" s="1" t="s">
        <v>81</v>
      </c>
      <c r="B10" s="3">
        <v>0.1</v>
      </c>
      <c r="C10" s="3"/>
      <c r="D10" s="3"/>
      <c r="E10" s="3"/>
      <c r="F10" s="3"/>
      <c r="G10" s="3"/>
      <c r="H10" s="3"/>
      <c r="I10" s="3"/>
      <c r="J10" s="2" t="s">
        <v>585</v>
      </c>
      <c r="K10" s="3"/>
      <c r="L10" s="3"/>
      <c r="M10" s="3"/>
      <c r="N10" s="3">
        <v>0.35</v>
      </c>
      <c r="O10" s="3">
        <v>0.35</v>
      </c>
      <c r="P10" s="3">
        <v>0.35</v>
      </c>
      <c r="Q10" s="3">
        <v>0.35</v>
      </c>
      <c r="R10" s="3">
        <v>0.35</v>
      </c>
      <c r="S10" s="3">
        <v>0.35</v>
      </c>
      <c r="T10" s="3">
        <v>0.35</v>
      </c>
      <c r="U10" s="3">
        <v>0.35</v>
      </c>
      <c r="V10" s="3">
        <v>0.35</v>
      </c>
      <c r="W10" s="3">
        <v>0.35</v>
      </c>
      <c r="X10" s="3">
        <v>0.35</v>
      </c>
      <c r="Y10" s="3"/>
    </row>
    <row r="11" customHeight="1" spans="1:25">
      <c r="A11" s="1" t="s">
        <v>95</v>
      </c>
      <c r="B11" s="3"/>
      <c r="C11" s="3"/>
      <c r="D11" s="3"/>
      <c r="E11" s="3"/>
      <c r="F11" s="3"/>
      <c r="G11" s="3"/>
      <c r="H11" s="3">
        <v>0.06</v>
      </c>
      <c r="I11" s="3"/>
      <c r="J11" s="2" t="s">
        <v>586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>
        <v>0.2</v>
      </c>
    </row>
    <row r="12" customHeight="1" spans="1:25">
      <c r="A12" s="1" t="s">
        <v>96</v>
      </c>
      <c r="B12" s="3"/>
      <c r="C12" s="3"/>
      <c r="D12" s="3"/>
      <c r="E12" s="3"/>
      <c r="F12" s="3"/>
      <c r="G12" s="3"/>
      <c r="H12" s="3"/>
      <c r="I12" s="3">
        <v>0.2</v>
      </c>
      <c r="J12" s="2" t="s">
        <v>587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Height="1" spans="1:25">
      <c r="A13" s="1" t="s">
        <v>103</v>
      </c>
      <c r="B13" s="3"/>
      <c r="C13" s="3"/>
      <c r="D13" s="3"/>
      <c r="E13" s="3"/>
      <c r="F13" s="3"/>
      <c r="G13" s="3">
        <v>0.3</v>
      </c>
      <c r="H13" s="3"/>
      <c r="I13" s="3"/>
      <c r="J13" s="2" t="s">
        <v>588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Height="1" spans="1:25">
      <c r="A14" s="1" t="s">
        <v>589</v>
      </c>
      <c r="B14" s="3"/>
      <c r="C14" s="3"/>
      <c r="D14" s="3"/>
      <c r="E14" s="3"/>
      <c r="F14" s="3"/>
      <c r="G14" s="3">
        <v>0.3</v>
      </c>
      <c r="H14" s="3"/>
      <c r="I14" s="3"/>
      <c r="J14" s="2" t="s">
        <v>590</v>
      </c>
      <c r="K14" s="3"/>
      <c r="L14" s="3"/>
      <c r="M14" s="3"/>
      <c r="N14" s="3">
        <v>0.15</v>
      </c>
      <c r="O14" s="3">
        <v>0.15</v>
      </c>
      <c r="P14" s="3">
        <v>0.15</v>
      </c>
      <c r="Q14" s="3">
        <v>0.15</v>
      </c>
      <c r="R14" s="3">
        <v>0.15</v>
      </c>
      <c r="S14" s="3">
        <v>0.15</v>
      </c>
      <c r="T14" s="3">
        <v>0.35</v>
      </c>
      <c r="U14" s="3">
        <v>0.15</v>
      </c>
      <c r="V14" s="3">
        <v>0.15</v>
      </c>
      <c r="W14" s="3">
        <v>0.15</v>
      </c>
      <c r="X14" s="3">
        <v>0.35</v>
      </c>
      <c r="Y14" s="3"/>
    </row>
    <row r="15" customHeight="1" spans="1:25">
      <c r="A15" s="1" t="s">
        <v>109</v>
      </c>
      <c r="B15" s="3"/>
      <c r="C15" s="3"/>
      <c r="D15" s="3"/>
      <c r="E15" s="3"/>
      <c r="F15" s="3"/>
      <c r="G15" s="3"/>
      <c r="H15" s="3"/>
      <c r="I15" s="3"/>
      <c r="J15" s="2" t="s">
        <v>591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Height="1" spans="1:25">
      <c r="A16" s="1" t="s">
        <v>592</v>
      </c>
      <c r="B16" s="3"/>
      <c r="C16" s="3"/>
      <c r="D16" s="3"/>
      <c r="E16" s="3"/>
      <c r="F16" s="3"/>
      <c r="G16" s="3"/>
      <c r="H16" s="3"/>
      <c r="I16" s="3"/>
      <c r="J16" s="2" t="s">
        <v>593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Height="1" spans="1:10">
      <c r="A17" s="1" t="str">
        <f>""</f>
        <v/>
      </c>
      <c r="J17" s="2" t="s">
        <v>253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2" rangeCreator="" othersAccessPermission="edit"/>
    <arrUserId title="区域1" rangeCreator="" othersAccessPermission="edit"/>
  </rangeList>
  <rangeList sheetStid="2" master=""/>
  <rangeList sheetStid="3" master=""/>
  <rangeList sheetStid="4" master=""/>
  <rangeList sheetStid="5" master=""/>
  <rangeList sheetStid="6" master="">
    <arrUserId title="区域1" rangeCreator="" othersAccessPermission="edit"/>
  </rangeList>
  <rangeList sheetStid="7" master=""/>
  <rangeList sheetStid="8" master=""/>
  <rangeList sheetStid="9" master=""/>
</allowEditUser>
</file>

<file path=customXml/item2.xml>��
</file>

<file path=customXml/item3.xml>��
</file>

<file path=customXml/item4.xml>��
</file>

<file path=customXml/item5.xml><?xml version="1.0" encoding="utf-8"?>
<comments xmlns="https://web.wps.cn/et/2018/main" xmlns:s="http://schemas.openxmlformats.org/spreadsheetml/2006/main">
  <commentList sheetStid="7">
    <comment s:ref="CG21" rgbClr="F3C3C0"/>
  </commentList>
</comment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云配队</vt:lpstr>
      <vt:lpstr>配装</vt:lpstr>
      <vt:lpstr>声明</vt:lpstr>
      <vt:lpstr>邦布</vt:lpstr>
      <vt:lpstr>数值</vt:lpstr>
      <vt:lpstr>计算</vt:lpstr>
      <vt:lpstr>角色</vt:lpstr>
      <vt:lpstr>音擎</vt:lpstr>
      <vt:lpstr>驱动盘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14252</dc:creator>
  <cp:lastModifiedBy>静默之光</cp:lastModifiedBy>
  <dcterms:created xsi:type="dcterms:W3CDTF">2024-06-01T11:21:00Z</dcterms:created>
  <dcterms:modified xsi:type="dcterms:W3CDTF">2024-11-13T05:35:48Z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D921800F4F084A009D7905DB9C641286</vt:lpwstr>
  </property>
  <property fmtid="{D5CDD505-2E9C-101B-9397-08002B2CF9AE}" pid="3" name="KSOProductBuildVer">
    <vt:lpwstr>2052-11.1.0.12165</vt:lpwstr>
  </property>
</Properties>
</file>