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tabRatio="594"/>
  </bookViews>
  <sheets>
    <sheet name="مد هیدرولیکی P06  " sheetId="1" r:id="rId1"/>
    <sheet name="پرشر سوئیچ" sheetId="7" r:id="rId2"/>
    <sheet name="cell + back + pore  pressure" sheetId="6" r:id="rId3"/>
    <sheet name="مد نیوماتیکی P09" sheetId="4" r:id="rId4"/>
    <sheet name="مد خلاء P05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H11" i="1" l="1"/>
  <c r="N17" i="4"/>
  <c r="N18" i="4"/>
  <c r="N19" i="4"/>
  <c r="N20" i="4"/>
  <c r="N21" i="4"/>
  <c r="N22" i="4"/>
  <c r="N23" i="4"/>
  <c r="N13" i="4"/>
  <c r="N14" i="4"/>
  <c r="N15" i="4"/>
  <c r="N16" i="4"/>
  <c r="L12" i="1"/>
  <c r="D11" i="7" l="1"/>
  <c r="C11" i="7"/>
  <c r="J7" i="7" s="1"/>
  <c r="F7" i="7"/>
  <c r="E7" i="7"/>
  <c r="I7" i="7" s="1"/>
  <c r="O13" i="4" l="1"/>
  <c r="O14" i="4"/>
  <c r="O15" i="4"/>
  <c r="O16" i="4"/>
  <c r="O17" i="4"/>
  <c r="O18" i="4"/>
  <c r="O19" i="4"/>
  <c r="O20" i="4"/>
  <c r="O21" i="4"/>
  <c r="O22" i="4"/>
  <c r="O23" i="4"/>
  <c r="L11" i="1" l="1"/>
  <c r="L13" i="1"/>
  <c r="L14" i="1"/>
  <c r="L15" i="1"/>
  <c r="L16" i="1"/>
  <c r="L17" i="1"/>
  <c r="H12" i="1" l="1"/>
  <c r="H32" i="4"/>
  <c r="H36" i="4" l="1"/>
  <c r="H35" i="4"/>
  <c r="H34" i="4"/>
  <c r="H33" i="4"/>
  <c r="H31" i="4"/>
  <c r="H37" i="4"/>
  <c r="I36" i="4"/>
  <c r="I37" i="4"/>
  <c r="G13" i="4" l="1"/>
  <c r="G14" i="4"/>
  <c r="M14" i="4" s="1"/>
  <c r="G15" i="4"/>
  <c r="M15" i="4" s="1"/>
  <c r="G16" i="4"/>
  <c r="M16" i="4" s="1"/>
  <c r="G17" i="4"/>
  <c r="M17" i="4" s="1"/>
  <c r="I32" i="4"/>
  <c r="I33" i="4"/>
  <c r="I34" i="4"/>
  <c r="I35" i="4"/>
  <c r="I31" i="4"/>
  <c r="I12" i="1" l="1"/>
  <c r="Q12" i="1" s="1"/>
  <c r="I11" i="1"/>
  <c r="F11" i="1"/>
  <c r="G11" i="1" l="1"/>
  <c r="M11" i="1"/>
  <c r="N11" i="1" s="1"/>
  <c r="I13" i="1"/>
  <c r="I14" i="1"/>
  <c r="I15" i="1"/>
  <c r="I16" i="1"/>
  <c r="J11" i="1" l="1"/>
  <c r="K11" i="1"/>
  <c r="J12" i="1"/>
  <c r="H13" i="1"/>
  <c r="J13" i="1" s="1"/>
  <c r="H14" i="1"/>
  <c r="J14" i="1" s="1"/>
  <c r="H15" i="1"/>
  <c r="J15" i="1" s="1"/>
  <c r="O13" i="1" l="1"/>
  <c r="R11" i="1" l="1"/>
  <c r="Q11" i="1" l="1"/>
  <c r="G7" i="7"/>
  <c r="J8" i="7"/>
  <c r="J9" i="7"/>
  <c r="H8" i="7"/>
  <c r="H9" i="7"/>
  <c r="H7" i="7"/>
  <c r="O11" i="1"/>
  <c r="F8" i="7"/>
  <c r="F9" i="7"/>
  <c r="G8" i="7"/>
  <c r="G9" i="7"/>
  <c r="E8" i="7"/>
  <c r="I8" i="7" s="1"/>
  <c r="E9" i="7"/>
  <c r="I9" i="7" s="1"/>
  <c r="K7" i="7" l="1"/>
  <c r="K8" i="7"/>
  <c r="K9" i="7"/>
  <c r="F13" i="1"/>
  <c r="G13" i="1" l="1"/>
  <c r="M13" i="1"/>
  <c r="N13" i="1" s="1"/>
  <c r="I17" i="1"/>
  <c r="U11" i="1" l="1"/>
  <c r="O12" i="5" l="1"/>
  <c r="O13" i="5"/>
  <c r="O14" i="5"/>
  <c r="O15" i="5"/>
  <c r="O16" i="5"/>
  <c r="O17" i="5"/>
  <c r="O18" i="5"/>
  <c r="O19" i="5"/>
  <c r="O20" i="5"/>
  <c r="O11" i="5"/>
  <c r="M12" i="5"/>
  <c r="M13" i="5"/>
  <c r="M14" i="5"/>
  <c r="M15" i="5"/>
  <c r="M16" i="5"/>
  <c r="M17" i="5"/>
  <c r="M18" i="5"/>
  <c r="M19" i="5"/>
  <c r="M20" i="5"/>
  <c r="M11" i="5"/>
  <c r="P11" i="1"/>
  <c r="S11" i="1" s="1"/>
  <c r="O12" i="1"/>
  <c r="O14" i="1"/>
  <c r="O15" i="1"/>
  <c r="O16" i="1"/>
  <c r="O17" i="1"/>
  <c r="O18" i="1"/>
  <c r="O19" i="1"/>
  <c r="O20" i="1"/>
  <c r="O21" i="1"/>
  <c r="L18" i="1"/>
  <c r="L19" i="1"/>
  <c r="L20" i="1"/>
  <c r="L21" i="1"/>
  <c r="J13" i="4" l="1"/>
  <c r="I13" i="4"/>
  <c r="I16" i="4"/>
  <c r="J16" i="4"/>
  <c r="Q16" i="4" l="1"/>
  <c r="Q13" i="4"/>
  <c r="L13" i="4"/>
  <c r="L16" i="4"/>
  <c r="K13" i="4"/>
  <c r="R13" i="4" s="1"/>
  <c r="J20" i="5" l="1"/>
  <c r="I20" i="5"/>
  <c r="K20" i="5" s="1"/>
  <c r="R20" i="5" s="1"/>
  <c r="G20" i="5"/>
  <c r="H20" i="5" s="1"/>
  <c r="J19" i="5"/>
  <c r="I19" i="5"/>
  <c r="Q19" i="5" s="1"/>
  <c r="S19" i="5" s="1"/>
  <c r="T19" i="5" s="1"/>
  <c r="G19" i="5"/>
  <c r="J18" i="5"/>
  <c r="I18" i="5"/>
  <c r="Q18" i="5" s="1"/>
  <c r="S18" i="5" s="1"/>
  <c r="T18" i="5" s="1"/>
  <c r="G18" i="5"/>
  <c r="J17" i="5"/>
  <c r="I17" i="5"/>
  <c r="Q17" i="5" s="1"/>
  <c r="S17" i="5" s="1"/>
  <c r="T17" i="5" s="1"/>
  <c r="G17" i="5"/>
  <c r="H17" i="5" s="1"/>
  <c r="J16" i="5"/>
  <c r="I16" i="5"/>
  <c r="G16" i="5"/>
  <c r="H16" i="5" s="1"/>
  <c r="J15" i="5"/>
  <c r="I15" i="5"/>
  <c r="Q15" i="5" s="1"/>
  <c r="S15" i="5" s="1"/>
  <c r="T15" i="5" s="1"/>
  <c r="G15" i="5"/>
  <c r="H15" i="5" s="1"/>
  <c r="J14" i="5"/>
  <c r="I14" i="5"/>
  <c r="Q14" i="5" s="1"/>
  <c r="S14" i="5" s="1"/>
  <c r="T14" i="5" s="1"/>
  <c r="G14" i="5"/>
  <c r="J13" i="5"/>
  <c r="I13" i="5"/>
  <c r="G13" i="5"/>
  <c r="J12" i="5"/>
  <c r="I12" i="5"/>
  <c r="G12" i="5"/>
  <c r="J11" i="5"/>
  <c r="I11" i="5"/>
  <c r="G11" i="5"/>
  <c r="J23" i="4"/>
  <c r="I23" i="4"/>
  <c r="Q23" i="4" s="1"/>
  <c r="G23" i="4"/>
  <c r="J22" i="4"/>
  <c r="I22" i="4"/>
  <c r="G22" i="4"/>
  <c r="M22" i="4" s="1"/>
  <c r="J21" i="4"/>
  <c r="I21" i="4"/>
  <c r="G21" i="4"/>
  <c r="M21" i="4" s="1"/>
  <c r="J20" i="4"/>
  <c r="I20" i="4"/>
  <c r="G20" i="4"/>
  <c r="M20" i="4" s="1"/>
  <c r="J19" i="4"/>
  <c r="I19" i="4"/>
  <c r="G19" i="4"/>
  <c r="M19" i="4" s="1"/>
  <c r="J18" i="4"/>
  <c r="I18" i="4"/>
  <c r="G18" i="4"/>
  <c r="M18" i="4" s="1"/>
  <c r="J17" i="4"/>
  <c r="I17" i="4"/>
  <c r="Q17" i="4" s="1"/>
  <c r="J15" i="4"/>
  <c r="I15" i="4"/>
  <c r="J14" i="4"/>
  <c r="I14" i="4"/>
  <c r="P13" i="4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C3" i="4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I21" i="1"/>
  <c r="H21" i="1"/>
  <c r="F21" i="1"/>
  <c r="I20" i="1"/>
  <c r="H20" i="1"/>
  <c r="F20" i="1"/>
  <c r="I19" i="1"/>
  <c r="H19" i="1"/>
  <c r="F19" i="1"/>
  <c r="I18" i="1"/>
  <c r="H18" i="1"/>
  <c r="F18" i="1"/>
  <c r="H17" i="1"/>
  <c r="F17" i="1"/>
  <c r="M17" i="1" s="1"/>
  <c r="N17" i="1" s="1"/>
  <c r="H16" i="1"/>
  <c r="J16" i="1" s="1"/>
  <c r="F16" i="1"/>
  <c r="M16" i="1" s="1"/>
  <c r="N16" i="1" s="1"/>
  <c r="F15" i="1"/>
  <c r="P12" i="1"/>
  <c r="F12" i="1"/>
  <c r="H23" i="4" l="1"/>
  <c r="M23" i="4"/>
  <c r="G12" i="1"/>
  <c r="M12" i="1"/>
  <c r="N12" i="1" s="1"/>
  <c r="P13" i="1"/>
  <c r="P14" i="1" s="1"/>
  <c r="P15" i="1" s="1"/>
  <c r="P16" i="1" s="1"/>
  <c r="P17" i="1" s="1"/>
  <c r="P18" i="1" s="1"/>
  <c r="P19" i="1" s="1"/>
  <c r="P20" i="1" s="1"/>
  <c r="P21" i="1" s="1"/>
  <c r="G15" i="1"/>
  <c r="M15" i="1"/>
  <c r="N15" i="1" s="1"/>
  <c r="L17" i="5"/>
  <c r="K18" i="5"/>
  <c r="R18" i="5" s="1"/>
  <c r="L19" i="5"/>
  <c r="L15" i="5"/>
  <c r="K16" i="5"/>
  <c r="R16" i="5" s="1"/>
  <c r="K15" i="5"/>
  <c r="R15" i="5" s="1"/>
  <c r="K19" i="5"/>
  <c r="R19" i="5" s="1"/>
  <c r="L16" i="5"/>
  <c r="N17" i="5"/>
  <c r="U17" i="5"/>
  <c r="K17" i="5"/>
  <c r="R17" i="5" s="1"/>
  <c r="L20" i="5"/>
  <c r="Q16" i="5"/>
  <c r="S16" i="5" s="1"/>
  <c r="T16" i="5" s="1"/>
  <c r="N18" i="5"/>
  <c r="U18" i="5"/>
  <c r="Q20" i="5"/>
  <c r="S20" i="5" s="1"/>
  <c r="T20" i="5" s="1"/>
  <c r="H11" i="5"/>
  <c r="N11" i="5"/>
  <c r="U11" i="5"/>
  <c r="N15" i="5"/>
  <c r="U15" i="5"/>
  <c r="H18" i="5"/>
  <c r="L18" i="5"/>
  <c r="N19" i="5"/>
  <c r="U19" i="5"/>
  <c r="G21" i="1"/>
  <c r="M21" i="1"/>
  <c r="N21" i="1" s="1"/>
  <c r="H14" i="5"/>
  <c r="N14" i="5"/>
  <c r="U14" i="5"/>
  <c r="N16" i="5"/>
  <c r="U16" i="5"/>
  <c r="H19" i="5"/>
  <c r="U20" i="5"/>
  <c r="N20" i="5"/>
  <c r="H13" i="5"/>
  <c r="N13" i="5"/>
  <c r="U13" i="5"/>
  <c r="H12" i="5"/>
  <c r="N12" i="5"/>
  <c r="U12" i="5"/>
  <c r="Q14" i="4"/>
  <c r="G20" i="1"/>
  <c r="M20" i="1"/>
  <c r="N20" i="1" s="1"/>
  <c r="H13" i="4"/>
  <c r="H17" i="4"/>
  <c r="H18" i="4"/>
  <c r="H19" i="4"/>
  <c r="H20" i="4"/>
  <c r="H21" i="4"/>
  <c r="H22" i="4"/>
  <c r="H14" i="4"/>
  <c r="H15" i="4"/>
  <c r="H16" i="4"/>
  <c r="G19" i="1"/>
  <c r="M19" i="1"/>
  <c r="N19" i="1" s="1"/>
  <c r="G18" i="1"/>
  <c r="M18" i="1"/>
  <c r="N18" i="1" s="1"/>
  <c r="U13" i="1"/>
  <c r="U15" i="1"/>
  <c r="G16" i="1"/>
  <c r="U16" i="1"/>
  <c r="U12" i="1"/>
  <c r="G17" i="1"/>
  <c r="U17" i="1"/>
  <c r="Q21" i="1"/>
  <c r="Q20" i="1"/>
  <c r="Q19" i="1"/>
  <c r="Q18" i="1"/>
  <c r="Q17" i="1"/>
  <c r="Q11" i="5"/>
  <c r="K14" i="5"/>
  <c r="R14" i="5" s="1"/>
  <c r="L14" i="5"/>
  <c r="Q13" i="5"/>
  <c r="Q12" i="5"/>
  <c r="L11" i="5"/>
  <c r="K11" i="5"/>
  <c r="R11" i="5" s="1"/>
  <c r="K13" i="5"/>
  <c r="R13" i="5" s="1"/>
  <c r="L13" i="5"/>
  <c r="K12" i="5"/>
  <c r="R12" i="5" s="1"/>
  <c r="L12" i="5"/>
  <c r="Q22" i="4"/>
  <c r="Q21" i="4"/>
  <c r="Q20" i="4"/>
  <c r="Q19" i="4"/>
  <c r="L14" i="4"/>
  <c r="L18" i="4"/>
  <c r="L17" i="4"/>
  <c r="L15" i="4"/>
  <c r="Q16" i="1"/>
  <c r="Q15" i="1"/>
  <c r="Q13" i="1"/>
  <c r="Q15" i="4"/>
  <c r="Q18" i="4"/>
  <c r="J21" i="1"/>
  <c r="R21" i="1" s="1"/>
  <c r="K20" i="1"/>
  <c r="K19" i="1"/>
  <c r="K18" i="1"/>
  <c r="K17" i="1"/>
  <c r="K21" i="1"/>
  <c r="J20" i="1"/>
  <c r="R20" i="1" s="1"/>
  <c r="J19" i="1"/>
  <c r="R19" i="1" s="1"/>
  <c r="J17" i="1"/>
  <c r="R17" i="1" s="1"/>
  <c r="J18" i="1"/>
  <c r="R18" i="1" s="1"/>
  <c r="L23" i="4"/>
  <c r="K21" i="4"/>
  <c r="R21" i="4" s="1"/>
  <c r="K23" i="4"/>
  <c r="R23" i="4" s="1"/>
  <c r="K17" i="4"/>
  <c r="R17" i="4" s="1"/>
  <c r="L22" i="4"/>
  <c r="L20" i="4"/>
  <c r="L19" i="4"/>
  <c r="L21" i="4"/>
  <c r="K20" i="4"/>
  <c r="R20" i="4" s="1"/>
  <c r="K22" i="4"/>
  <c r="R22" i="4" s="1"/>
  <c r="K16" i="4"/>
  <c r="R16" i="4" s="1"/>
  <c r="K15" i="4"/>
  <c r="R15" i="4" s="1"/>
  <c r="K19" i="4"/>
  <c r="R19" i="4" s="1"/>
  <c r="K14" i="4"/>
  <c r="R14" i="4" s="1"/>
  <c r="K18" i="4"/>
  <c r="R18" i="4" s="1"/>
  <c r="K16" i="1"/>
  <c r="K15" i="1"/>
  <c r="R15" i="1"/>
  <c r="K13" i="1"/>
  <c r="K12" i="1"/>
  <c r="R12" i="1"/>
  <c r="R16" i="1"/>
  <c r="R13" i="1"/>
  <c r="S12" i="1" l="1"/>
  <c r="S12" i="5"/>
  <c r="T12" i="5" s="1"/>
  <c r="S11" i="5"/>
  <c r="T11" i="5" s="1"/>
  <c r="S13" i="5"/>
  <c r="T13" i="5" s="1"/>
  <c r="S13" i="4"/>
  <c r="T13" i="4" s="1"/>
  <c r="S14" i="4"/>
  <c r="T14" i="4" s="1"/>
  <c r="S15" i="4" l="1"/>
  <c r="T15" i="4" s="1"/>
  <c r="S13" i="1"/>
  <c r="S16" i="4" l="1"/>
  <c r="T16" i="4" s="1"/>
  <c r="S17" i="4" l="1"/>
  <c r="T17" i="4" s="1"/>
  <c r="S15" i="1"/>
  <c r="S18" i="4" l="1"/>
  <c r="T18" i="4" s="1"/>
  <c r="S16" i="1"/>
  <c r="S19" i="4" l="1"/>
  <c r="T19" i="4" s="1"/>
  <c r="S17" i="1"/>
  <c r="S20" i="4" l="1"/>
  <c r="T20" i="4" s="1"/>
  <c r="S18" i="1"/>
  <c r="S21" i="4" l="1"/>
  <c r="T21" i="4" s="1"/>
  <c r="S19" i="1"/>
  <c r="S22" i="4" l="1"/>
  <c r="T22" i="4" s="1"/>
  <c r="S23" i="4"/>
  <c r="T23" i="4" s="1"/>
  <c r="S21" i="1"/>
  <c r="S20" i="1"/>
  <c r="F14" i="1"/>
  <c r="G14" i="1" l="1"/>
  <c r="M14" i="1"/>
  <c r="N14" i="1" s="1"/>
  <c r="U14" i="1"/>
  <c r="R14" i="1"/>
  <c r="K14" i="1"/>
  <c r="Q14" i="1"/>
  <c r="S14" i="1" l="1"/>
</calcChain>
</file>

<file path=xl/sharedStrings.xml><?xml version="1.0" encoding="utf-8"?>
<sst xmlns="http://schemas.openxmlformats.org/spreadsheetml/2006/main" count="242" uniqueCount="81">
  <si>
    <t xml:space="preserve">Average </t>
  </si>
  <si>
    <t>Applied pressure</t>
  </si>
  <si>
    <t>Reference Value</t>
  </si>
  <si>
    <t>*DUT</t>
  </si>
  <si>
    <t>bar</t>
  </si>
  <si>
    <t>Measurment</t>
  </si>
  <si>
    <t>Error</t>
  </si>
  <si>
    <t>Hystersis error</t>
  </si>
  <si>
    <t>EXP</t>
  </si>
  <si>
    <t>Uncertainty</t>
  </si>
  <si>
    <t>bar±</t>
  </si>
  <si>
    <t>اثر دستگاه مرجع</t>
  </si>
  <si>
    <t>اثر تفكيك پذيري</t>
  </si>
  <si>
    <t>Resolution:</t>
  </si>
  <si>
    <t>عدم خطي بودن در صفر</t>
  </si>
  <si>
    <t>اثر انحراف در مقدار فشار صفر یا</t>
  </si>
  <si>
    <t>در فشارسنج هايي كه مانعي براي توقف عقربه قرار مي دهند، اين مولفه صفر درنظر گرفته شود.</t>
  </si>
  <si>
    <t>پسماند</t>
  </si>
  <si>
    <t>انحراف در مقدار فشار صفر</t>
  </si>
  <si>
    <t>انحراف در مقدار بیشینه</t>
  </si>
  <si>
    <t>pre cal.</t>
  </si>
  <si>
    <t>تجهیز مرجع ما هست</t>
  </si>
  <si>
    <t>accuracy ref.</t>
  </si>
  <si>
    <t>لازمه بکش پایین</t>
  </si>
  <si>
    <t xml:space="preserve">اینجا مجبور شدم دقیقا مولفه رو برای fs یعنی 20 بار رو قرار بدم وگرنه از bmc امون کوچکتر می شد </t>
  </si>
  <si>
    <t>اثر بیشینه انحراف رفت و برگشت</t>
  </si>
  <si>
    <t>عدم خطي بودن در فشار مورد نظر</t>
  </si>
  <si>
    <t>δpL</t>
  </si>
  <si>
    <t>δpH</t>
  </si>
  <si>
    <t>اثر رانش</t>
  </si>
  <si>
    <t>توزیع مستطیلی</t>
  </si>
  <si>
    <t xml:space="preserve"> </t>
  </si>
  <si>
    <t xml:space="preserve">اینجا مجبور شدم دقیقا مولفه رو برای fs یعنی 700 بار رو قرار بدم وگرنه از bmc امون کوچکتر می شد </t>
  </si>
  <si>
    <t>رانش</t>
  </si>
  <si>
    <t>max</t>
  </si>
  <si>
    <r>
      <t>δp</t>
    </r>
    <r>
      <rPr>
        <b/>
        <vertAlign val="subscript"/>
        <sz val="10"/>
        <color theme="1"/>
        <rFont val="New roman"/>
        <charset val="178"/>
      </rPr>
      <t>i</t>
    </r>
  </si>
  <si>
    <r>
      <t>δp</t>
    </r>
    <r>
      <rPr>
        <b/>
        <vertAlign val="subscript"/>
        <sz val="10"/>
        <color theme="1"/>
        <rFont val="New roman"/>
        <charset val="178"/>
      </rPr>
      <t>i</t>
    </r>
    <r>
      <rPr>
        <b/>
        <vertAlign val="superscript"/>
        <sz val="10"/>
        <color theme="1"/>
        <rFont val="New roman"/>
        <charset val="178"/>
      </rPr>
      <t>’</t>
    </r>
  </si>
  <si>
    <r>
      <t>M</t>
    </r>
    <r>
      <rPr>
        <b/>
        <vertAlign val="subscript"/>
        <sz val="9"/>
        <color theme="1"/>
        <rFont val="New roman"/>
        <charset val="178"/>
      </rPr>
      <t>0</t>
    </r>
  </si>
  <si>
    <r>
      <t>M</t>
    </r>
    <r>
      <rPr>
        <b/>
        <vertAlign val="subscript"/>
        <sz val="9"/>
        <color theme="1"/>
        <rFont val="New roman"/>
        <charset val="178"/>
      </rPr>
      <t>1</t>
    </r>
  </si>
  <si>
    <r>
      <t>M</t>
    </r>
    <r>
      <rPr>
        <b/>
        <vertAlign val="subscript"/>
        <sz val="9"/>
        <color theme="1"/>
        <rFont val="New roman"/>
        <charset val="178"/>
      </rPr>
      <t>2</t>
    </r>
  </si>
  <si>
    <r>
      <t>M</t>
    </r>
    <r>
      <rPr>
        <b/>
        <vertAlign val="subscript"/>
        <sz val="9"/>
        <color theme="1"/>
        <rFont val="New roman"/>
        <charset val="178"/>
      </rPr>
      <t>3</t>
    </r>
  </si>
  <si>
    <r>
      <t>M</t>
    </r>
    <r>
      <rPr>
        <b/>
        <vertAlign val="subscript"/>
        <sz val="9"/>
        <color theme="1"/>
        <rFont val="New roman"/>
        <charset val="178"/>
      </rPr>
      <t>4</t>
    </r>
  </si>
  <si>
    <r>
      <t>δp</t>
    </r>
    <r>
      <rPr>
        <b/>
        <vertAlign val="subscript"/>
        <sz val="9"/>
        <color theme="1"/>
        <rFont val="New roman"/>
        <charset val="178"/>
      </rPr>
      <t>i</t>
    </r>
  </si>
  <si>
    <r>
      <t>δp</t>
    </r>
    <r>
      <rPr>
        <b/>
        <vertAlign val="subscript"/>
        <sz val="9"/>
        <color theme="1"/>
        <rFont val="New roman"/>
        <charset val="178"/>
      </rPr>
      <t>i</t>
    </r>
    <r>
      <rPr>
        <b/>
        <vertAlign val="superscript"/>
        <sz val="9"/>
        <color theme="1"/>
        <rFont val="New roman"/>
        <charset val="178"/>
      </rPr>
      <t>’</t>
    </r>
  </si>
  <si>
    <t>Applied pressure Reference Value</t>
  </si>
  <si>
    <t>kpa</t>
  </si>
  <si>
    <t xml:space="preserve">Expanded Uncertainty </t>
  </si>
  <si>
    <t>± kpa</t>
  </si>
  <si>
    <t>Correction</t>
  </si>
  <si>
    <t>mbar±</t>
  </si>
  <si>
    <t xml:space="preserve">with test gauge </t>
  </si>
  <si>
    <t>ACC.</t>
  </si>
  <si>
    <t>0.05%FSD</t>
  </si>
  <si>
    <t>RES.</t>
  </si>
  <si>
    <t>0.05 bar</t>
  </si>
  <si>
    <t>0.0001 bar</t>
  </si>
  <si>
    <t>فقط گذاشتم فعلا</t>
  </si>
  <si>
    <t>الکی اضافه کردم</t>
  </si>
  <si>
    <t>Set point</t>
  </si>
  <si>
    <t>(bar)</t>
  </si>
  <si>
    <t xml:space="preserve">Set </t>
  </si>
  <si>
    <t>(HIGH)</t>
  </si>
  <si>
    <t xml:space="preserve">Reset </t>
  </si>
  <si>
    <t>(LOW)</t>
  </si>
  <si>
    <t xml:space="preserve">Dead Bound Setting </t>
  </si>
  <si>
    <t xml:space="preserve">Expended Uncertainty  </t>
  </si>
  <si>
    <r>
      <t xml:space="preserve"> </t>
    </r>
    <r>
      <rPr>
        <b/>
        <sz val="10"/>
        <color theme="1"/>
        <rFont val="Calibri"/>
        <family val="2"/>
      </rPr>
      <t xml:space="preserve">± </t>
    </r>
    <r>
      <rPr>
        <b/>
        <sz val="10"/>
        <color theme="1"/>
        <rFont val="Times New Roman"/>
        <family val="1"/>
      </rPr>
      <t>(bar)</t>
    </r>
  </si>
  <si>
    <t>خطای پسماند</t>
  </si>
  <si>
    <t>خطای تکرار پذیری</t>
  </si>
  <si>
    <t>Row</t>
  </si>
  <si>
    <t>Reading 1</t>
  </si>
  <si>
    <t>Reading 2</t>
  </si>
  <si>
    <t>Deviation</t>
  </si>
  <si>
    <t>%FSD</t>
  </si>
  <si>
    <t>MPE</t>
  </si>
  <si>
    <t>± (%FSD)</t>
  </si>
  <si>
    <t>Rising</t>
  </si>
  <si>
    <t>Falling</t>
  </si>
  <si>
    <t>FSD</t>
  </si>
  <si>
    <t>0.1%RDG</t>
  </si>
  <si>
    <t>0.001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</si>
</sst>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000"/>
    <numFmt numFmtId="166" formatCode="0.000"/>
    <numFmt numFmtId="167" formatCode="0.0000"/>
    <numFmt numFmtId="168" formatCode="0.000000"/>
    <numFmt numFmtId="169" formatCode="0.00000000"/>
    <numFmt numFmtId="170" formatCode="0.00000"/>
    <numFmt numFmtId="171" formatCode="0.00000000000"/>
  </numFmts>
  <fonts count="43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B Nazanin"/>
      <charset val="178"/>
    </font>
    <font>
      <b/>
      <sz val="12"/>
      <color theme="1"/>
      <name val="B Nazanin"/>
      <charset val="178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sz val="11"/>
      <name val="B Nazanin"/>
      <charset val="178"/>
    </font>
    <font>
      <b/>
      <vertAlign val="subscript"/>
      <sz val="8"/>
      <color theme="1"/>
      <name val="Arial"/>
      <family val="2"/>
    </font>
    <font>
      <sz val="14"/>
      <color theme="1"/>
      <name val="Calibri"/>
      <family val="2"/>
      <scheme val="minor"/>
    </font>
    <font>
      <b/>
      <sz val="9"/>
      <color theme="1"/>
      <name val="New roman"/>
      <charset val="178"/>
    </font>
    <font>
      <b/>
      <sz val="10"/>
      <color theme="1"/>
      <name val="New roman"/>
      <charset val="178"/>
    </font>
    <font>
      <b/>
      <vertAlign val="subscript"/>
      <sz val="10"/>
      <color theme="1"/>
      <name val="New roman"/>
      <charset val="178"/>
    </font>
    <font>
      <b/>
      <vertAlign val="superscript"/>
      <sz val="10"/>
      <color theme="1"/>
      <name val="New roman"/>
      <charset val="178"/>
    </font>
    <font>
      <b/>
      <sz val="10"/>
      <color rgb="FFFF0000"/>
      <name val="New roman"/>
      <charset val="178"/>
    </font>
    <font>
      <sz val="10"/>
      <color theme="1"/>
      <name val="New roman"/>
      <charset val="178"/>
    </font>
    <font>
      <b/>
      <vertAlign val="subscript"/>
      <sz val="9"/>
      <color theme="1"/>
      <name val="New roman"/>
      <charset val="178"/>
    </font>
    <font>
      <b/>
      <sz val="8"/>
      <color rgb="FF000000"/>
      <name val="New roman"/>
      <charset val="178"/>
    </font>
    <font>
      <b/>
      <sz val="8"/>
      <color theme="1"/>
      <name val="New roman"/>
      <charset val="178"/>
    </font>
    <font>
      <sz val="11"/>
      <color theme="1"/>
      <name val="New roman"/>
      <charset val="178"/>
    </font>
    <font>
      <b/>
      <sz val="11"/>
      <color theme="1"/>
      <name val="New roman"/>
      <charset val="178"/>
    </font>
    <font>
      <b/>
      <sz val="10"/>
      <name val="New roman"/>
      <charset val="178"/>
    </font>
    <font>
      <sz val="8"/>
      <color theme="1"/>
      <name val="New roman"/>
      <charset val="178"/>
    </font>
    <font>
      <b/>
      <sz val="9"/>
      <color rgb="FFFF0000"/>
      <name val="New roman"/>
      <charset val="178"/>
    </font>
    <font>
      <b/>
      <vertAlign val="superscript"/>
      <sz val="9"/>
      <color theme="1"/>
      <name val="New roman"/>
      <charset val="178"/>
    </font>
    <font>
      <sz val="9"/>
      <color theme="1"/>
      <name val="New roman"/>
      <charset val="178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Calibri"/>
      <family val="2"/>
      <charset val="178"/>
      <scheme val="minor"/>
    </font>
    <font>
      <b/>
      <sz val="9"/>
      <color rgb="FF000000"/>
      <name val="New roman"/>
      <charset val="178"/>
    </font>
    <font>
      <b/>
      <sz val="8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rgb="FF000000"/>
      </bottom>
      <diagonal/>
    </border>
    <border>
      <left/>
      <right style="thick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ck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3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0" fillId="0" borderId="0" xfId="0"/>
    <xf numFmtId="2" fontId="0" fillId="0" borderId="0" xfId="0" applyNumberFormat="1"/>
    <xf numFmtId="164" fontId="0" fillId="0" borderId="0" xfId="0" applyNumberFormat="1"/>
    <xf numFmtId="2" fontId="4" fillId="0" borderId="0" xfId="0" applyNumberFormat="1" applyFont="1" applyFill="1" applyBorder="1" applyAlignment="1">
      <alignment horizontal="center" vertical="center" wrapText="1" readingOrder="2"/>
    </xf>
    <xf numFmtId="0" fontId="5" fillId="3" borderId="0" xfId="0" applyFont="1" applyFill="1" applyBorder="1" applyAlignment="1">
      <alignment horizontal="center" vertical="center" wrapText="1" readingOrder="2"/>
    </xf>
    <xf numFmtId="2" fontId="5" fillId="3" borderId="0" xfId="0" applyNumberFormat="1" applyFont="1" applyFill="1" applyBorder="1" applyAlignment="1">
      <alignment horizontal="center" vertical="center" wrapText="1" readingOrder="1"/>
    </xf>
    <xf numFmtId="2" fontId="4" fillId="3" borderId="0" xfId="0" applyNumberFormat="1" applyFont="1" applyFill="1" applyBorder="1" applyAlignment="1">
      <alignment horizontal="center" vertical="center" wrapText="1" readingOrder="2"/>
    </xf>
    <xf numFmtId="2" fontId="4" fillId="3" borderId="0" xfId="0" applyNumberFormat="1" applyFont="1" applyFill="1" applyBorder="1" applyAlignment="1">
      <alignment horizontal="center" vertical="center" wrapText="1" readingOrder="1"/>
    </xf>
    <xf numFmtId="2" fontId="1" fillId="3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 readingOrder="2"/>
    </xf>
    <xf numFmtId="2" fontId="2" fillId="3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13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justify" vertical="center" readingOrder="1"/>
    </xf>
    <xf numFmtId="0" fontId="6" fillId="3" borderId="6" xfId="0" applyFont="1" applyFill="1" applyBorder="1" applyAlignment="1">
      <alignment horizontal="center" vertical="center" wrapText="1" readingOrder="2"/>
    </xf>
    <xf numFmtId="0" fontId="18" fillId="5" borderId="1" xfId="0" applyFont="1" applyFill="1" applyBorder="1" applyAlignment="1">
      <alignment horizontal="center" vertical="center" wrapText="1" readingOrder="2"/>
    </xf>
    <xf numFmtId="0" fontId="19" fillId="5" borderId="1" xfId="0" applyFont="1" applyFill="1" applyBorder="1" applyAlignment="1">
      <alignment horizontal="center" vertical="center" wrapText="1" readingOrder="2"/>
    </xf>
    <xf numFmtId="0" fontId="19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 readingOrder="2"/>
    </xf>
    <xf numFmtId="0" fontId="18" fillId="5" borderId="5" xfId="0" applyFont="1" applyFill="1" applyBorder="1" applyAlignment="1">
      <alignment horizontal="center" vertical="center" wrapText="1" readingOrder="2"/>
    </xf>
    <xf numFmtId="0" fontId="18" fillId="5" borderId="5" xfId="0" applyFont="1" applyFill="1" applyBorder="1" applyAlignment="1">
      <alignment horizontal="center" vertical="center" wrapText="1" readingOrder="1"/>
    </xf>
    <xf numFmtId="0" fontId="25" fillId="4" borderId="1" xfId="0" applyFont="1" applyFill="1" applyBorder="1" applyAlignment="1">
      <alignment horizontal="center" vertical="center" wrapText="1" readingOrder="2"/>
    </xf>
    <xf numFmtId="2" fontId="26" fillId="0" borderId="2" xfId="0" applyNumberFormat="1" applyFont="1" applyBorder="1" applyAlignment="1">
      <alignment horizontal="center" vertical="center" wrapText="1" readingOrder="1"/>
    </xf>
    <xf numFmtId="2" fontId="26" fillId="0" borderId="1" xfId="0" applyNumberFormat="1" applyFont="1" applyBorder="1" applyAlignment="1">
      <alignment horizontal="center" vertical="center" wrapText="1" readingOrder="1"/>
    </xf>
    <xf numFmtId="2" fontId="26" fillId="0" borderId="1" xfId="0" applyNumberFormat="1" applyFont="1" applyBorder="1" applyAlignment="1">
      <alignment horizontal="center" vertical="center" wrapText="1" readingOrder="2"/>
    </xf>
    <xf numFmtId="166" fontId="26" fillId="0" borderId="1" xfId="0" applyNumberFormat="1" applyFont="1" applyBorder="1" applyAlignment="1">
      <alignment horizontal="center" vertical="center" wrapText="1" readingOrder="2"/>
    </xf>
    <xf numFmtId="168" fontId="26" fillId="0" borderId="1" xfId="0" applyNumberFormat="1" applyFont="1" applyBorder="1" applyAlignment="1">
      <alignment horizontal="center" vertical="center" wrapText="1" readingOrder="2"/>
    </xf>
    <xf numFmtId="0" fontId="26" fillId="0" borderId="1" xfId="0" applyFont="1" applyBorder="1" applyAlignment="1">
      <alignment horizontal="center" vertical="center" wrapText="1" readingOrder="2"/>
    </xf>
    <xf numFmtId="165" fontId="26" fillId="0" borderId="1" xfId="0" applyNumberFormat="1" applyFont="1" applyBorder="1" applyAlignment="1">
      <alignment horizontal="center" vertical="center" wrapText="1" readingOrder="2"/>
    </xf>
    <xf numFmtId="169" fontId="26" fillId="0" borderId="1" xfId="0" applyNumberFormat="1" applyFont="1" applyBorder="1" applyAlignment="1">
      <alignment horizontal="center" vertical="center" wrapText="1" readingOrder="2"/>
    </xf>
    <xf numFmtId="2" fontId="26" fillId="0" borderId="2" xfId="0" applyNumberFormat="1" applyFont="1" applyBorder="1" applyAlignment="1">
      <alignment horizontal="center" vertical="center" wrapText="1" readingOrder="2"/>
    </xf>
    <xf numFmtId="2" fontId="25" fillId="4" borderId="1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7" fillId="0" borderId="0" xfId="0" applyFont="1" applyBorder="1"/>
    <xf numFmtId="2" fontId="28" fillId="0" borderId="0" xfId="0" applyNumberFormat="1" applyFont="1" applyFill="1" applyBorder="1" applyAlignment="1">
      <alignment horizontal="center" vertical="center" wrapText="1" readingOrder="2"/>
    </xf>
    <xf numFmtId="2" fontId="28" fillId="0" borderId="0" xfId="0" applyNumberFormat="1" applyFont="1" applyBorder="1" applyAlignment="1">
      <alignment horizontal="center" vertical="center" wrapText="1" readingOrder="2"/>
    </xf>
    <xf numFmtId="0" fontId="18" fillId="0" borderId="0" xfId="0" applyFont="1"/>
    <xf numFmtId="0" fontId="29" fillId="5" borderId="1" xfId="0" applyFont="1" applyFill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 wrapText="1" readingOrder="2"/>
    </xf>
    <xf numFmtId="0" fontId="31" fillId="5" borderId="1" xfId="0" applyFont="1" applyFill="1" applyBorder="1" applyAlignment="1">
      <alignment horizontal="center" vertical="center" wrapText="1" readingOrder="2"/>
    </xf>
    <xf numFmtId="0" fontId="18" fillId="5" borderId="1" xfId="0" applyFont="1" applyFill="1" applyBorder="1" applyAlignment="1">
      <alignment horizontal="center" vertical="center" wrapText="1" readingOrder="1"/>
    </xf>
    <xf numFmtId="0" fontId="18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64" fontId="25" fillId="4" borderId="1" xfId="0" applyNumberFormat="1" applyFont="1" applyFill="1" applyBorder="1" applyAlignment="1">
      <alignment horizontal="center" vertical="center" wrapText="1" readingOrder="1"/>
    </xf>
    <xf numFmtId="0" fontId="26" fillId="4" borderId="1" xfId="0" applyFont="1" applyFill="1" applyBorder="1" applyAlignment="1">
      <alignment horizontal="center"/>
    </xf>
    <xf numFmtId="2" fontId="26" fillId="4" borderId="1" xfId="0" applyNumberFormat="1" applyFont="1" applyFill="1" applyBorder="1" applyAlignment="1">
      <alignment horizontal="center"/>
    </xf>
    <xf numFmtId="0" fontId="30" fillId="0" borderId="0" xfId="0" applyFont="1"/>
    <xf numFmtId="0" fontId="18" fillId="5" borderId="1" xfId="0" applyFont="1" applyFill="1" applyBorder="1" applyAlignment="1">
      <alignment horizontal="center" vertical="center" wrapText="1" readingOrder="2"/>
    </xf>
    <xf numFmtId="0" fontId="0" fillId="3" borderId="0" xfId="0" applyFill="1"/>
    <xf numFmtId="0" fontId="12" fillId="3" borderId="0" xfId="0" applyFont="1" applyFill="1"/>
    <xf numFmtId="2" fontId="0" fillId="3" borderId="0" xfId="0" applyNumberFormat="1" applyFill="1"/>
    <xf numFmtId="164" fontId="25" fillId="4" borderId="1" xfId="0" applyNumberFormat="1" applyFont="1" applyFill="1" applyBorder="1" applyAlignment="1">
      <alignment horizontal="center" vertical="center" wrapText="1" readingOrder="2"/>
    </xf>
    <xf numFmtId="0" fontId="18" fillId="5" borderId="2" xfId="0" applyFont="1" applyFill="1" applyBorder="1" applyAlignment="1">
      <alignment horizontal="center" vertical="center" wrapText="1" readingOrder="2"/>
    </xf>
    <xf numFmtId="0" fontId="34" fillId="7" borderId="1" xfId="0" applyFont="1" applyFill="1" applyBorder="1" applyAlignment="1">
      <alignment horizontal="center" vertical="center" wrapText="1" readingOrder="2"/>
    </xf>
    <xf numFmtId="0" fontId="35" fillId="7" borderId="1" xfId="0" applyFont="1" applyFill="1" applyBorder="1" applyAlignment="1">
      <alignment horizontal="center" vertical="center" wrapText="1" readingOrder="2"/>
    </xf>
    <xf numFmtId="0" fontId="34" fillId="7" borderId="2" xfId="0" applyFont="1" applyFill="1" applyBorder="1" applyAlignment="1">
      <alignment horizontal="center" vertical="center" wrapText="1" readingOrder="2"/>
    </xf>
    <xf numFmtId="0" fontId="18" fillId="0" borderId="2" xfId="0" applyFont="1" applyBorder="1" applyAlignment="1">
      <alignment horizontal="center"/>
    </xf>
    <xf numFmtId="0" fontId="37" fillId="0" borderId="1" xfId="0" applyFont="1" applyBorder="1"/>
    <xf numFmtId="0" fontId="18" fillId="0" borderId="1" xfId="0" applyFont="1" applyBorder="1" applyAlignment="1">
      <alignment horizontal="center"/>
    </xf>
    <xf numFmtId="1" fontId="25" fillId="4" borderId="1" xfId="0" applyNumberFormat="1" applyFont="1" applyFill="1" applyBorder="1" applyAlignment="1">
      <alignment horizontal="center" vertical="center" wrapText="1" readingOrder="1"/>
    </xf>
    <xf numFmtId="0" fontId="18" fillId="5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 vertical="center" wrapText="1" readingOrder="2"/>
    </xf>
    <xf numFmtId="2" fontId="5" fillId="3" borderId="1" xfId="0" applyNumberFormat="1" applyFont="1" applyFill="1" applyBorder="1" applyAlignment="1">
      <alignment horizontal="center" vertical="center" wrapText="1" readingOrder="1"/>
    </xf>
    <xf numFmtId="171" fontId="26" fillId="0" borderId="1" xfId="0" applyNumberFormat="1" applyFont="1" applyBorder="1" applyAlignment="1">
      <alignment horizontal="center" vertical="center" wrapText="1" readingOrder="2"/>
    </xf>
    <xf numFmtId="164" fontId="26" fillId="0" borderId="1" xfId="0" applyNumberFormat="1" applyFont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 readingOrder="2"/>
    </xf>
    <xf numFmtId="166" fontId="0" fillId="0" borderId="0" xfId="0" applyNumberFormat="1" applyAlignment="1">
      <alignment horizontal="center"/>
    </xf>
    <xf numFmtId="166" fontId="0" fillId="3" borderId="0" xfId="0" applyNumberFormat="1" applyFill="1" applyAlignment="1">
      <alignment horizontal="center"/>
    </xf>
    <xf numFmtId="0" fontId="18" fillId="0" borderId="3" xfId="0" applyFont="1" applyBorder="1" applyAlignment="1">
      <alignment horizontal="center" vertical="center" wrapText="1" readingOrder="2"/>
    </xf>
    <xf numFmtId="0" fontId="38" fillId="0" borderId="3" xfId="0" applyFont="1" applyBorder="1" applyAlignment="1">
      <alignment horizontal="center" vertical="center" wrapText="1" readingOrder="2"/>
    </xf>
    <xf numFmtId="164" fontId="37" fillId="0" borderId="3" xfId="0" applyNumberFormat="1" applyFont="1" applyBorder="1" applyAlignment="1">
      <alignment horizontal="center" vertical="center"/>
    </xf>
    <xf numFmtId="0" fontId="34" fillId="7" borderId="5" xfId="0" applyFont="1" applyFill="1" applyBorder="1" applyAlignment="1">
      <alignment horizontal="center" vertical="center" wrapText="1" readingOrder="2"/>
    </xf>
    <xf numFmtId="0" fontId="34" fillId="0" borderId="1" xfId="0" applyFont="1" applyBorder="1" applyAlignment="1">
      <alignment horizontal="center" vertical="center" wrapText="1" readingOrder="2"/>
    </xf>
    <xf numFmtId="0" fontId="36" fillId="0" borderId="1" xfId="0" applyFont="1" applyBorder="1" applyAlignment="1">
      <alignment horizontal="center" vertical="center" wrapText="1" readingOrder="2"/>
    </xf>
    <xf numFmtId="0" fontId="40" fillId="7" borderId="9" xfId="0" applyFont="1" applyFill="1" applyBorder="1" applyAlignment="1">
      <alignment horizontal="center" vertical="center" wrapText="1" readingOrder="2"/>
    </xf>
    <xf numFmtId="0" fontId="40" fillId="7" borderId="10" xfId="0" applyFont="1" applyFill="1" applyBorder="1" applyAlignment="1">
      <alignment horizontal="center" vertical="center" wrapText="1" readingOrder="2"/>
    </xf>
    <xf numFmtId="0" fontId="40" fillId="7" borderId="11" xfId="0" applyFont="1" applyFill="1" applyBorder="1" applyAlignment="1">
      <alignment horizontal="center" vertical="center" wrapText="1" readingOrder="2"/>
    </xf>
    <xf numFmtId="0" fontId="40" fillId="7" borderId="12" xfId="0" applyFont="1" applyFill="1" applyBorder="1" applyAlignment="1">
      <alignment horizontal="center" vertical="center" wrapText="1" readingOrder="2"/>
    </xf>
    <xf numFmtId="0" fontId="40" fillId="7" borderId="13" xfId="0" applyFont="1" applyFill="1" applyBorder="1" applyAlignment="1">
      <alignment horizontal="center" vertical="center" wrapText="1" readingOrder="2"/>
    </xf>
    <xf numFmtId="0" fontId="40" fillId="8" borderId="9" xfId="0" applyFont="1" applyFill="1" applyBorder="1" applyAlignment="1">
      <alignment horizontal="center" vertical="center" readingOrder="2"/>
    </xf>
    <xf numFmtId="0" fontId="40" fillId="8" borderId="10" xfId="0" applyFont="1" applyFill="1" applyBorder="1" applyAlignment="1">
      <alignment horizontal="center"/>
    </xf>
    <xf numFmtId="0" fontId="40" fillId="0" borderId="14" xfId="0" applyFont="1" applyBorder="1" applyAlignment="1">
      <alignment horizontal="center" vertical="center" wrapText="1" readingOrder="2"/>
    </xf>
    <xf numFmtId="0" fontId="40" fillId="0" borderId="15" xfId="0" applyFont="1" applyBorder="1" applyAlignment="1">
      <alignment horizontal="center" vertical="center" wrapText="1" readingOrder="2"/>
    </xf>
    <xf numFmtId="0" fontId="40" fillId="0" borderId="16" xfId="0" applyFont="1" applyBorder="1" applyAlignment="1">
      <alignment horizontal="center" vertical="center" wrapText="1" readingOrder="2"/>
    </xf>
    <xf numFmtId="0" fontId="40" fillId="0" borderId="17" xfId="0" applyFont="1" applyBorder="1" applyAlignment="1">
      <alignment horizontal="center" vertical="center" wrapText="1" readingOrder="2"/>
    </xf>
    <xf numFmtId="0" fontId="40" fillId="0" borderId="7" xfId="0" applyFont="1" applyBorder="1" applyAlignment="1">
      <alignment horizontal="center" vertical="center" wrapText="1" readingOrder="2"/>
    </xf>
    <xf numFmtId="0" fontId="40" fillId="0" borderId="8" xfId="0" applyFont="1" applyBorder="1" applyAlignment="1">
      <alignment horizontal="center" vertical="center" wrapText="1" readingOrder="2"/>
    </xf>
    <xf numFmtId="0" fontId="29" fillId="5" borderId="0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/>
    </xf>
    <xf numFmtId="164" fontId="40" fillId="0" borderId="15" xfId="0" applyNumberFormat="1" applyFont="1" applyBorder="1" applyAlignment="1">
      <alignment horizontal="center" vertical="center" wrapText="1" readingOrder="2"/>
    </xf>
    <xf numFmtId="2" fontId="18" fillId="0" borderId="2" xfId="0" applyNumberFormat="1" applyFont="1" applyBorder="1" applyAlignment="1">
      <alignment horizontal="center" vertical="center" wrapText="1" readingOrder="1"/>
    </xf>
    <xf numFmtId="2" fontId="18" fillId="0" borderId="1" xfId="0" applyNumberFormat="1" applyFont="1" applyBorder="1" applyAlignment="1">
      <alignment horizontal="center" vertical="center" wrapText="1" readingOrder="1"/>
    </xf>
    <xf numFmtId="2" fontId="18" fillId="0" borderId="1" xfId="0" applyNumberFormat="1" applyFont="1" applyBorder="1" applyAlignment="1">
      <alignment horizontal="center" vertical="center" wrapText="1" readingOrder="2"/>
    </xf>
    <xf numFmtId="166" fontId="18" fillId="0" borderId="1" xfId="0" applyNumberFormat="1" applyFont="1" applyBorder="1" applyAlignment="1">
      <alignment horizontal="center" vertical="center" wrapText="1" readingOrder="2"/>
    </xf>
    <xf numFmtId="166" fontId="31" fillId="0" borderId="1" xfId="0" applyNumberFormat="1" applyFont="1" applyBorder="1" applyAlignment="1">
      <alignment horizontal="center" vertical="center" wrapText="1" readingOrder="2"/>
    </xf>
    <xf numFmtId="11" fontId="33" fillId="0" borderId="1" xfId="0" applyNumberFormat="1" applyFont="1" applyBorder="1" applyAlignment="1">
      <alignment horizontal="center"/>
    </xf>
    <xf numFmtId="168" fontId="18" fillId="0" borderId="1" xfId="0" applyNumberFormat="1" applyFont="1" applyBorder="1" applyAlignment="1">
      <alignment horizontal="center" vertical="center" wrapText="1" readingOrder="2"/>
    </xf>
    <xf numFmtId="170" fontId="18" fillId="0" borderId="1" xfId="0" applyNumberFormat="1" applyFont="1" applyBorder="1" applyAlignment="1">
      <alignment horizontal="center" vertical="center" wrapText="1" readingOrder="2"/>
    </xf>
    <xf numFmtId="164" fontId="18" fillId="0" borderId="1" xfId="0" applyNumberFormat="1" applyFont="1" applyBorder="1" applyAlignment="1">
      <alignment horizontal="center" vertical="center" wrapText="1" readingOrder="2"/>
    </xf>
    <xf numFmtId="167" fontId="18" fillId="0" borderId="1" xfId="0" applyNumberFormat="1" applyFont="1" applyBorder="1" applyAlignment="1">
      <alignment horizontal="center" vertical="center" wrapText="1" readingOrder="2"/>
    </xf>
    <xf numFmtId="2" fontId="18" fillId="0" borderId="2" xfId="0" applyNumberFormat="1" applyFont="1" applyBorder="1" applyAlignment="1">
      <alignment horizontal="center" vertical="center" wrapText="1" readingOrder="2"/>
    </xf>
    <xf numFmtId="0" fontId="18" fillId="0" borderId="1" xfId="0" applyFont="1" applyBorder="1" applyAlignment="1">
      <alignment horizontal="center" vertical="center" wrapText="1" readingOrder="2"/>
    </xf>
    <xf numFmtId="0" fontId="34" fillId="7" borderId="21" xfId="0" applyFont="1" applyFill="1" applyBorder="1" applyAlignment="1">
      <alignment horizontal="center" vertical="center" wrapText="1" readingOrder="2"/>
    </xf>
    <xf numFmtId="0" fontId="40" fillId="7" borderId="21" xfId="0" applyFont="1" applyFill="1" applyBorder="1" applyAlignment="1">
      <alignment horizontal="center" vertical="center" wrapText="1" readingOrder="2"/>
    </xf>
    <xf numFmtId="166" fontId="40" fillId="0" borderId="17" xfId="0" applyNumberFormat="1" applyFont="1" applyBorder="1" applyAlignment="1">
      <alignment horizontal="center" vertical="center" wrapText="1" readingOrder="1"/>
    </xf>
    <xf numFmtId="0" fontId="27" fillId="0" borderId="18" xfId="0" applyFont="1" applyBorder="1" applyAlignment="1">
      <alignment horizontal="center"/>
    </xf>
    <xf numFmtId="0" fontId="27" fillId="4" borderId="23" xfId="0" applyFont="1" applyFill="1" applyBorder="1"/>
    <xf numFmtId="2" fontId="26" fillId="0" borderId="0" xfId="0" applyNumberFormat="1" applyFont="1" applyBorder="1" applyAlignment="1">
      <alignment horizontal="center" vertical="center" wrapText="1" readingOrder="2"/>
    </xf>
    <xf numFmtId="2" fontId="26" fillId="0" borderId="0" xfId="0" applyNumberFormat="1" applyFont="1" applyBorder="1" applyAlignment="1">
      <alignment horizontal="center" vertical="center" wrapText="1" readingOrder="1"/>
    </xf>
    <xf numFmtId="166" fontId="26" fillId="0" borderId="0" xfId="0" applyNumberFormat="1" applyFont="1" applyBorder="1" applyAlignment="1">
      <alignment horizontal="center" vertical="center" wrapText="1" readingOrder="2"/>
    </xf>
    <xf numFmtId="168" fontId="26" fillId="0" borderId="0" xfId="0" applyNumberFormat="1" applyFont="1" applyBorder="1" applyAlignment="1">
      <alignment horizontal="center" vertical="center" wrapText="1" readingOrder="2"/>
    </xf>
    <xf numFmtId="0" fontId="26" fillId="0" borderId="0" xfId="0" applyFont="1" applyBorder="1" applyAlignment="1">
      <alignment horizontal="center" vertical="center" wrapText="1" readingOrder="2"/>
    </xf>
    <xf numFmtId="165" fontId="26" fillId="0" borderId="0" xfId="0" applyNumberFormat="1" applyFont="1" applyBorder="1" applyAlignment="1">
      <alignment horizontal="center" vertical="center" wrapText="1" readingOrder="2"/>
    </xf>
    <xf numFmtId="169" fontId="26" fillId="0" borderId="0" xfId="0" applyNumberFormat="1" applyFont="1" applyBorder="1" applyAlignment="1">
      <alignment horizontal="center" vertical="center" wrapText="1" readingOrder="2"/>
    </xf>
    <xf numFmtId="0" fontId="25" fillId="3" borderId="0" xfId="0" applyFont="1" applyFill="1" applyBorder="1" applyAlignment="1">
      <alignment horizontal="center" vertical="center" wrapText="1" readingOrder="2"/>
    </xf>
    <xf numFmtId="164" fontId="25" fillId="3" borderId="0" xfId="0" applyNumberFormat="1" applyFont="1" applyFill="1" applyBorder="1" applyAlignment="1">
      <alignment horizontal="center" vertical="center" wrapText="1" readingOrder="2"/>
    </xf>
    <xf numFmtId="167" fontId="26" fillId="0" borderId="1" xfId="0" applyNumberFormat="1" applyFont="1" applyBorder="1" applyAlignment="1">
      <alignment horizontal="center" vertical="center" wrapText="1" readingOrder="2"/>
    </xf>
    <xf numFmtId="0" fontId="40" fillId="4" borderId="1" xfId="0" applyFont="1" applyFill="1" applyBorder="1" applyAlignment="1">
      <alignment horizontal="center" vertical="center" wrapText="1" readingOrder="2"/>
    </xf>
    <xf numFmtId="0" fontId="39" fillId="4" borderId="1" xfId="0" applyFont="1" applyFill="1" applyBorder="1" applyAlignment="1">
      <alignment horizontal="center" vertical="center" wrapText="1" readingOrder="2"/>
    </xf>
    <xf numFmtId="1" fontId="38" fillId="3" borderId="1" xfId="0" applyNumberFormat="1" applyFont="1" applyFill="1" applyBorder="1" applyAlignment="1">
      <alignment horizontal="center" vertical="center" wrapText="1" readingOrder="2"/>
    </xf>
    <xf numFmtId="2" fontId="38" fillId="3" borderId="1" xfId="0" applyNumberFormat="1" applyFont="1" applyFill="1" applyBorder="1" applyAlignment="1">
      <alignment horizontal="center" vertical="center" wrapText="1" readingOrder="2"/>
    </xf>
    <xf numFmtId="2" fontId="38" fillId="3" borderId="1" xfId="0" applyNumberFormat="1" applyFont="1" applyFill="1" applyBorder="1" applyAlignment="1">
      <alignment horizontal="center" vertical="center" wrapText="1" readingOrder="1"/>
    </xf>
    <xf numFmtId="164" fontId="38" fillId="3" borderId="1" xfId="0" applyNumberFormat="1" applyFont="1" applyFill="1" applyBorder="1" applyAlignment="1">
      <alignment horizontal="center" vertical="center" wrapText="1" readingOrder="2"/>
    </xf>
    <xf numFmtId="164" fontId="38" fillId="3" borderId="1" xfId="0" applyNumberFormat="1" applyFont="1" applyFill="1" applyBorder="1" applyAlignment="1">
      <alignment horizontal="center" vertical="center" wrapText="1" readingOrder="1"/>
    </xf>
    <xf numFmtId="0" fontId="40" fillId="0" borderId="0" xfId="0" applyFont="1" applyBorder="1" applyAlignment="1">
      <alignment horizontal="center" vertical="center" wrapText="1" readingOrder="2"/>
    </xf>
    <xf numFmtId="0" fontId="40" fillId="0" borderId="24" xfId="0" applyFont="1" applyBorder="1" applyAlignment="1">
      <alignment horizontal="center" vertical="center" wrapText="1" readingOrder="2"/>
    </xf>
    <xf numFmtId="0" fontId="34" fillId="7" borderId="25" xfId="0" applyFont="1" applyFill="1" applyBorder="1" applyAlignment="1">
      <alignment horizontal="center" vertical="center" wrapText="1" readingOrder="2"/>
    </xf>
    <xf numFmtId="0" fontId="40" fillId="7" borderId="25" xfId="0" applyFont="1" applyFill="1" applyBorder="1" applyAlignment="1">
      <alignment horizontal="center" vertical="center" wrapText="1" readingOrder="1"/>
    </xf>
    <xf numFmtId="0" fontId="40" fillId="0" borderId="26" xfId="0" applyFont="1" applyBorder="1" applyAlignment="1">
      <alignment horizontal="center" vertical="center" wrapText="1" readingOrder="2"/>
    </xf>
    <xf numFmtId="0" fontId="40" fillId="0" borderId="27" xfId="0" applyFont="1" applyBorder="1" applyAlignment="1">
      <alignment horizontal="center" vertical="center" wrapText="1" readingOrder="2"/>
    </xf>
    <xf numFmtId="166" fontId="40" fillId="0" borderId="27" xfId="0" applyNumberFormat="1" applyFont="1" applyBorder="1" applyAlignment="1">
      <alignment horizontal="center" vertical="center" wrapText="1" readingOrder="1"/>
    </xf>
    <xf numFmtId="0" fontId="40" fillId="0" borderId="28" xfId="0" applyFont="1" applyBorder="1" applyAlignment="1">
      <alignment horizontal="center" vertical="center" wrapText="1" readingOrder="2"/>
    </xf>
    <xf numFmtId="0" fontId="40" fillId="0" borderId="29" xfId="0" applyFont="1" applyBorder="1" applyAlignment="1">
      <alignment horizontal="center" vertical="center" wrapText="1" readingOrder="2"/>
    </xf>
    <xf numFmtId="0" fontId="40" fillId="0" borderId="30" xfId="0" applyFont="1" applyBorder="1" applyAlignment="1">
      <alignment horizontal="center" vertical="center" wrapText="1" readingOrder="2"/>
    </xf>
    <xf numFmtId="0" fontId="40" fillId="0" borderId="31" xfId="0" applyFont="1" applyBorder="1" applyAlignment="1">
      <alignment horizontal="center" vertical="center" wrapText="1" readingOrder="2"/>
    </xf>
    <xf numFmtId="0" fontId="40" fillId="0" borderId="32" xfId="0" applyFont="1" applyBorder="1" applyAlignment="1">
      <alignment horizontal="center" vertical="center" wrapText="1" readingOrder="2"/>
    </xf>
    <xf numFmtId="166" fontId="40" fillId="0" borderId="32" xfId="0" applyNumberFormat="1" applyFont="1" applyBorder="1" applyAlignment="1">
      <alignment horizontal="center" vertical="center" wrapText="1" readingOrder="1"/>
    </xf>
    <xf numFmtId="0" fontId="40" fillId="0" borderId="12" xfId="0" applyFont="1" applyBorder="1" applyAlignment="1">
      <alignment horizontal="center" vertical="center" wrapText="1" readingOrder="2"/>
    </xf>
    <xf numFmtId="0" fontId="18" fillId="3" borderId="1" xfId="0" applyFont="1" applyFill="1" applyBorder="1" applyAlignment="1">
      <alignment horizontal="center" vertical="center" wrapText="1" readingOrder="2"/>
    </xf>
    <xf numFmtId="0" fontId="18" fillId="5" borderId="1" xfId="0" applyFont="1" applyFill="1" applyBorder="1" applyAlignment="1">
      <alignment horizontal="center" vertical="center" wrapText="1" readingOrder="2"/>
    </xf>
    <xf numFmtId="0" fontId="36" fillId="0" borderId="33" xfId="0" applyFont="1" applyBorder="1" applyAlignment="1">
      <alignment horizontal="center" vertical="center" wrapText="1" readingOrder="2"/>
    </xf>
    <xf numFmtId="0" fontId="36" fillId="0" borderId="18" xfId="0" applyFont="1" applyBorder="1" applyAlignment="1">
      <alignment horizontal="center" vertical="center" wrapText="1" readingOrder="2"/>
    </xf>
    <xf numFmtId="0" fontId="36" fillId="0" borderId="34" xfId="0" applyFont="1" applyBorder="1" applyAlignment="1">
      <alignment horizontal="center" vertical="center" wrapText="1" readingOrder="2"/>
    </xf>
    <xf numFmtId="0" fontId="36" fillId="0" borderId="31" xfId="0" applyFont="1" applyBorder="1" applyAlignment="1">
      <alignment horizontal="center" vertical="center" wrapText="1" readingOrder="2"/>
    </xf>
    <xf numFmtId="0" fontId="36" fillId="0" borderId="35" xfId="0" applyFont="1" applyBorder="1" applyAlignment="1">
      <alignment horizontal="center" vertical="center" wrapText="1" readingOrder="2"/>
    </xf>
    <xf numFmtId="0" fontId="36" fillId="0" borderId="36" xfId="0" applyFont="1" applyBorder="1" applyAlignment="1">
      <alignment horizontal="center" vertical="center" wrapText="1" readingOrder="2"/>
    </xf>
    <xf numFmtId="0" fontId="36" fillId="0" borderId="37" xfId="0" applyFont="1" applyBorder="1" applyAlignment="1">
      <alignment horizontal="center" vertical="center" wrapText="1" readingOrder="2"/>
    </xf>
    <xf numFmtId="0" fontId="36" fillId="0" borderId="38" xfId="0" applyFont="1" applyBorder="1" applyAlignment="1">
      <alignment horizontal="center" vertical="center" wrapText="1" readingOrder="2"/>
    </xf>
    <xf numFmtId="164" fontId="18" fillId="3" borderId="1" xfId="0" applyNumberFormat="1" applyFont="1" applyFill="1" applyBorder="1" applyAlignment="1">
      <alignment horizontal="center" vertical="center" wrapText="1" readingOrder="2"/>
    </xf>
    <xf numFmtId="1" fontId="18" fillId="0" borderId="1" xfId="0" applyNumberFormat="1" applyFont="1" applyBorder="1" applyAlignment="1">
      <alignment horizontal="center" vertical="center" wrapText="1" readingOrder="2"/>
    </xf>
    <xf numFmtId="0" fontId="18" fillId="5" borderId="1" xfId="0" applyFont="1" applyFill="1" applyBorder="1" applyAlignment="1">
      <alignment horizontal="center" vertical="center" wrapText="1" readingOrder="2"/>
    </xf>
    <xf numFmtId="0" fontId="18" fillId="5" borderId="3" xfId="0" applyFont="1" applyFill="1" applyBorder="1" applyAlignment="1">
      <alignment horizontal="center" vertical="center" wrapText="1" readingOrder="2"/>
    </xf>
    <xf numFmtId="0" fontId="18" fillId="5" borderId="4" xfId="0" applyFont="1" applyFill="1" applyBorder="1" applyAlignment="1">
      <alignment horizontal="center" vertical="center" wrapText="1" readingOrder="2"/>
    </xf>
    <xf numFmtId="0" fontId="18" fillId="5" borderId="2" xfId="0" applyFont="1" applyFill="1" applyBorder="1" applyAlignment="1">
      <alignment horizontal="center" vertical="center" wrapText="1" readingOrder="2"/>
    </xf>
    <xf numFmtId="0" fontId="40" fillId="7" borderId="19" xfId="0" applyFont="1" applyFill="1" applyBorder="1" applyAlignment="1">
      <alignment horizontal="center" vertical="center" wrapText="1" readingOrder="2"/>
    </xf>
    <xf numFmtId="0" fontId="40" fillId="7" borderId="7" xfId="0" applyFont="1" applyFill="1" applyBorder="1" applyAlignment="1">
      <alignment horizontal="center" vertical="center" wrapText="1" readingOrder="2"/>
    </xf>
    <xf numFmtId="0" fontId="40" fillId="7" borderId="22" xfId="0" applyFont="1" applyFill="1" applyBorder="1" applyAlignment="1">
      <alignment horizontal="center" vertical="center" wrapText="1" readingOrder="2"/>
    </xf>
    <xf numFmtId="0" fontId="40" fillId="7" borderId="20" xfId="0" applyFont="1" applyFill="1" applyBorder="1" applyAlignment="1">
      <alignment horizontal="center" vertical="center" wrapText="1" readingOrder="2"/>
    </xf>
    <xf numFmtId="0" fontId="18" fillId="5" borderId="1" xfId="0" applyFont="1" applyFill="1" applyBorder="1" applyAlignment="1">
      <alignment horizontal="center" vertical="center" wrapText="1" readingOrder="2"/>
    </xf>
    <xf numFmtId="1" fontId="38" fillId="0" borderId="1" xfId="0" applyNumberFormat="1" applyFont="1" applyBorder="1" applyAlignment="1">
      <alignment horizontal="center" vertical="center" wrapText="1" readingOrder="2"/>
    </xf>
    <xf numFmtId="164" fontId="38" fillId="0" borderId="1" xfId="0" applyNumberFormat="1" applyFont="1" applyBorder="1" applyAlignment="1">
      <alignment horizontal="center" vertical="center" wrapText="1" readingOrder="2"/>
    </xf>
    <xf numFmtId="0" fontId="0" fillId="3" borderId="0" xfId="0" applyFill="1" applyBorder="1"/>
    <xf numFmtId="0" fontId="42" fillId="4" borderId="1" xfId="0" applyFont="1" applyFill="1" applyBorder="1" applyAlignment="1">
      <alignment horizontal="center" vertical="center" wrapText="1" readingOrder="2"/>
    </xf>
    <xf numFmtId="0" fontId="18" fillId="9" borderId="1" xfId="0" applyFont="1" applyFill="1" applyBorder="1" applyAlignment="1">
      <alignment horizontal="center" vertical="center" wrapText="1" readingOrder="2"/>
    </xf>
    <xf numFmtId="0" fontId="18" fillId="9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vertical="center" wrapText="1" readingOrder="2"/>
    </xf>
    <xf numFmtId="0" fontId="19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41657508785"/>
          <c:y val="4.1666666666666664E-2"/>
          <c:w val="0.70202810111070058"/>
          <c:h val="0.574973570483870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385941417392689"/>
                  <c:y val="0.6524155936346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'مد هیدرولیکی P06  '!$A$11:$A$21</c:f>
              <c:numCache>
                <c:formatCode>0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'مد هیدرولیکی P06  '!$F$11:$F$21</c:f>
              <c:numCache>
                <c:formatCode>0.00</c:formatCode>
                <c:ptCount val="11"/>
                <c:pt idx="0">
                  <c:v>50.150000000000006</c:v>
                </c:pt>
                <c:pt idx="1">
                  <c:v>100.2</c:v>
                </c:pt>
                <c:pt idx="2">
                  <c:v>150.30000000000001</c:v>
                </c:pt>
                <c:pt idx="3">
                  <c:v>200.42499999999998</c:v>
                </c:pt>
                <c:pt idx="4">
                  <c:v>250.45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66-409D-81EB-6314FF7D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6080"/>
        <c:axId val="48807232"/>
      </c:scatterChart>
      <c:valAx>
        <c:axId val="488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800" b="1"/>
                  <a:t>Applied Pressure DUT.</a:t>
                </a:r>
              </a:p>
            </c:rich>
          </c:tx>
          <c:layout>
            <c:manualLayout>
              <c:xMode val="edge"/>
              <c:yMode val="edge"/>
              <c:x val="8.2902288985354664E-2"/>
              <c:y val="0.819588559301174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8807232"/>
        <c:crosses val="autoZero"/>
        <c:crossBetween val="midCat"/>
      </c:valAx>
      <c:valAx>
        <c:axId val="488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800" b="1"/>
                  <a:t>Average of REF</a:t>
                </a:r>
                <a:r>
                  <a:rPr lang="fa-IR" sz="800" b="1"/>
                  <a:t>.</a:t>
                </a:r>
                <a:endParaRPr lang="en-US" sz="800" b="1"/>
              </a:p>
            </c:rich>
          </c:tx>
          <c:layout>
            <c:manualLayout>
              <c:xMode val="edge"/>
              <c:yMode val="edge"/>
              <c:x val="5.7598337120611603E-2"/>
              <c:y val="0.167911720815149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88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Correction</a:t>
            </a:r>
            <a:r>
              <a:rPr lang="en-US" sz="1200" b="1" baseline="0">
                <a:solidFill>
                  <a:sysClr val="windowText" lastClr="000000"/>
                </a:solidFill>
              </a:rPr>
              <a:t> Curve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14316892428294"/>
                  <c:y val="0.473950422863808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j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ysClr val="windowText" lastClr="000000"/>
                        </a:solidFill>
                        <a:latin typeface="+mj-lt"/>
                      </a:rPr>
                      <a:t>y = 0.0004x - 0.3878</a:t>
                    </a:r>
                    <a:br>
                      <a:rPr lang="en-US" sz="1000" b="1" baseline="0">
                        <a:solidFill>
                          <a:sysClr val="windowText" lastClr="000000"/>
                        </a:solidFill>
                        <a:latin typeface="+mj-lt"/>
                      </a:rPr>
                    </a:br>
                    <a:r>
                      <a:rPr lang="en-US" sz="1000" b="1" baseline="0">
                        <a:solidFill>
                          <a:sysClr val="windowText" lastClr="000000"/>
                        </a:solidFill>
                        <a:latin typeface="+mj-lt"/>
                      </a:rPr>
                      <a:t>R² = 0.6107</a:t>
                    </a:r>
                    <a:endParaRPr lang="en-US" sz="1000" b="1">
                      <a:solidFill>
                        <a:sysClr val="windowText" lastClr="000000"/>
                      </a:solidFill>
                      <a:latin typeface="+mj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'cell + back + pore  pressure'!$D$7:$D$16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'cell + back + pore  pressure'!$F$7:$F$16</c:f>
              <c:numCache>
                <c:formatCode>General</c:formatCode>
                <c:ptCount val="10"/>
                <c:pt idx="0">
                  <c:v>20.100000000000001</c:v>
                </c:pt>
                <c:pt idx="1">
                  <c:v>26</c:v>
                </c:pt>
                <c:pt idx="2">
                  <c:v>32.4</c:v>
                </c:pt>
                <c:pt idx="3">
                  <c:v>38.6</c:v>
                </c:pt>
                <c:pt idx="4">
                  <c:v>45.1</c:v>
                </c:pt>
                <c:pt idx="5">
                  <c:v>297.7</c:v>
                </c:pt>
                <c:pt idx="6">
                  <c:v>347.2</c:v>
                </c:pt>
                <c:pt idx="7">
                  <c:v>396.8</c:v>
                </c:pt>
                <c:pt idx="8">
                  <c:v>446.3</c:v>
                </c:pt>
                <c:pt idx="9">
                  <c:v>495.9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A1-4B41-8ACD-AC425BDF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1456"/>
        <c:axId val="77217088"/>
      </c:scatterChart>
      <c:valAx>
        <c:axId val="53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New roman"/>
                  </a:rPr>
                  <a:t>Applied Pressure (kpa</a:t>
                </a:r>
                <a:r>
                  <a:rPr lang="en-US" sz="900" b="1">
                    <a:latin typeface="New roman"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6.5543943991568862E-2"/>
              <c:y val="0.875475037446032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7088"/>
        <c:crosses val="autoZero"/>
        <c:crossBetween val="midCat"/>
      </c:valAx>
      <c:valAx>
        <c:axId val="77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New roman"/>
                  </a:rPr>
                  <a:t>Correction</a:t>
                </a:r>
                <a:r>
                  <a:rPr lang="en-US" sz="900" b="1" baseline="0">
                    <a:solidFill>
                      <a:sysClr val="windowText" lastClr="000000"/>
                    </a:solidFill>
                    <a:latin typeface="New roman"/>
                  </a:rPr>
                  <a:t> (kpa</a:t>
                </a:r>
                <a:r>
                  <a:rPr lang="en-US" sz="900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9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9520963052913138E-2"/>
              <c:y val="0.18705861767279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01737811976137"/>
                  <c:y val="0.60622695323221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'مد نیوماتیکی P09'!$B$13:$B$22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1</c:v>
                </c:pt>
              </c:numCache>
            </c:numRef>
          </c:xVal>
          <c:yVal>
            <c:numRef>
              <c:f>'مد نیوماتیکی P09'!$G$13:$G$22</c:f>
              <c:numCache>
                <c:formatCode>0.00</c:formatCode>
                <c:ptCount val="10"/>
                <c:pt idx="0">
                  <c:v>0.04</c:v>
                </c:pt>
                <c:pt idx="1">
                  <c:v>7.0000000000000007E-2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A-4C30-969D-3E1F4F59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5264"/>
        <c:axId val="78742656"/>
      </c:scatterChart>
      <c:valAx>
        <c:axId val="786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700"/>
                  <a:t>Applied Pressure DUT.</a:t>
                </a:r>
              </a:p>
            </c:rich>
          </c:tx>
          <c:layout>
            <c:manualLayout>
              <c:xMode val="edge"/>
              <c:yMode val="edge"/>
              <c:x val="0.11727666629918244"/>
              <c:y val="0.806161360971748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8742656"/>
        <c:crosses val="autoZero"/>
        <c:crossBetween val="midCat"/>
      </c:valAx>
      <c:valAx>
        <c:axId val="78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700"/>
                  <a:t>Average of REF</a:t>
                </a:r>
                <a:r>
                  <a:rPr lang="fa-IR" sz="700"/>
                  <a:t>.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6845128609807189E-2"/>
              <c:y val="0.10392674986758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86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63143075711768"/>
                  <c:y val="0.64532601290526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rtl="0"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'مد خلاء P05'!$B$11:$B$13</c:f>
              <c:numCache>
                <c:formatCode>General</c:formatCode>
                <c:ptCount val="3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</c:numCache>
            </c:numRef>
          </c:xVal>
          <c:yVal>
            <c:numRef>
              <c:f>'مد خلاء P05'!$G$11:$G$13</c:f>
              <c:numCache>
                <c:formatCode>0.00</c:formatCode>
                <c:ptCount val="3"/>
                <c:pt idx="0">
                  <c:v>-0.11</c:v>
                </c:pt>
                <c:pt idx="1">
                  <c:v>-0.06</c:v>
                </c:pt>
                <c:pt idx="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E9-4F97-AF4D-DEFE25CF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7840"/>
        <c:axId val="78748416"/>
      </c:scatterChart>
      <c:valAx>
        <c:axId val="787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Applied Pressure DUT.</a:t>
                </a:r>
              </a:p>
            </c:rich>
          </c:tx>
          <c:layout>
            <c:manualLayout>
              <c:xMode val="edge"/>
              <c:yMode val="edge"/>
              <c:x val="9.4760898832391791E-2"/>
              <c:y val="0.82926745115358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8748416"/>
        <c:crosses val="autoZero"/>
        <c:crossBetween val="midCat"/>
      </c:valAx>
      <c:valAx>
        <c:axId val="787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Average of REF.</a:t>
                </a:r>
              </a:p>
            </c:rich>
          </c:tx>
          <c:layout>
            <c:manualLayout>
              <c:xMode val="edge"/>
              <c:yMode val="edge"/>
              <c:x val="1.5120834217614402E-2"/>
              <c:y val="0.15204149357810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87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27901</xdr:colOff>
      <xdr:row>6</xdr:row>
      <xdr:rowOff>41371</xdr:rowOff>
    </xdr:from>
    <xdr:to>
      <xdr:col>8</xdr:col>
      <xdr:colOff>14047</xdr:colOff>
      <xdr:row>6</xdr:row>
      <xdr:rowOff>218883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3401" y="866871"/>
          <a:ext cx="1033896" cy="17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8659</xdr:colOff>
      <xdr:row>6</xdr:row>
      <xdr:rowOff>53879</xdr:rowOff>
    </xdr:from>
    <xdr:to>
      <xdr:col>9</xdr:col>
      <xdr:colOff>25977</xdr:colOff>
      <xdr:row>6</xdr:row>
      <xdr:rowOff>241781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1909" y="879379"/>
          <a:ext cx="1001568" cy="18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90439</xdr:colOff>
      <xdr:row>6</xdr:row>
      <xdr:rowOff>13471</xdr:rowOff>
    </xdr:from>
    <xdr:to>
      <xdr:col>9</xdr:col>
      <xdr:colOff>1054195</xdr:colOff>
      <xdr:row>6</xdr:row>
      <xdr:rowOff>255393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7939" y="838971"/>
          <a:ext cx="963756" cy="24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185691</xdr:colOff>
      <xdr:row>4</xdr:row>
      <xdr:rowOff>24052</xdr:rowOff>
    </xdr:from>
    <xdr:to>
      <xdr:col>9</xdr:col>
      <xdr:colOff>976362</xdr:colOff>
      <xdr:row>5</xdr:row>
      <xdr:rowOff>2028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4327" y="422370"/>
          <a:ext cx="790671" cy="16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1036637</xdr:colOff>
      <xdr:row>21</xdr:row>
      <xdr:rowOff>1</xdr:rowOff>
    </xdr:from>
    <xdr:to>
      <xdr:col>15</xdr:col>
      <xdr:colOff>1044575</xdr:colOff>
      <xdr:row>22</xdr:row>
      <xdr:rowOff>25400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 flipH="1" flipV="1">
          <a:off x="37936487" y="3962401"/>
          <a:ext cx="7938" cy="2158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1143000</xdr:colOff>
      <xdr:row>21</xdr:row>
      <xdr:rowOff>31751</xdr:rowOff>
    </xdr:from>
    <xdr:to>
      <xdr:col>11</xdr:col>
      <xdr:colOff>1153583</xdr:colOff>
      <xdr:row>24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 flipH="1" flipV="1">
          <a:off x="12249150" y="10252076"/>
          <a:ext cx="10583" cy="66674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1125008</xdr:colOff>
      <xdr:row>24</xdr:row>
      <xdr:rowOff>116417</xdr:rowOff>
    </xdr:from>
    <xdr:to>
      <xdr:col>13</xdr:col>
      <xdr:colOff>1746250</xdr:colOff>
      <xdr:row>24</xdr:row>
      <xdr:rowOff>116417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CxnSpPr/>
      </xdr:nvCxnSpPr>
      <xdr:spPr>
        <a:xfrm>
          <a:off x="12231158" y="10908242"/>
          <a:ext cx="449791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480507</xdr:colOff>
      <xdr:row>10</xdr:row>
      <xdr:rowOff>180014</xdr:rowOff>
    </xdr:from>
    <xdr:to>
      <xdr:col>23</xdr:col>
      <xdr:colOff>575758</xdr:colOff>
      <xdr:row>18</xdr:row>
      <xdr:rowOff>63357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216477</xdr:colOff>
      <xdr:row>3</xdr:row>
      <xdr:rowOff>77933</xdr:rowOff>
    </xdr:from>
    <xdr:to>
      <xdr:col>12</xdr:col>
      <xdr:colOff>77932</xdr:colOff>
      <xdr:row>12</xdr:row>
      <xdr:rowOff>17319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7</xdr:row>
      <xdr:rowOff>51954</xdr:rowOff>
    </xdr:from>
    <xdr:to>
      <xdr:col>8</xdr:col>
      <xdr:colOff>1765589</xdr:colOff>
      <xdr:row>7</xdr:row>
      <xdr:rowOff>277091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3218" y="471054"/>
          <a:ext cx="1748271" cy="225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8659</xdr:colOff>
      <xdr:row>7</xdr:row>
      <xdr:rowOff>43296</xdr:rowOff>
    </xdr:from>
    <xdr:to>
      <xdr:col>10</xdr:col>
      <xdr:colOff>25977</xdr:colOff>
      <xdr:row>7</xdr:row>
      <xdr:rowOff>259773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11934" y="462396"/>
          <a:ext cx="1846118" cy="216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164523</xdr:colOff>
      <xdr:row>7</xdr:row>
      <xdr:rowOff>34635</xdr:rowOff>
    </xdr:from>
    <xdr:to>
      <xdr:col>10</xdr:col>
      <xdr:colOff>1671204</xdr:colOff>
      <xdr:row>8</xdr:row>
      <xdr:rowOff>11974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6598" y="453735"/>
          <a:ext cx="1506681" cy="263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7</xdr:row>
      <xdr:rowOff>60613</xdr:rowOff>
    </xdr:from>
    <xdr:to>
      <xdr:col>11</xdr:col>
      <xdr:colOff>1065068</xdr:colOff>
      <xdr:row>7</xdr:row>
      <xdr:rowOff>276714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22775" y="479713"/>
          <a:ext cx="1065068" cy="216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1036637</xdr:colOff>
      <xdr:row>25</xdr:row>
      <xdr:rowOff>1</xdr:rowOff>
    </xdr:from>
    <xdr:to>
      <xdr:col>15</xdr:col>
      <xdr:colOff>1044575</xdr:colOff>
      <xdr:row>26</xdr:row>
      <xdr:rowOff>25400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 flipV="1">
          <a:off x="37936487" y="3962401"/>
          <a:ext cx="7938" cy="21589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762000</xdr:colOff>
      <xdr:row>25</xdr:row>
      <xdr:rowOff>31751</xdr:rowOff>
    </xdr:from>
    <xdr:to>
      <xdr:col>12</xdr:col>
      <xdr:colOff>772583</xdr:colOff>
      <xdr:row>28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 flipH="1" flipV="1">
          <a:off x="32775525" y="3994151"/>
          <a:ext cx="10583" cy="66674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772583</xdr:colOff>
      <xdr:row>28</xdr:row>
      <xdr:rowOff>116417</xdr:rowOff>
    </xdr:from>
    <xdr:to>
      <xdr:col>14</xdr:col>
      <xdr:colOff>1555750</xdr:colOff>
      <xdr:row>28</xdr:row>
      <xdr:rowOff>116417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CxnSpPr/>
      </xdr:nvCxnSpPr>
      <xdr:spPr>
        <a:xfrm>
          <a:off x="32786108" y="4650317"/>
          <a:ext cx="404071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401565</xdr:colOff>
      <xdr:row>12</xdr:row>
      <xdr:rowOff>57691</xdr:rowOff>
    </xdr:from>
    <xdr:to>
      <xdr:col>24</xdr:col>
      <xdr:colOff>252194</xdr:colOff>
      <xdr:row>19</xdr:row>
      <xdr:rowOff>16236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817562</xdr:colOff>
      <xdr:row>19</xdr:row>
      <xdr:rowOff>190501</xdr:rowOff>
    </xdr:from>
    <xdr:to>
      <xdr:col>15</xdr:col>
      <xdr:colOff>825500</xdr:colOff>
      <xdr:row>21</xdr:row>
      <xdr:rowOff>15875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H="1" flipV="1">
          <a:off x="12352337" y="4800601"/>
          <a:ext cx="7938" cy="22542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433917</xdr:colOff>
      <xdr:row>20</xdr:row>
      <xdr:rowOff>21167</xdr:rowOff>
    </xdr:from>
    <xdr:to>
      <xdr:col>12</xdr:col>
      <xdr:colOff>433917</xdr:colOff>
      <xdr:row>23</xdr:row>
      <xdr:rowOff>328083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11366500" y="3915834"/>
          <a:ext cx="0" cy="87841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170092</xdr:colOff>
      <xdr:row>10</xdr:row>
      <xdr:rowOff>105455</xdr:rowOff>
    </xdr:from>
    <xdr:to>
      <xdr:col>27</xdr:col>
      <xdr:colOff>257176</xdr:colOff>
      <xdr:row>18</xdr:row>
      <xdr:rowOff>175533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A4" zoomScale="80" zoomScaleNormal="80" workbookViewId="0">
      <selection activeCell="E27" sqref="E27"/>
    </sheetView>
  </sheetViews>
  <sheetFormatPr defaultRowHeight="15"/>
  <cols>
    <col min="1" max="1" width="24.5703125" customWidth="1"/>
    <col min="2" max="2" width="13" customWidth="1"/>
    <col min="3" max="3" width="12.140625" customWidth="1"/>
    <col min="4" max="4" width="13.42578125" customWidth="1"/>
    <col min="5" max="5" width="11.85546875" customWidth="1"/>
    <col min="6" max="6" width="17.28515625" customWidth="1"/>
    <col min="7" max="7" width="15" customWidth="1"/>
    <col min="8" max="8" width="15.7109375" customWidth="1"/>
    <col min="9" max="9" width="14.7109375" customWidth="1"/>
    <col min="10" max="10" width="16.85546875" customWidth="1"/>
    <col min="11" max="11" width="12" customWidth="1"/>
    <col min="12" max="12" width="31" hidden="1" customWidth="1"/>
    <col min="13" max="13" width="27.140625" hidden="1" customWidth="1"/>
    <col min="14" max="14" width="28.5703125" hidden="1" customWidth="1"/>
    <col min="15" max="16" width="23.5703125" hidden="1" customWidth="1"/>
    <col min="17" max="17" width="24.7109375" hidden="1" customWidth="1"/>
    <col min="18" max="18" width="14" hidden="1" customWidth="1"/>
    <col min="19" max="19" width="20.85546875" customWidth="1"/>
  </cols>
  <sheetData>
    <row r="1" spans="1:22" ht="42.75" hidden="1">
      <c r="A1" s="9" t="s">
        <v>13</v>
      </c>
      <c r="B1" s="7">
        <v>0.1</v>
      </c>
      <c r="C1" s="10" t="s">
        <v>4</v>
      </c>
      <c r="G1" s="3"/>
    </row>
    <row r="2" spans="1:22" ht="30.75" hidden="1" customHeight="1">
      <c r="A2" s="4" t="s">
        <v>18</v>
      </c>
      <c r="B2" s="7">
        <v>0</v>
      </c>
      <c r="C2" s="8" t="s">
        <v>4</v>
      </c>
      <c r="F2" s="14"/>
      <c r="G2" s="3"/>
    </row>
    <row r="3" spans="1:22" ht="31.5" hidden="1" customHeight="1">
      <c r="A3" s="4" t="s">
        <v>19</v>
      </c>
      <c r="B3" s="7">
        <v>0</v>
      </c>
      <c r="C3" s="8" t="s">
        <v>4</v>
      </c>
      <c r="G3" s="3"/>
    </row>
    <row r="4" spans="1:22" s="14" customFormat="1" ht="31.5" customHeight="1">
      <c r="A4" s="84" t="s">
        <v>50</v>
      </c>
      <c r="B4" s="85" t="s">
        <v>51</v>
      </c>
      <c r="C4" s="85" t="s">
        <v>52</v>
      </c>
      <c r="G4" s="3"/>
    </row>
    <row r="5" spans="1:22">
      <c r="A5" s="18"/>
      <c r="B5" s="85" t="s">
        <v>53</v>
      </c>
      <c r="C5" s="85" t="s">
        <v>54</v>
      </c>
    </row>
    <row r="6" spans="1:22" ht="18">
      <c r="A6" s="26"/>
      <c r="B6" s="26"/>
      <c r="C6" s="26"/>
      <c r="D6" s="27"/>
      <c r="E6" s="28"/>
      <c r="F6" s="27"/>
      <c r="G6" s="28"/>
      <c r="H6" s="27"/>
      <c r="I6" s="28"/>
      <c r="J6" s="27"/>
      <c r="K6" s="28"/>
      <c r="L6" s="28"/>
      <c r="M6" s="27"/>
      <c r="N6" s="27"/>
      <c r="O6" s="28"/>
      <c r="P6" s="27"/>
      <c r="Q6" s="26"/>
      <c r="R6" s="26"/>
      <c r="S6" s="14"/>
    </row>
    <row r="7" spans="1:22" ht="21" customHeight="1">
      <c r="A7" s="32" t="s">
        <v>1</v>
      </c>
      <c r="B7" s="176" t="s">
        <v>1</v>
      </c>
      <c r="C7" s="177"/>
      <c r="D7" s="177"/>
      <c r="E7" s="178"/>
    </row>
    <row r="8" spans="1:22" ht="31.5" customHeight="1">
      <c r="A8" s="32" t="s">
        <v>3</v>
      </c>
      <c r="B8" s="176" t="s">
        <v>2</v>
      </c>
      <c r="C8" s="177"/>
      <c r="D8" s="177"/>
      <c r="E8" s="178"/>
      <c r="F8" s="33" t="s">
        <v>0</v>
      </c>
      <c r="G8" s="33" t="s">
        <v>5</v>
      </c>
      <c r="H8" s="33" t="s">
        <v>35</v>
      </c>
      <c r="I8" s="33" t="s">
        <v>36</v>
      </c>
      <c r="J8" s="34" t="s">
        <v>7</v>
      </c>
      <c r="K8" s="33" t="s">
        <v>27</v>
      </c>
      <c r="L8" s="35" t="s">
        <v>11</v>
      </c>
      <c r="M8" s="57" t="s">
        <v>33</v>
      </c>
      <c r="N8" s="35" t="s">
        <v>29</v>
      </c>
      <c r="O8" s="35" t="s">
        <v>12</v>
      </c>
      <c r="P8" s="35" t="s">
        <v>15</v>
      </c>
      <c r="Q8" s="35" t="s">
        <v>25</v>
      </c>
      <c r="R8" s="35" t="s">
        <v>17</v>
      </c>
      <c r="S8" s="190" t="s">
        <v>8</v>
      </c>
      <c r="V8" t="s">
        <v>23</v>
      </c>
    </row>
    <row r="9" spans="1:22" ht="22.5" customHeight="1">
      <c r="A9" s="32" t="s">
        <v>37</v>
      </c>
      <c r="B9" s="32" t="s">
        <v>38</v>
      </c>
      <c r="C9" s="32" t="s">
        <v>39</v>
      </c>
      <c r="D9" s="32" t="s">
        <v>40</v>
      </c>
      <c r="E9" s="32" t="s">
        <v>41</v>
      </c>
      <c r="F9" s="33" t="s">
        <v>1</v>
      </c>
      <c r="G9" s="33" t="s">
        <v>6</v>
      </c>
      <c r="H9" s="36"/>
      <c r="I9" s="36"/>
      <c r="J9" s="33" t="s">
        <v>28</v>
      </c>
      <c r="K9" s="33"/>
      <c r="L9" s="37" t="s">
        <v>22</v>
      </c>
      <c r="M9" s="37" t="s">
        <v>56</v>
      </c>
      <c r="N9" s="37"/>
      <c r="O9" s="37" t="s">
        <v>21</v>
      </c>
      <c r="P9" s="37" t="s">
        <v>14</v>
      </c>
      <c r="Q9" s="37" t="s">
        <v>26</v>
      </c>
      <c r="R9" s="37"/>
      <c r="S9" s="191" t="s">
        <v>9</v>
      </c>
    </row>
    <row r="10" spans="1:22">
      <c r="A10" s="39" t="s">
        <v>4</v>
      </c>
      <c r="B10" s="40" t="s">
        <v>4</v>
      </c>
      <c r="C10" s="39" t="s">
        <v>4</v>
      </c>
      <c r="D10" s="39" t="s">
        <v>4</v>
      </c>
      <c r="E10" s="39" t="s">
        <v>4</v>
      </c>
      <c r="F10" s="75" t="s">
        <v>4</v>
      </c>
      <c r="G10" s="32" t="s">
        <v>4</v>
      </c>
      <c r="H10" s="32" t="s">
        <v>4</v>
      </c>
      <c r="I10" s="32" t="s">
        <v>4</v>
      </c>
      <c r="J10" s="32" t="s">
        <v>4</v>
      </c>
      <c r="K10" s="32" t="s">
        <v>4</v>
      </c>
      <c r="L10" s="32" t="s">
        <v>4</v>
      </c>
      <c r="M10" s="32" t="s">
        <v>4</v>
      </c>
      <c r="N10" s="32"/>
      <c r="O10" s="32" t="s">
        <v>4</v>
      </c>
      <c r="P10" s="32" t="s">
        <v>4</v>
      </c>
      <c r="Q10" s="32" t="s">
        <v>4</v>
      </c>
      <c r="R10" s="32" t="s">
        <v>4</v>
      </c>
      <c r="S10" s="188" t="s">
        <v>10</v>
      </c>
      <c r="T10" s="31" t="s">
        <v>34</v>
      </c>
      <c r="U10">
        <v>0.5</v>
      </c>
    </row>
    <row r="11" spans="1:22">
      <c r="A11" s="184">
        <v>50</v>
      </c>
      <c r="B11" s="185">
        <v>50.1</v>
      </c>
      <c r="C11" s="185">
        <v>50.2</v>
      </c>
      <c r="D11" s="185">
        <v>50.1</v>
      </c>
      <c r="E11" s="185">
        <v>50.2</v>
      </c>
      <c r="F11" s="115">
        <f>AVERAGE(B11:E11)</f>
        <v>50.150000000000006</v>
      </c>
      <c r="G11" s="116">
        <f>A11-F11</f>
        <v>-0.15000000000000568</v>
      </c>
      <c r="H11" s="117">
        <f>ABS(A11-AVERAGE(B11,D11))</f>
        <v>0.10000000000000142</v>
      </c>
      <c r="I11" s="117">
        <f>ABS(A11-AVERAGE(C10,E11))</f>
        <v>0.20000000000000284</v>
      </c>
      <c r="J11" s="116">
        <f t="shared" ref="J11:J21" si="0">ABS(H11-I11)</f>
        <v>0.10000000000000142</v>
      </c>
      <c r="K11" s="117">
        <f>SUM(H11:I11)/2</f>
        <v>0.15000000000000213</v>
      </c>
      <c r="L11" s="118">
        <f t="shared" ref="L11:L17" si="1">((0.05%*700)/SQRT(3))^2</f>
        <v>4.0833333333333346E-2</v>
      </c>
      <c r="M11" s="119">
        <f t="shared" ref="M11:M17" si="2">0.3%*F11</f>
        <v>0.15045000000000003</v>
      </c>
      <c r="N11" s="120">
        <f t="shared" ref="N11:N21" si="3">((M11/SQRT(3)))^2</f>
        <v>7.545067500000004E-3</v>
      </c>
      <c r="O11" s="121">
        <f>(0.05/(2*SQRT(3)))^2</f>
        <v>2.0833333333333337E-4</v>
      </c>
      <c r="P11" s="122">
        <f>(0/(2*SQRT(3)))^2</f>
        <v>0</v>
      </c>
      <c r="Q11" s="122">
        <f>((MAX(H11:I11)/(2*SQRT(3)))^2)</f>
        <v>3.3333333333334285E-3</v>
      </c>
      <c r="R11" s="121">
        <f>(J11/(2*SQRT(3)))^2</f>
        <v>8.3333333333335713E-4</v>
      </c>
      <c r="S11" s="117">
        <f>(SQRT(SUM(L11,N11,O11,P11,Q11,R11)))*2</f>
        <v>0.45936217011562225</v>
      </c>
      <c r="U11" s="16">
        <f t="shared" ref="U11:U16" si="4">0.3%*F11</f>
        <v>0.15045000000000003</v>
      </c>
    </row>
    <row r="12" spans="1:22">
      <c r="A12" s="184">
        <v>100</v>
      </c>
      <c r="B12" s="185">
        <v>100.1</v>
      </c>
      <c r="C12" s="185">
        <v>100.2</v>
      </c>
      <c r="D12" s="185">
        <v>100.2</v>
      </c>
      <c r="E12" s="185">
        <v>100.3</v>
      </c>
      <c r="F12" s="115">
        <f t="shared" ref="F12:F21" si="5">AVERAGE(B12:E12)</f>
        <v>100.2</v>
      </c>
      <c r="G12" s="116">
        <f t="shared" ref="G12:G21" si="6">A12-F12</f>
        <v>-0.20000000000000284</v>
      </c>
      <c r="H12" s="117">
        <f>ABS(A12-AVERAGE(B12,D12))</f>
        <v>0.15000000000000568</v>
      </c>
      <c r="I12" s="117">
        <f>ABS(A12-AVERAGE(C12,E12))</f>
        <v>0.25</v>
      </c>
      <c r="J12" s="116">
        <f t="shared" si="0"/>
        <v>9.9999999999994316E-2</v>
      </c>
      <c r="K12" s="117">
        <f t="shared" ref="K12:K21" si="7">SUM(H12:I12)/2</f>
        <v>0.20000000000000284</v>
      </c>
      <c r="L12" s="118">
        <f t="shared" si="1"/>
        <v>4.0833333333333346E-2</v>
      </c>
      <c r="M12" s="119">
        <f t="shared" si="2"/>
        <v>0.30060000000000003</v>
      </c>
      <c r="N12" s="120">
        <f t="shared" si="3"/>
        <v>3.0120120000000007E-2</v>
      </c>
      <c r="O12" s="121">
        <f t="shared" ref="O12:O21" si="8">(0.05/(2*SQRT(3)))^2</f>
        <v>2.0833333333333337E-4</v>
      </c>
      <c r="P12" s="122">
        <f>P11</f>
        <v>0</v>
      </c>
      <c r="Q12" s="122">
        <f>((MAX(H12:I12)/(2*SQRT(3)))^2)</f>
        <v>5.2083333333333348E-3</v>
      </c>
      <c r="R12" s="121">
        <f>(J12/(2*SQRT(3)))^2</f>
        <v>8.3333333333323874E-4</v>
      </c>
      <c r="S12" s="117">
        <f>(SQRT(SUM(L12,N12,O12,P12,Q12,R12)))*2</f>
        <v>0.5557101882576323</v>
      </c>
      <c r="U12" s="16">
        <f t="shared" si="4"/>
        <v>0.30060000000000003</v>
      </c>
    </row>
    <row r="13" spans="1:22">
      <c r="A13" s="184">
        <v>150</v>
      </c>
      <c r="B13" s="185">
        <v>150.19999999999999</v>
      </c>
      <c r="C13" s="185">
        <v>150.30000000000001</v>
      </c>
      <c r="D13" s="185">
        <v>150.30000000000001</v>
      </c>
      <c r="E13" s="185">
        <v>150.4</v>
      </c>
      <c r="F13" s="115">
        <f>AVERAGE(B13:E13)</f>
        <v>150.30000000000001</v>
      </c>
      <c r="G13" s="116">
        <f t="shared" si="6"/>
        <v>-0.30000000000001137</v>
      </c>
      <c r="H13" s="117">
        <f t="shared" ref="H13:H21" si="9">ABS(A13-AVERAGE(B13,D13))</f>
        <v>0.25</v>
      </c>
      <c r="I13" s="117">
        <f>ABS(A13-AVERAGE(C13,E13))</f>
        <v>0.35000000000002274</v>
      </c>
      <c r="J13" s="116">
        <f t="shared" si="0"/>
        <v>0.10000000000002274</v>
      </c>
      <c r="K13" s="117">
        <f t="shared" si="7"/>
        <v>0.30000000000001137</v>
      </c>
      <c r="L13" s="118">
        <f t="shared" si="1"/>
        <v>4.0833333333333346E-2</v>
      </c>
      <c r="M13" s="119">
        <f t="shared" si="2"/>
        <v>0.45090000000000002</v>
      </c>
      <c r="N13" s="120">
        <f t="shared" si="3"/>
        <v>6.7770270000000021E-2</v>
      </c>
      <c r="O13" s="121">
        <f t="shared" si="8"/>
        <v>2.0833333333333337E-4</v>
      </c>
      <c r="P13" s="122">
        <f t="shared" ref="P13:P21" si="10">P12</f>
        <v>0</v>
      </c>
      <c r="Q13" s="122">
        <f t="shared" ref="Q13:Q21" si="11">((MAX(H13:I13)/(2*SQRT(3)))^2)</f>
        <v>1.020833333333466E-2</v>
      </c>
      <c r="R13" s="121">
        <f t="shared" ref="R13:R21" si="12">(J13/(2*SQRT(3)))^2</f>
        <v>8.3333333333371242E-4</v>
      </c>
      <c r="S13" s="117">
        <f t="shared" ref="S13:S21" si="13">(SQRT(SUM(L13,N13,O13,P13,Q13,R13)))*2</f>
        <v>0.69239758328097911</v>
      </c>
      <c r="U13" s="16">
        <f t="shared" si="4"/>
        <v>0.45090000000000002</v>
      </c>
    </row>
    <row r="14" spans="1:22">
      <c r="A14" s="184">
        <v>200</v>
      </c>
      <c r="B14" s="185">
        <v>200.4</v>
      </c>
      <c r="C14" s="185">
        <v>200.5</v>
      </c>
      <c r="D14" s="185">
        <v>200.4</v>
      </c>
      <c r="E14" s="185">
        <v>200.4</v>
      </c>
      <c r="F14" s="115">
        <f t="shared" si="5"/>
        <v>200.42499999999998</v>
      </c>
      <c r="G14" s="116">
        <f t="shared" si="6"/>
        <v>-0.42499999999998295</v>
      </c>
      <c r="H14" s="117">
        <f t="shared" si="9"/>
        <v>0.40000000000000568</v>
      </c>
      <c r="I14" s="117">
        <f>ABS(A14-AVERAGE(C14,E14))</f>
        <v>0.44999999999998863</v>
      </c>
      <c r="J14" s="116">
        <f t="shared" si="0"/>
        <v>4.9999999999982947E-2</v>
      </c>
      <c r="K14" s="117">
        <f t="shared" si="7"/>
        <v>0.42499999999999716</v>
      </c>
      <c r="L14" s="118">
        <f t="shared" si="1"/>
        <v>4.0833333333333346E-2</v>
      </c>
      <c r="M14" s="119">
        <f t="shared" si="2"/>
        <v>0.601275</v>
      </c>
      <c r="N14" s="120">
        <f t="shared" si="3"/>
        <v>0.12051054187500002</v>
      </c>
      <c r="O14" s="121">
        <f t="shared" si="8"/>
        <v>2.0833333333333337E-4</v>
      </c>
      <c r="P14" s="122">
        <f>P13</f>
        <v>0</v>
      </c>
      <c r="Q14" s="122">
        <f t="shared" si="11"/>
        <v>1.6874999999999155E-2</v>
      </c>
      <c r="R14" s="121">
        <f t="shared" si="12"/>
        <v>2.0833333333319126E-4</v>
      </c>
      <c r="S14" s="117">
        <f t="shared" si="13"/>
        <v>0.84530596088043553</v>
      </c>
      <c r="U14" s="16">
        <f>0.3%*F14</f>
        <v>0.601275</v>
      </c>
    </row>
    <row r="15" spans="1:22">
      <c r="A15" s="174">
        <v>250</v>
      </c>
      <c r="B15" s="185">
        <v>250.5</v>
      </c>
      <c r="C15" s="185">
        <v>250.5</v>
      </c>
      <c r="D15" s="185">
        <v>250.4</v>
      </c>
      <c r="E15" s="185">
        <v>250.4</v>
      </c>
      <c r="F15" s="115">
        <f t="shared" si="5"/>
        <v>250.45</v>
      </c>
      <c r="G15" s="116">
        <f t="shared" si="6"/>
        <v>-0.44999999999998863</v>
      </c>
      <c r="H15" s="117">
        <f t="shared" si="9"/>
        <v>0.44999999999998863</v>
      </c>
      <c r="I15" s="117">
        <f>ABS(A15-AVERAGE(C15,E15))</f>
        <v>0.44999999999998863</v>
      </c>
      <c r="J15" s="116">
        <f t="shared" si="0"/>
        <v>0</v>
      </c>
      <c r="K15" s="117">
        <f t="shared" si="7"/>
        <v>0.44999999999998863</v>
      </c>
      <c r="L15" s="118">
        <f t="shared" si="1"/>
        <v>4.0833333333333346E-2</v>
      </c>
      <c r="M15" s="119">
        <f t="shared" si="2"/>
        <v>0.75134999999999996</v>
      </c>
      <c r="N15" s="120">
        <f t="shared" si="3"/>
        <v>0.18817560750000001</v>
      </c>
      <c r="O15" s="121">
        <f t="shared" si="8"/>
        <v>2.0833333333333337E-4</v>
      </c>
      <c r="P15" s="122">
        <f t="shared" si="10"/>
        <v>0</v>
      </c>
      <c r="Q15" s="122">
        <f t="shared" si="11"/>
        <v>1.6874999999999155E-2</v>
      </c>
      <c r="R15" s="121">
        <f t="shared" si="12"/>
        <v>0</v>
      </c>
      <c r="S15" s="117">
        <f t="shared" si="13"/>
        <v>0.99215376664439636</v>
      </c>
      <c r="U15" s="16">
        <f t="shared" si="4"/>
        <v>0.75134999999999996</v>
      </c>
    </row>
    <row r="16" spans="1:22">
      <c r="A16" s="126"/>
      <c r="B16" s="185"/>
      <c r="C16" s="185"/>
      <c r="D16" s="185"/>
      <c r="E16" s="185"/>
      <c r="F16" s="115" t="e">
        <f>AVERAGE(B16:E16)</f>
        <v>#DIV/0!</v>
      </c>
      <c r="G16" s="116" t="e">
        <f t="shared" si="6"/>
        <v>#DIV/0!</v>
      </c>
      <c r="H16" s="117" t="e">
        <f t="shared" si="9"/>
        <v>#DIV/0!</v>
      </c>
      <c r="I16" s="117" t="e">
        <f t="shared" ref="I16:I18" si="14">ABS(A16-AVERAGE(C16,E16))</f>
        <v>#DIV/0!</v>
      </c>
      <c r="J16" s="116" t="e">
        <f t="shared" si="0"/>
        <v>#DIV/0!</v>
      </c>
      <c r="K16" s="117" t="e">
        <f t="shared" si="7"/>
        <v>#DIV/0!</v>
      </c>
      <c r="L16" s="118">
        <f t="shared" si="1"/>
        <v>4.0833333333333346E-2</v>
      </c>
      <c r="M16" s="119" t="e">
        <f t="shared" si="2"/>
        <v>#DIV/0!</v>
      </c>
      <c r="N16" s="120" t="e">
        <f t="shared" si="3"/>
        <v>#DIV/0!</v>
      </c>
      <c r="O16" s="121">
        <f t="shared" si="8"/>
        <v>2.0833333333333337E-4</v>
      </c>
      <c r="P16" s="122">
        <f t="shared" si="10"/>
        <v>0</v>
      </c>
      <c r="Q16" s="122" t="e">
        <f t="shared" si="11"/>
        <v>#DIV/0!</v>
      </c>
      <c r="R16" s="121" t="e">
        <f t="shared" si="12"/>
        <v>#DIV/0!</v>
      </c>
      <c r="S16" s="117" t="e">
        <f t="shared" si="13"/>
        <v>#DIV/0!</v>
      </c>
      <c r="U16" s="16" t="e">
        <f t="shared" si="4"/>
        <v>#DIV/0!</v>
      </c>
    </row>
    <row r="17" spans="1:21">
      <c r="A17" s="163"/>
      <c r="B17" s="173"/>
      <c r="C17" s="173"/>
      <c r="D17" s="173"/>
      <c r="E17" s="173"/>
      <c r="F17" s="115" t="e">
        <f>AVERAGE(B17:E17)</f>
        <v>#DIV/0!</v>
      </c>
      <c r="G17" s="116" t="e">
        <f t="shared" si="6"/>
        <v>#DIV/0!</v>
      </c>
      <c r="H17" s="117" t="e">
        <f>ABS(A17-AVERAGE(B17,D17))</f>
        <v>#DIV/0!</v>
      </c>
      <c r="I17" s="117" t="e">
        <f t="shared" si="14"/>
        <v>#DIV/0!</v>
      </c>
      <c r="J17" s="116" t="e">
        <f t="shared" si="0"/>
        <v>#DIV/0!</v>
      </c>
      <c r="K17" s="117" t="e">
        <f t="shared" si="7"/>
        <v>#DIV/0!</v>
      </c>
      <c r="L17" s="118">
        <f t="shared" si="1"/>
        <v>4.0833333333333346E-2</v>
      </c>
      <c r="M17" s="119" t="e">
        <f t="shared" si="2"/>
        <v>#DIV/0!</v>
      </c>
      <c r="N17" s="120" t="e">
        <f t="shared" si="3"/>
        <v>#DIV/0!</v>
      </c>
      <c r="O17" s="121">
        <f t="shared" si="8"/>
        <v>2.0833333333333337E-4</v>
      </c>
      <c r="P17" s="122">
        <f t="shared" si="10"/>
        <v>0</v>
      </c>
      <c r="Q17" s="122" t="e">
        <f t="shared" si="11"/>
        <v>#DIV/0!</v>
      </c>
      <c r="R17" s="124" t="e">
        <f t="shared" si="12"/>
        <v>#DIV/0!</v>
      </c>
      <c r="S17" s="117" t="e">
        <f t="shared" si="13"/>
        <v>#DIV/0!</v>
      </c>
      <c r="U17" s="16" t="e">
        <f>0.3%*F17</f>
        <v>#DIV/0!</v>
      </c>
    </row>
    <row r="18" spans="1:21">
      <c r="A18" s="144"/>
      <c r="B18" s="145"/>
      <c r="C18" s="145"/>
      <c r="D18" s="145"/>
      <c r="E18" s="145"/>
      <c r="F18" s="125" t="e">
        <f>AVERAGE(B18:E18)</f>
        <v>#DIV/0!</v>
      </c>
      <c r="G18" s="116" t="e">
        <f t="shared" si="6"/>
        <v>#DIV/0!</v>
      </c>
      <c r="H18" s="117" t="e">
        <f>ABS(A18-AVERAGE(B18,D18))</f>
        <v>#DIV/0!</v>
      </c>
      <c r="I18" s="117" t="e">
        <f t="shared" si="14"/>
        <v>#DIV/0!</v>
      </c>
      <c r="J18" s="116" t="e">
        <f t="shared" si="0"/>
        <v>#DIV/0!</v>
      </c>
      <c r="K18" s="117" t="e">
        <f t="shared" si="7"/>
        <v>#DIV/0!</v>
      </c>
      <c r="L18" s="118">
        <f t="shared" ref="L18:L21" si="15">((0.05%*700)/SQRT(3))^2</f>
        <v>4.0833333333333346E-2</v>
      </c>
      <c r="M18" s="119" t="e">
        <f t="shared" ref="M18:M21" si="16">0.3%*F18</f>
        <v>#DIV/0!</v>
      </c>
      <c r="N18" s="120" t="e">
        <f t="shared" si="3"/>
        <v>#DIV/0!</v>
      </c>
      <c r="O18" s="121">
        <f t="shared" si="8"/>
        <v>2.0833333333333337E-4</v>
      </c>
      <c r="P18" s="122">
        <f>P17</f>
        <v>0</v>
      </c>
      <c r="Q18" s="117" t="e">
        <f t="shared" si="11"/>
        <v>#DIV/0!</v>
      </c>
      <c r="R18" s="124" t="e">
        <f t="shared" si="12"/>
        <v>#DIV/0!</v>
      </c>
      <c r="S18" s="117" t="e">
        <f t="shared" si="13"/>
        <v>#DIV/0!</v>
      </c>
    </row>
    <row r="19" spans="1:21">
      <c r="A19" s="144"/>
      <c r="B19" s="146"/>
      <c r="C19" s="146"/>
      <c r="D19" s="146"/>
      <c r="E19" s="146"/>
      <c r="F19" s="125" t="e">
        <f t="shared" si="5"/>
        <v>#DIV/0!</v>
      </c>
      <c r="G19" s="116" t="e">
        <f t="shared" si="6"/>
        <v>#DIV/0!</v>
      </c>
      <c r="H19" s="117" t="e">
        <f t="shared" si="9"/>
        <v>#DIV/0!</v>
      </c>
      <c r="I19" s="117" t="e">
        <f t="shared" ref="I19:I21" si="17">ABS(A19-AVERAGE(C19,E19))</f>
        <v>#DIV/0!</v>
      </c>
      <c r="J19" s="116" t="e">
        <f t="shared" si="0"/>
        <v>#DIV/0!</v>
      </c>
      <c r="K19" s="117" t="e">
        <f t="shared" si="7"/>
        <v>#DIV/0!</v>
      </c>
      <c r="L19" s="118">
        <f t="shared" si="15"/>
        <v>4.0833333333333346E-2</v>
      </c>
      <c r="M19" s="119" t="e">
        <f t="shared" si="16"/>
        <v>#DIV/0!</v>
      </c>
      <c r="N19" s="120" t="e">
        <f t="shared" si="3"/>
        <v>#DIV/0!</v>
      </c>
      <c r="O19" s="121">
        <f t="shared" si="8"/>
        <v>2.0833333333333337E-4</v>
      </c>
      <c r="P19" s="126">
        <f t="shared" si="10"/>
        <v>0</v>
      </c>
      <c r="Q19" s="117" t="e">
        <f t="shared" si="11"/>
        <v>#DIV/0!</v>
      </c>
      <c r="R19" s="124" t="e">
        <f t="shared" si="12"/>
        <v>#DIV/0!</v>
      </c>
      <c r="S19" s="123" t="e">
        <f t="shared" si="13"/>
        <v>#DIV/0!</v>
      </c>
    </row>
    <row r="20" spans="1:21">
      <c r="A20" s="144"/>
      <c r="B20" s="146"/>
      <c r="C20" s="146"/>
      <c r="D20" s="146"/>
      <c r="E20" s="146"/>
      <c r="F20" s="125" t="e">
        <f t="shared" si="5"/>
        <v>#DIV/0!</v>
      </c>
      <c r="G20" s="116" t="e">
        <f t="shared" si="6"/>
        <v>#DIV/0!</v>
      </c>
      <c r="H20" s="117" t="e">
        <f t="shared" si="9"/>
        <v>#DIV/0!</v>
      </c>
      <c r="I20" s="117" t="e">
        <f t="shared" si="17"/>
        <v>#DIV/0!</v>
      </c>
      <c r="J20" s="116" t="e">
        <f t="shared" si="0"/>
        <v>#DIV/0!</v>
      </c>
      <c r="K20" s="117" t="e">
        <f t="shared" si="7"/>
        <v>#DIV/0!</v>
      </c>
      <c r="L20" s="118">
        <f t="shared" si="15"/>
        <v>4.0833333333333346E-2</v>
      </c>
      <c r="M20" s="119" t="e">
        <f t="shared" si="16"/>
        <v>#DIV/0!</v>
      </c>
      <c r="N20" s="120" t="e">
        <f t="shared" si="3"/>
        <v>#DIV/0!</v>
      </c>
      <c r="O20" s="121">
        <f t="shared" si="8"/>
        <v>2.0833333333333337E-4</v>
      </c>
      <c r="P20" s="126">
        <f t="shared" si="10"/>
        <v>0</v>
      </c>
      <c r="Q20" s="117" t="e">
        <f t="shared" si="11"/>
        <v>#DIV/0!</v>
      </c>
      <c r="R20" s="124" t="e">
        <f t="shared" si="12"/>
        <v>#DIV/0!</v>
      </c>
      <c r="S20" s="123" t="e">
        <f t="shared" si="13"/>
        <v>#DIV/0!</v>
      </c>
    </row>
    <row r="21" spans="1:21">
      <c r="A21" s="147"/>
      <c r="B21" s="148"/>
      <c r="C21" s="148"/>
      <c r="D21" s="148"/>
      <c r="E21" s="148"/>
      <c r="F21" s="125" t="e">
        <f t="shared" si="5"/>
        <v>#DIV/0!</v>
      </c>
      <c r="G21" s="116" t="e">
        <f t="shared" si="6"/>
        <v>#DIV/0!</v>
      </c>
      <c r="H21" s="117" t="e">
        <f t="shared" si="9"/>
        <v>#DIV/0!</v>
      </c>
      <c r="I21" s="117" t="e">
        <f t="shared" si="17"/>
        <v>#DIV/0!</v>
      </c>
      <c r="J21" s="116" t="e">
        <f t="shared" si="0"/>
        <v>#DIV/0!</v>
      </c>
      <c r="K21" s="117" t="e">
        <f t="shared" si="7"/>
        <v>#DIV/0!</v>
      </c>
      <c r="L21" s="118">
        <f t="shared" si="15"/>
        <v>4.0833333333333346E-2</v>
      </c>
      <c r="M21" s="119" t="e">
        <f t="shared" si="16"/>
        <v>#DIV/0!</v>
      </c>
      <c r="N21" s="120" t="e">
        <f t="shared" si="3"/>
        <v>#DIV/0!</v>
      </c>
      <c r="O21" s="121">
        <f t="shared" si="8"/>
        <v>2.0833333333333337E-4</v>
      </c>
      <c r="P21" s="126">
        <f t="shared" si="10"/>
        <v>0</v>
      </c>
      <c r="Q21" s="117" t="e">
        <f t="shared" si="11"/>
        <v>#DIV/0!</v>
      </c>
      <c r="R21" s="124" t="e">
        <f t="shared" si="12"/>
        <v>#DIV/0!</v>
      </c>
      <c r="S21" s="123" t="e">
        <f t="shared" si="13"/>
        <v>#DIV/0!</v>
      </c>
    </row>
    <row r="22" spans="1:2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3"/>
      <c r="R22" s="54"/>
      <c r="S22" s="55"/>
    </row>
    <row r="23" spans="1:2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6" t="s">
        <v>16</v>
      </c>
      <c r="Q23" s="53"/>
      <c r="R23" s="54"/>
      <c r="S23" s="55"/>
    </row>
    <row r="24" spans="1:21">
      <c r="A24" s="14"/>
      <c r="B24" s="14"/>
      <c r="C24" s="14"/>
      <c r="D24" s="14"/>
      <c r="E24" s="14"/>
      <c r="F24" s="14"/>
      <c r="G24" s="29" t="s">
        <v>31</v>
      </c>
      <c r="H24" s="14"/>
      <c r="I24" s="14"/>
      <c r="J24" s="14"/>
      <c r="K24" s="14"/>
      <c r="L24" s="14"/>
      <c r="M24" s="14"/>
      <c r="N24" s="14"/>
      <c r="O24" s="14"/>
      <c r="P24" s="14"/>
      <c r="Q24" s="11"/>
      <c r="R24" s="17"/>
      <c r="S24" s="23"/>
    </row>
    <row r="25" spans="1:21" ht="18.75">
      <c r="A25" s="14"/>
      <c r="B25" s="14"/>
      <c r="C25" s="14"/>
      <c r="D25" s="14"/>
      <c r="E25" s="14"/>
      <c r="F25" s="14"/>
      <c r="G25" s="30" t="s">
        <v>31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 t="s">
        <v>32</v>
      </c>
      <c r="S25" s="23"/>
    </row>
  </sheetData>
  <mergeCells count="2">
    <mergeCell ref="B7:E7"/>
    <mergeCell ref="B8:E8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workbookViewId="0">
      <selection activeCell="C15" sqref="C15"/>
    </sheetView>
  </sheetViews>
  <sheetFormatPr defaultRowHeight="15"/>
  <cols>
    <col min="2" max="2" width="14" customWidth="1"/>
    <col min="3" max="3" width="17.5703125" customWidth="1"/>
    <col min="4" max="4" width="15.7109375" customWidth="1"/>
    <col min="5" max="5" width="28.7109375" customWidth="1"/>
    <col min="6" max="10" width="28.7109375" style="14" hidden="1" customWidth="1"/>
    <col min="11" max="11" width="23.85546875" customWidth="1"/>
  </cols>
  <sheetData>
    <row r="3" spans="2:11" ht="15.75" thickBot="1"/>
    <row r="4" spans="2:11" ht="15.75" thickBot="1">
      <c r="B4" s="97"/>
      <c r="F4" s="35" t="s">
        <v>11</v>
      </c>
      <c r="G4" s="57" t="s">
        <v>33</v>
      </c>
      <c r="H4" s="35" t="s">
        <v>12</v>
      </c>
      <c r="I4" s="111" t="s">
        <v>67</v>
      </c>
      <c r="J4" s="35" t="s">
        <v>68</v>
      </c>
    </row>
    <row r="5" spans="2:11">
      <c r="B5" s="101" t="s">
        <v>58</v>
      </c>
      <c r="C5" s="99" t="s">
        <v>60</v>
      </c>
      <c r="D5" s="97" t="s">
        <v>62</v>
      </c>
      <c r="E5" s="102" t="s">
        <v>64</v>
      </c>
      <c r="F5" s="37" t="s">
        <v>22</v>
      </c>
      <c r="G5" s="37" t="s">
        <v>56</v>
      </c>
      <c r="H5" s="37" t="s">
        <v>21</v>
      </c>
      <c r="I5" s="110"/>
      <c r="J5" s="57"/>
      <c r="K5" s="112" t="s">
        <v>65</v>
      </c>
    </row>
    <row r="6" spans="2:11" ht="15.75" thickBot="1">
      <c r="B6" s="98" t="s">
        <v>59</v>
      </c>
      <c r="C6" s="100" t="s">
        <v>61</v>
      </c>
      <c r="D6" s="98" t="s">
        <v>63</v>
      </c>
      <c r="E6" s="103" t="s">
        <v>59</v>
      </c>
      <c r="F6" s="38" t="s">
        <v>30</v>
      </c>
      <c r="G6" s="38" t="s">
        <v>30</v>
      </c>
      <c r="H6" s="38" t="s">
        <v>30</v>
      </c>
      <c r="I6" s="38" t="s">
        <v>30</v>
      </c>
      <c r="J6" s="38" t="s">
        <v>30</v>
      </c>
      <c r="K6" s="103" t="s">
        <v>66</v>
      </c>
    </row>
    <row r="7" spans="2:11" ht="16.5" thickTop="1" thickBot="1">
      <c r="B7" s="104">
        <v>5</v>
      </c>
      <c r="C7" s="104">
        <v>5</v>
      </c>
      <c r="D7" s="105">
        <v>4.99</v>
      </c>
      <c r="E7" s="105">
        <f>ABS(C7-D7)</f>
        <v>9.9999999999997868E-3</v>
      </c>
      <c r="F7" s="105">
        <f>((0.05%*700)/SQRT(3))^2</f>
        <v>4.0833333333333346E-2</v>
      </c>
      <c r="G7" s="105">
        <f>((0.3%*B7)/SQRT(3))^2</f>
        <v>7.5000000000000007E-5</v>
      </c>
      <c r="H7" s="105">
        <f>(0.05/(2*SQRT(3)))^2</f>
        <v>2.0833333333333337E-4</v>
      </c>
      <c r="I7" s="105">
        <f>(E7/(2*SQRT(3)))^2</f>
        <v>8.333333333332978E-6</v>
      </c>
      <c r="J7" s="105">
        <f>(((MAX(C11:D11))/(2*SQRT(3)))^2)</f>
        <v>0</v>
      </c>
      <c r="K7" s="114">
        <f>SQRT(SUM(F7:J7))*2</f>
        <v>0.40558599581346499</v>
      </c>
    </row>
    <row r="8" spans="2:11" ht="16.5" thickTop="1" thickBot="1">
      <c r="B8" s="106">
        <v>5</v>
      </c>
      <c r="C8" s="106">
        <v>5</v>
      </c>
      <c r="D8" s="107">
        <v>4.99</v>
      </c>
      <c r="E8" s="105">
        <f t="shared" ref="E8:E9" si="0">ABS(C8-D8)</f>
        <v>9.9999999999997868E-3</v>
      </c>
      <c r="F8" s="105">
        <f t="shared" ref="F8:F9" si="1">((0.05%*700)/SQRT(3))^2</f>
        <v>4.0833333333333346E-2</v>
      </c>
      <c r="G8" s="105">
        <f t="shared" ref="G8:G9" si="2">((0.3%*B8)/SQRT(3))^2</f>
        <v>7.5000000000000007E-5</v>
      </c>
      <c r="H8" s="105">
        <f t="shared" ref="H8:H9" si="3">(0.05/(2*SQRT(3)))^2</f>
        <v>2.0833333333333337E-4</v>
      </c>
      <c r="I8" s="105">
        <f t="shared" ref="I8:I9" si="4">(E8/(2*SQRT(3)))^2</f>
        <v>8.333333333332978E-6</v>
      </c>
      <c r="J8" s="105">
        <f t="shared" ref="J8:J9" si="5">(((MAX(C12:D12))/(2*SQRT(3)))^2)</f>
        <v>0</v>
      </c>
      <c r="K8" s="114">
        <f t="shared" ref="K8:K9" si="6">SQRT(SUM(F8:J8))*2</f>
        <v>0.40558599581346499</v>
      </c>
    </row>
    <row r="9" spans="2:11" ht="16.5" thickTop="1" thickBot="1">
      <c r="B9" s="108">
        <v>5</v>
      </c>
      <c r="C9" s="108">
        <v>5</v>
      </c>
      <c r="D9" s="109">
        <v>4.99</v>
      </c>
      <c r="E9" s="105">
        <f t="shared" si="0"/>
        <v>9.9999999999997868E-3</v>
      </c>
      <c r="F9" s="105">
        <f t="shared" si="1"/>
        <v>4.0833333333333346E-2</v>
      </c>
      <c r="G9" s="105">
        <f t="shared" si="2"/>
        <v>7.5000000000000007E-5</v>
      </c>
      <c r="H9" s="105">
        <f t="shared" si="3"/>
        <v>2.0833333333333337E-4</v>
      </c>
      <c r="I9" s="105">
        <f t="shared" si="4"/>
        <v>8.333333333332978E-6</v>
      </c>
      <c r="J9" s="105">
        <f t="shared" si="5"/>
        <v>0</v>
      </c>
      <c r="K9" s="114">
        <f t="shared" si="6"/>
        <v>0.40558599581346499</v>
      </c>
    </row>
    <row r="10" spans="2:11" ht="15.75" thickTop="1"/>
    <row r="11" spans="2:11" hidden="1">
      <c r="C11" s="113">
        <f>STDEV(C7:C9)</f>
        <v>0</v>
      </c>
      <c r="D11" s="113">
        <f>STDEV(D7:D9)</f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9"/>
  <sheetViews>
    <sheetView topLeftCell="C1" zoomScale="110" zoomScaleNormal="110" workbookViewId="0">
      <selection activeCell="G19" sqref="D5:G19"/>
    </sheetView>
  </sheetViews>
  <sheetFormatPr defaultRowHeight="15"/>
  <cols>
    <col min="4" max="4" width="21.42578125" customWidth="1"/>
    <col min="5" max="5" width="28.5703125" customWidth="1"/>
    <col min="6" max="6" width="18.28515625" customWidth="1"/>
    <col min="7" max="7" width="21" customWidth="1"/>
  </cols>
  <sheetData>
    <row r="5" spans="4:7">
      <c r="D5" s="76" t="s">
        <v>1</v>
      </c>
      <c r="E5" s="76" t="s">
        <v>44</v>
      </c>
      <c r="F5" s="77" t="s">
        <v>48</v>
      </c>
      <c r="G5" s="76" t="s">
        <v>46</v>
      </c>
    </row>
    <row r="6" spans="4:7">
      <c r="D6" s="76" t="s">
        <v>45</v>
      </c>
      <c r="E6" s="94" t="s">
        <v>45</v>
      </c>
      <c r="F6" s="78" t="s">
        <v>45</v>
      </c>
      <c r="G6" s="76" t="s">
        <v>47</v>
      </c>
    </row>
    <row r="7" spans="4:7">
      <c r="D7" s="91">
        <v>0.5</v>
      </c>
      <c r="E7" s="95">
        <v>20.6</v>
      </c>
      <c r="F7" s="79">
        <f>E7-D7</f>
        <v>20.100000000000001</v>
      </c>
      <c r="G7" s="81">
        <v>5.0999999999999996</v>
      </c>
    </row>
    <row r="8" spans="4:7">
      <c r="D8" s="92">
        <v>1</v>
      </c>
      <c r="E8" s="96">
        <v>27</v>
      </c>
      <c r="F8" s="79">
        <f>E8-D8</f>
        <v>26</v>
      </c>
      <c r="G8" s="81">
        <v>5.0999999999999996</v>
      </c>
    </row>
    <row r="9" spans="4:7">
      <c r="D9" s="92">
        <v>1.5</v>
      </c>
      <c r="E9" s="96">
        <v>33.9</v>
      </c>
      <c r="F9" s="79">
        <f t="shared" ref="F9:F19" si="0">E9-D9</f>
        <v>32.4</v>
      </c>
      <c r="G9" s="81">
        <v>5.0999999999999996</v>
      </c>
    </row>
    <row r="10" spans="4:7">
      <c r="D10" s="92">
        <v>2</v>
      </c>
      <c r="E10" s="96">
        <v>40.6</v>
      </c>
      <c r="F10" s="79">
        <f t="shared" si="0"/>
        <v>38.6</v>
      </c>
      <c r="G10" s="81">
        <v>5.0999999999999996</v>
      </c>
    </row>
    <row r="11" spans="4:7">
      <c r="D11" s="92">
        <v>2.5</v>
      </c>
      <c r="E11" s="96">
        <v>47.6</v>
      </c>
      <c r="F11" s="79">
        <f t="shared" si="0"/>
        <v>45.1</v>
      </c>
      <c r="G11" s="81">
        <v>5.0999999999999996</v>
      </c>
    </row>
    <row r="12" spans="4:7">
      <c r="D12" s="92">
        <v>3</v>
      </c>
      <c r="E12" s="96">
        <v>300.7</v>
      </c>
      <c r="F12" s="79">
        <f t="shared" si="0"/>
        <v>297.7</v>
      </c>
      <c r="G12" s="81">
        <v>5.0999999999999996</v>
      </c>
    </row>
    <row r="13" spans="4:7">
      <c r="D13" s="92">
        <v>3.5</v>
      </c>
      <c r="E13" s="96">
        <v>350.7</v>
      </c>
      <c r="F13" s="79">
        <f t="shared" si="0"/>
        <v>347.2</v>
      </c>
      <c r="G13" s="81">
        <v>5.0999999999999996</v>
      </c>
    </row>
    <row r="14" spans="4:7">
      <c r="D14" s="92">
        <v>4</v>
      </c>
      <c r="E14" s="96">
        <v>400.8</v>
      </c>
      <c r="F14" s="79">
        <f t="shared" si="0"/>
        <v>396.8</v>
      </c>
      <c r="G14" s="81">
        <v>5.0999999999999996</v>
      </c>
    </row>
    <row r="15" spans="4:7">
      <c r="D15" s="92">
        <v>4.5</v>
      </c>
      <c r="E15" s="96">
        <v>450.8</v>
      </c>
      <c r="F15" s="79">
        <f t="shared" si="0"/>
        <v>446.3</v>
      </c>
      <c r="G15" s="81">
        <v>5.0999999999999996</v>
      </c>
    </row>
    <row r="16" spans="4:7">
      <c r="D16" s="92">
        <v>5</v>
      </c>
      <c r="E16" s="96">
        <v>500.9</v>
      </c>
      <c r="F16" s="79">
        <f t="shared" si="0"/>
        <v>495.9</v>
      </c>
      <c r="G16" s="81">
        <v>5.0999999999999996</v>
      </c>
    </row>
    <row r="17" spans="4:7">
      <c r="D17" s="93">
        <v>5.5</v>
      </c>
      <c r="E17" s="80"/>
      <c r="F17" s="79">
        <f>E17-D17</f>
        <v>-5.5</v>
      </c>
      <c r="G17" s="81">
        <v>5.0999999999999996</v>
      </c>
    </row>
    <row r="18" spans="4:7">
      <c r="D18" s="93">
        <v>6</v>
      </c>
      <c r="E18" s="80"/>
      <c r="F18" s="79">
        <f t="shared" si="0"/>
        <v>-6</v>
      </c>
      <c r="G18" s="81">
        <v>5.0999999999999996</v>
      </c>
    </row>
    <row r="19" spans="4:7">
      <c r="D19" s="93">
        <v>6.5</v>
      </c>
      <c r="E19" s="80"/>
      <c r="F19" s="79">
        <f t="shared" si="0"/>
        <v>-6.5</v>
      </c>
      <c r="G19" s="81">
        <v>5.0999999999999996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A4" zoomScale="80" zoomScaleNormal="80" workbookViewId="0">
      <selection activeCell="E26" sqref="E26"/>
    </sheetView>
  </sheetViews>
  <sheetFormatPr defaultRowHeight="15"/>
  <cols>
    <col min="1" max="1" width="11.85546875" style="14" customWidth="1"/>
    <col min="2" max="2" width="25.28515625" customWidth="1"/>
    <col min="3" max="3" width="16.28515625" customWidth="1"/>
    <col min="4" max="4" width="15.7109375" customWidth="1"/>
    <col min="5" max="5" width="13.85546875" customWidth="1"/>
    <col min="6" max="6" width="13.5703125" customWidth="1"/>
    <col min="7" max="7" width="15.28515625" customWidth="1"/>
    <col min="8" max="8" width="15" customWidth="1"/>
    <col min="9" max="9" width="13.85546875" customWidth="1"/>
    <col min="10" max="10" width="12.140625" customWidth="1"/>
    <col min="11" max="11" width="15.7109375" customWidth="1"/>
    <col min="12" max="12" width="13.140625" customWidth="1"/>
    <col min="13" max="13" width="23.7109375" hidden="1" customWidth="1"/>
    <col min="14" max="14" width="24" hidden="1" customWidth="1"/>
    <col min="15" max="15" width="23.5703125" hidden="1" customWidth="1"/>
    <col min="16" max="16" width="27.85546875" hidden="1" customWidth="1"/>
    <col min="17" max="17" width="32" hidden="1" customWidth="1"/>
    <col min="18" max="18" width="18.42578125" hidden="1" customWidth="1"/>
    <col min="19" max="19" width="18.42578125" customWidth="1"/>
    <col min="20" max="20" width="18.42578125" style="14" customWidth="1"/>
    <col min="21" max="21" width="13.5703125" customWidth="1"/>
  </cols>
  <sheetData>
    <row r="1" spans="1:22" ht="42.75" hidden="1">
      <c r="B1" s="2" t="s">
        <v>13</v>
      </c>
      <c r="C1" s="7">
        <v>0.01</v>
      </c>
      <c r="D1" s="8" t="s">
        <v>4</v>
      </c>
      <c r="H1" s="3"/>
    </row>
    <row r="2" spans="1:22" ht="30.75" hidden="1" customHeight="1">
      <c r="B2" s="4" t="s">
        <v>18</v>
      </c>
      <c r="C2" s="7">
        <v>0</v>
      </c>
      <c r="D2" s="8" t="s">
        <v>4</v>
      </c>
    </row>
    <row r="3" spans="1:22" ht="31.5" hidden="1" customHeight="1">
      <c r="B3" s="4" t="s">
        <v>19</v>
      </c>
      <c r="C3" s="24" t="e">
        <f>#REF!</f>
        <v>#REF!</v>
      </c>
      <c r="D3" s="8" t="s">
        <v>4</v>
      </c>
      <c r="H3" s="3"/>
    </row>
    <row r="4" spans="1:22">
      <c r="B4" s="18"/>
      <c r="C4" s="19"/>
      <c r="D4" s="19"/>
      <c r="E4" s="19"/>
      <c r="F4" s="19"/>
      <c r="G4" s="19"/>
      <c r="H4" s="22"/>
      <c r="I4" s="20"/>
      <c r="J4" s="20"/>
      <c r="K4" s="21"/>
      <c r="L4" s="20"/>
      <c r="O4" s="11"/>
      <c r="P4" s="17"/>
      <c r="Q4" s="23"/>
      <c r="R4" s="11"/>
      <c r="S4" s="11"/>
      <c r="T4" s="11"/>
      <c r="U4" s="11"/>
      <c r="V4" s="11"/>
    </row>
    <row r="5" spans="1:22">
      <c r="B5" s="84" t="s">
        <v>50</v>
      </c>
      <c r="C5" s="85" t="s">
        <v>51</v>
      </c>
      <c r="D5" s="85" t="s">
        <v>79</v>
      </c>
      <c r="E5" s="19"/>
      <c r="F5" s="19"/>
      <c r="G5" s="19"/>
      <c r="H5" s="22"/>
      <c r="I5" s="20"/>
      <c r="J5" s="20"/>
      <c r="K5" s="21"/>
      <c r="L5" s="20"/>
      <c r="O5" s="11"/>
      <c r="P5" s="17"/>
      <c r="Q5" s="23"/>
      <c r="R5" s="11"/>
      <c r="S5" s="11"/>
      <c r="T5" s="11"/>
      <c r="U5" s="11"/>
      <c r="V5" s="11"/>
    </row>
    <row r="6" spans="1:22">
      <c r="B6" s="18"/>
      <c r="C6" s="85" t="s">
        <v>53</v>
      </c>
      <c r="D6" s="85" t="s">
        <v>80</v>
      </c>
      <c r="E6" s="19"/>
      <c r="F6" s="19"/>
      <c r="G6" s="19"/>
      <c r="H6" s="22"/>
      <c r="I6" s="20"/>
      <c r="J6" s="20"/>
      <c r="K6" s="21"/>
      <c r="L6" s="20"/>
      <c r="O6" s="11"/>
      <c r="P6" s="17"/>
      <c r="Q6" s="23"/>
      <c r="R6" s="11"/>
      <c r="S6" s="11"/>
      <c r="T6" s="11"/>
      <c r="U6" s="11"/>
      <c r="V6" s="11"/>
    </row>
    <row r="7" spans="1:22">
      <c r="E7" s="11"/>
      <c r="F7" s="11"/>
      <c r="G7" s="12"/>
      <c r="H7" s="13"/>
      <c r="I7" s="11"/>
    </row>
    <row r="8" spans="1:22" ht="18">
      <c r="B8" s="26"/>
      <c r="C8" s="26"/>
      <c r="D8" s="26"/>
      <c r="E8" s="27"/>
      <c r="F8" s="28"/>
      <c r="G8" s="27"/>
      <c r="H8" s="28"/>
      <c r="I8" s="27"/>
      <c r="J8" s="28"/>
      <c r="K8" s="27"/>
      <c r="L8" s="28"/>
      <c r="M8" s="27"/>
      <c r="N8" s="27"/>
      <c r="O8" s="28"/>
      <c r="P8" s="27"/>
      <c r="Q8" s="26"/>
      <c r="R8" s="26"/>
      <c r="S8" s="14"/>
    </row>
    <row r="9" spans="1:22">
      <c r="B9" s="32" t="s">
        <v>1</v>
      </c>
      <c r="C9" s="176" t="s">
        <v>1</v>
      </c>
      <c r="D9" s="177"/>
      <c r="E9" s="177"/>
      <c r="F9" s="178"/>
      <c r="G9" s="33" t="s">
        <v>0</v>
      </c>
      <c r="H9" s="33" t="s">
        <v>5</v>
      </c>
      <c r="I9" s="33" t="s">
        <v>35</v>
      </c>
      <c r="J9" s="33" t="s">
        <v>36</v>
      </c>
      <c r="K9" s="34" t="s">
        <v>7</v>
      </c>
      <c r="L9" s="33" t="s">
        <v>27</v>
      </c>
      <c r="M9" s="35" t="s">
        <v>11</v>
      </c>
      <c r="N9" s="35" t="s">
        <v>29</v>
      </c>
      <c r="O9" s="35" t="s">
        <v>12</v>
      </c>
      <c r="P9" s="35" t="s">
        <v>15</v>
      </c>
      <c r="Q9" s="35" t="s">
        <v>25</v>
      </c>
      <c r="R9" s="35" t="s">
        <v>17</v>
      </c>
      <c r="S9" s="190" t="s">
        <v>8</v>
      </c>
      <c r="T9" s="164" t="s">
        <v>8</v>
      </c>
    </row>
    <row r="10" spans="1:22" ht="25.5">
      <c r="B10" s="32" t="s">
        <v>3</v>
      </c>
      <c r="C10" s="176" t="s">
        <v>2</v>
      </c>
      <c r="D10" s="177"/>
      <c r="E10" s="177"/>
      <c r="F10" s="178"/>
      <c r="G10" s="33" t="s">
        <v>1</v>
      </c>
      <c r="H10" s="33" t="s">
        <v>6</v>
      </c>
      <c r="I10" s="36"/>
      <c r="J10" s="36"/>
      <c r="K10" s="33" t="s">
        <v>28</v>
      </c>
      <c r="L10" s="33"/>
      <c r="M10" s="37" t="s">
        <v>22</v>
      </c>
      <c r="N10" s="37"/>
      <c r="O10" s="37" t="s">
        <v>21</v>
      </c>
      <c r="P10" s="37" t="s">
        <v>14</v>
      </c>
      <c r="Q10" s="37" t="s">
        <v>26</v>
      </c>
      <c r="R10" s="37"/>
      <c r="S10" s="191" t="s">
        <v>9</v>
      </c>
      <c r="T10" s="65" t="s">
        <v>9</v>
      </c>
    </row>
    <row r="11" spans="1:22" ht="21" customHeight="1">
      <c r="B11" s="32" t="s">
        <v>37</v>
      </c>
      <c r="C11" s="32" t="s">
        <v>38</v>
      </c>
      <c r="D11" s="32" t="s">
        <v>39</v>
      </c>
      <c r="E11" s="32" t="s">
        <v>40</v>
      </c>
      <c r="F11" s="32" t="s">
        <v>41</v>
      </c>
      <c r="G11" s="32"/>
      <c r="H11" s="32"/>
      <c r="I11" s="32"/>
      <c r="J11" s="32"/>
      <c r="K11" s="32"/>
      <c r="L11" s="32"/>
      <c r="M11" s="175"/>
      <c r="N11" s="175"/>
      <c r="O11" s="175"/>
      <c r="P11" s="175"/>
      <c r="Q11" s="175"/>
      <c r="R11" s="175"/>
      <c r="S11" s="188"/>
      <c r="T11" s="164"/>
    </row>
    <row r="12" spans="1:22">
      <c r="B12" s="39" t="s">
        <v>4</v>
      </c>
      <c r="C12" s="40" t="s">
        <v>4</v>
      </c>
      <c r="D12" s="39" t="s">
        <v>4</v>
      </c>
      <c r="E12" s="39" t="s">
        <v>4</v>
      </c>
      <c r="F12" s="39" t="s">
        <v>4</v>
      </c>
      <c r="G12" s="32" t="s">
        <v>4</v>
      </c>
      <c r="H12" s="32" t="s">
        <v>4</v>
      </c>
      <c r="I12" s="32" t="s">
        <v>4</v>
      </c>
      <c r="J12" s="32" t="s">
        <v>4</v>
      </c>
      <c r="K12" s="32" t="s">
        <v>4</v>
      </c>
      <c r="L12" s="32" t="s">
        <v>4</v>
      </c>
      <c r="M12" s="88" t="s">
        <v>4</v>
      </c>
      <c r="N12" s="88" t="s">
        <v>4</v>
      </c>
      <c r="O12" s="88" t="s">
        <v>4</v>
      </c>
      <c r="P12" s="88" t="s">
        <v>4</v>
      </c>
      <c r="Q12" s="88" t="s">
        <v>4</v>
      </c>
      <c r="R12" s="88" t="s">
        <v>4</v>
      </c>
      <c r="S12" s="188" t="s">
        <v>4</v>
      </c>
      <c r="T12" s="164" t="s">
        <v>49</v>
      </c>
    </row>
    <row r="13" spans="1:22">
      <c r="A13" s="186"/>
      <c r="B13" s="187">
        <v>0.04</v>
      </c>
      <c r="C13" s="187">
        <v>0.04</v>
      </c>
      <c r="D13" s="187">
        <v>0.04</v>
      </c>
      <c r="E13" s="187">
        <v>0.04</v>
      </c>
      <c r="F13" s="187">
        <v>0.04</v>
      </c>
      <c r="G13" s="42">
        <f>AVERAGE(C13:F13)</f>
        <v>0.04</v>
      </c>
      <c r="H13" s="43">
        <f>B13-G13</f>
        <v>0</v>
      </c>
      <c r="I13" s="44">
        <f>ABS(B13-AVERAGE(C13,E13))</f>
        <v>0</v>
      </c>
      <c r="J13" s="44">
        <f>ABS(B13-AVERAGE(D13,F13))</f>
        <v>0</v>
      </c>
      <c r="K13" s="43">
        <f>ABS(I13-J13)</f>
        <v>0</v>
      </c>
      <c r="L13" s="44">
        <f>SUM(I13:J13)/2</f>
        <v>0</v>
      </c>
      <c r="M13" s="86">
        <f>((0.1%*G13)/(SQRT(3)))^2</f>
        <v>5.3333333333333356E-10</v>
      </c>
      <c r="N13" s="46">
        <f t="shared" ref="N13:N23" si="0">(0/(2*SQRT(3)))^2</f>
        <v>0</v>
      </c>
      <c r="O13" s="46">
        <f>(0.001/(2*SQRT(3)))^2</f>
        <v>8.3333333333333338E-8</v>
      </c>
      <c r="P13" s="47">
        <f>(0/(2*SQRT(3)))^2</f>
        <v>0</v>
      </c>
      <c r="Q13" s="48">
        <f>((MAX(I13:J13)/(2*SQRT(3)))^2)</f>
        <v>0</v>
      </c>
      <c r="R13" s="49">
        <f>(K13/(2*SQRT(3)))^2</f>
        <v>0</v>
      </c>
      <c r="S13" s="141">
        <f>(SQRT(SUM(M13,N13,O13,P13,Q13,R13)))*2</f>
        <v>5.7919484343929258E-4</v>
      </c>
      <c r="T13" s="58">
        <f>S13*1000</f>
        <v>0.57919484343929262</v>
      </c>
      <c r="U13" s="89"/>
    </row>
    <row r="14" spans="1:22">
      <c r="A14" s="186"/>
      <c r="B14" s="187">
        <v>0.08</v>
      </c>
      <c r="C14" s="187">
        <v>7.0000000000000007E-2</v>
      </c>
      <c r="D14" s="187">
        <v>7.0000000000000007E-2</v>
      </c>
      <c r="E14" s="187">
        <v>7.0000000000000007E-2</v>
      </c>
      <c r="F14" s="187">
        <v>7.0000000000000007E-2</v>
      </c>
      <c r="G14" s="42">
        <f t="shared" ref="G14:G23" si="1">AVERAGE(C14:F14)</f>
        <v>7.0000000000000007E-2</v>
      </c>
      <c r="H14" s="43">
        <f t="shared" ref="H14:H23" si="2">B14-G14</f>
        <v>9.999999999999995E-3</v>
      </c>
      <c r="I14" s="44">
        <f t="shared" ref="I14:I23" si="3">ABS(B14-AVERAGE(C14,E14))</f>
        <v>9.999999999999995E-3</v>
      </c>
      <c r="J14" s="44">
        <f t="shared" ref="J14:J23" si="4">ABS(B14-AVERAGE(D14,F14))</f>
        <v>9.999999999999995E-3</v>
      </c>
      <c r="K14" s="43">
        <f t="shared" ref="K14:K23" si="5">ABS(I14-J14)</f>
        <v>0</v>
      </c>
      <c r="L14" s="44">
        <f>SUM(I14:J14)/2</f>
        <v>9.999999999999995E-3</v>
      </c>
      <c r="M14" s="86">
        <f t="shared" ref="M14:M23" si="6">((0.1%*G14)/(SQRT(3)))^2</f>
        <v>1.6333333333333337E-9</v>
      </c>
      <c r="N14" s="46">
        <f t="shared" si="0"/>
        <v>0</v>
      </c>
      <c r="O14" s="46">
        <f t="shared" ref="O14:O23" si="7">(0.001/(2*SQRT(3)))^2</f>
        <v>8.3333333333333338E-8</v>
      </c>
      <c r="P14" s="47">
        <f>P13</f>
        <v>0</v>
      </c>
      <c r="Q14" s="48">
        <f>((MAX(I14:J14)/(2*SQRT(3)))^2)</f>
        <v>8.333333333333327E-6</v>
      </c>
      <c r="R14" s="49">
        <f t="shared" ref="R14:R23" si="8">(K14/(2*SQRT(3)))^2</f>
        <v>0</v>
      </c>
      <c r="S14" s="141">
        <f>(SQRT(SUM(M14,N14,O14,P14,Q14,R14)))*2</f>
        <v>5.8028613631552475E-3</v>
      </c>
      <c r="T14" s="58">
        <f t="shared" ref="T14:T23" si="9">S14*1000</f>
        <v>5.8028613631552473</v>
      </c>
      <c r="U14" s="89"/>
    </row>
    <row r="15" spans="1:22">
      <c r="A15" s="186"/>
      <c r="B15" s="187">
        <v>0.12</v>
      </c>
      <c r="C15" s="187">
        <v>0.12</v>
      </c>
      <c r="D15" s="187">
        <v>0.12</v>
      </c>
      <c r="E15" s="187">
        <v>0.13</v>
      </c>
      <c r="F15" s="187">
        <v>0.13</v>
      </c>
      <c r="G15" s="42">
        <f t="shared" si="1"/>
        <v>0.125</v>
      </c>
      <c r="H15" s="43">
        <f>B15-G15</f>
        <v>-5.0000000000000044E-3</v>
      </c>
      <c r="I15" s="44">
        <f>ABS(B15-AVERAGE(C15,E15))</f>
        <v>5.0000000000000044E-3</v>
      </c>
      <c r="J15" s="44">
        <f>ABS(B15-AVERAGE(D15,F15))</f>
        <v>5.0000000000000044E-3</v>
      </c>
      <c r="K15" s="43">
        <f>ABS(I15-J15)</f>
        <v>0</v>
      </c>
      <c r="L15" s="44">
        <f>SUM(I15:J15)/2</f>
        <v>5.0000000000000044E-3</v>
      </c>
      <c r="M15" s="86">
        <f t="shared" si="6"/>
        <v>5.2083333333333336E-9</v>
      </c>
      <c r="N15" s="46">
        <f t="shared" si="0"/>
        <v>0</v>
      </c>
      <c r="O15" s="46">
        <f t="shared" si="7"/>
        <v>8.3333333333333338E-8</v>
      </c>
      <c r="P15" s="47">
        <f t="shared" ref="P15:P23" si="10">P14</f>
        <v>0</v>
      </c>
      <c r="Q15" s="48">
        <f t="shared" ref="Q15:Q23" si="11">((MAX(I15:J15)/(2*SQRT(3)))^2)</f>
        <v>2.0833333333333372E-6</v>
      </c>
      <c r="R15" s="49">
        <f t="shared" si="8"/>
        <v>0</v>
      </c>
      <c r="S15" s="141">
        <f>(SQRT(SUM(M15,N15,O15,P15,Q15,R15)))*2</f>
        <v>2.9474565306379019E-3</v>
      </c>
      <c r="T15" s="58">
        <f t="shared" si="9"/>
        <v>2.9474565306379019</v>
      </c>
      <c r="U15" s="89"/>
    </row>
    <row r="16" spans="1:22">
      <c r="A16" s="186"/>
      <c r="B16" s="187">
        <v>1</v>
      </c>
      <c r="C16" s="187"/>
      <c r="D16" s="187"/>
      <c r="E16" s="187"/>
      <c r="F16" s="187"/>
      <c r="G16" s="42" t="e">
        <f t="shared" si="1"/>
        <v>#DIV/0!</v>
      </c>
      <c r="H16" s="43" t="e">
        <f t="shared" si="2"/>
        <v>#DIV/0!</v>
      </c>
      <c r="I16" s="44" t="e">
        <f>ABS(B16-AVERAGE(C16,E16))</f>
        <v>#DIV/0!</v>
      </c>
      <c r="J16" s="44" t="e">
        <f>ABS(B16-AVERAGE(D16,F16))</f>
        <v>#DIV/0!</v>
      </c>
      <c r="K16" s="43" t="e">
        <f t="shared" si="5"/>
        <v>#DIV/0!</v>
      </c>
      <c r="L16" s="44" t="e">
        <f t="shared" ref="L16:L23" si="12">SUM(I16:J16)/2</f>
        <v>#DIV/0!</v>
      </c>
      <c r="M16" s="86" t="e">
        <f t="shared" si="6"/>
        <v>#DIV/0!</v>
      </c>
      <c r="N16" s="46">
        <f>(0/(2*SQRT(3)))^2</f>
        <v>0</v>
      </c>
      <c r="O16" s="46">
        <f t="shared" si="7"/>
        <v>8.3333333333333338E-8</v>
      </c>
      <c r="P16" s="47">
        <f t="shared" si="10"/>
        <v>0</v>
      </c>
      <c r="Q16" s="48" t="e">
        <f t="shared" si="11"/>
        <v>#DIV/0!</v>
      </c>
      <c r="R16" s="49" t="e">
        <f t="shared" si="8"/>
        <v>#DIV/0!</v>
      </c>
      <c r="S16" s="141" t="e">
        <f>(SQRT(SUM(M16,N16,O16,P16,Q16,R16)))*2</f>
        <v>#DIV/0!</v>
      </c>
      <c r="T16" s="58" t="e">
        <f t="shared" si="9"/>
        <v>#DIV/0!</v>
      </c>
      <c r="U16" s="89"/>
    </row>
    <row r="17" spans="1:21">
      <c r="A17" s="186"/>
      <c r="B17" s="142"/>
      <c r="C17" s="142"/>
      <c r="D17" s="142"/>
      <c r="E17" s="142"/>
      <c r="F17" s="142"/>
      <c r="G17" s="42" t="e">
        <f t="shared" si="1"/>
        <v>#DIV/0!</v>
      </c>
      <c r="H17" s="43" t="e">
        <f t="shared" si="2"/>
        <v>#DIV/0!</v>
      </c>
      <c r="I17" s="44" t="e">
        <f t="shared" si="3"/>
        <v>#DIV/0!</v>
      </c>
      <c r="J17" s="44" t="e">
        <f t="shared" si="4"/>
        <v>#DIV/0!</v>
      </c>
      <c r="K17" s="43" t="e">
        <f t="shared" si="5"/>
        <v>#DIV/0!</v>
      </c>
      <c r="L17" s="44" t="e">
        <f t="shared" si="12"/>
        <v>#DIV/0!</v>
      </c>
      <c r="M17" s="86" t="e">
        <f t="shared" si="6"/>
        <v>#DIV/0!</v>
      </c>
      <c r="N17" s="46">
        <f t="shared" si="0"/>
        <v>0</v>
      </c>
      <c r="O17" s="46">
        <f t="shared" si="7"/>
        <v>8.3333333333333338E-8</v>
      </c>
      <c r="P17" s="47">
        <f t="shared" si="10"/>
        <v>0</v>
      </c>
      <c r="Q17" s="48" t="e">
        <f t="shared" si="11"/>
        <v>#DIV/0!</v>
      </c>
      <c r="R17" s="49" t="e">
        <f t="shared" si="8"/>
        <v>#DIV/0!</v>
      </c>
      <c r="S17" s="141" t="e">
        <f>(SQRT(SUM(M17,N17,O17,P17,Q17,R17)))*2</f>
        <v>#DIV/0!</v>
      </c>
      <c r="T17" s="58" t="e">
        <f t="shared" si="9"/>
        <v>#DIV/0!</v>
      </c>
      <c r="U17" s="89"/>
    </row>
    <row r="18" spans="1:21">
      <c r="A18" s="186"/>
      <c r="B18" s="142"/>
      <c r="C18" s="142"/>
      <c r="D18" s="142"/>
      <c r="E18" s="142"/>
      <c r="F18" s="142"/>
      <c r="G18" s="42" t="e">
        <f t="shared" si="1"/>
        <v>#DIV/0!</v>
      </c>
      <c r="H18" s="43" t="e">
        <f t="shared" si="2"/>
        <v>#DIV/0!</v>
      </c>
      <c r="I18" s="44" t="e">
        <f t="shared" si="3"/>
        <v>#DIV/0!</v>
      </c>
      <c r="J18" s="44" t="e">
        <f t="shared" si="4"/>
        <v>#DIV/0!</v>
      </c>
      <c r="K18" s="43" t="e">
        <f t="shared" si="5"/>
        <v>#DIV/0!</v>
      </c>
      <c r="L18" s="44" t="e">
        <f t="shared" si="12"/>
        <v>#DIV/0!</v>
      </c>
      <c r="M18" s="86" t="e">
        <f t="shared" si="6"/>
        <v>#DIV/0!</v>
      </c>
      <c r="N18" s="46">
        <f t="shared" si="0"/>
        <v>0</v>
      </c>
      <c r="O18" s="46">
        <f t="shared" si="7"/>
        <v>8.3333333333333338E-8</v>
      </c>
      <c r="P18" s="47">
        <f t="shared" si="10"/>
        <v>0</v>
      </c>
      <c r="Q18" s="48" t="e">
        <f t="shared" si="11"/>
        <v>#DIV/0!</v>
      </c>
      <c r="R18" s="49" t="e">
        <f t="shared" si="8"/>
        <v>#DIV/0!</v>
      </c>
      <c r="S18" s="141" t="e">
        <f t="shared" ref="S18:S23" si="13">(SQRT(SUM(M18,O18,P18,Q18,R18)))*2</f>
        <v>#DIV/0!</v>
      </c>
      <c r="T18" s="58" t="e">
        <f t="shared" si="9"/>
        <v>#DIV/0!</v>
      </c>
      <c r="U18" s="89"/>
    </row>
    <row r="19" spans="1:21">
      <c r="A19" s="186"/>
      <c r="B19" s="142"/>
      <c r="C19" s="142"/>
      <c r="D19" s="142"/>
      <c r="E19" s="142"/>
      <c r="F19" s="142"/>
      <c r="G19" s="42" t="e">
        <f t="shared" si="1"/>
        <v>#DIV/0!</v>
      </c>
      <c r="H19" s="43" t="e">
        <f t="shared" si="2"/>
        <v>#DIV/0!</v>
      </c>
      <c r="I19" s="44" t="e">
        <f t="shared" si="3"/>
        <v>#DIV/0!</v>
      </c>
      <c r="J19" s="44" t="e">
        <f t="shared" si="4"/>
        <v>#DIV/0!</v>
      </c>
      <c r="K19" s="43" t="e">
        <f t="shared" si="5"/>
        <v>#DIV/0!</v>
      </c>
      <c r="L19" s="44" t="e">
        <f t="shared" si="12"/>
        <v>#DIV/0!</v>
      </c>
      <c r="M19" s="86" t="e">
        <f t="shared" si="6"/>
        <v>#DIV/0!</v>
      </c>
      <c r="N19" s="46">
        <f t="shared" si="0"/>
        <v>0</v>
      </c>
      <c r="O19" s="46">
        <f t="shared" si="7"/>
        <v>8.3333333333333338E-8</v>
      </c>
      <c r="P19" s="47">
        <f t="shared" si="10"/>
        <v>0</v>
      </c>
      <c r="Q19" s="48" t="e">
        <f t="shared" si="11"/>
        <v>#DIV/0!</v>
      </c>
      <c r="R19" s="49" t="e">
        <f t="shared" si="8"/>
        <v>#DIV/0!</v>
      </c>
      <c r="S19" s="141" t="e">
        <f t="shared" si="13"/>
        <v>#DIV/0!</v>
      </c>
      <c r="T19" s="58" t="e">
        <f t="shared" si="9"/>
        <v>#DIV/0!</v>
      </c>
      <c r="U19" s="89"/>
    </row>
    <row r="20" spans="1:21">
      <c r="A20" s="186"/>
      <c r="B20" s="142"/>
      <c r="C20" s="142"/>
      <c r="D20" s="142"/>
      <c r="E20" s="142"/>
      <c r="F20" s="142"/>
      <c r="G20" s="50" t="e">
        <f t="shared" si="1"/>
        <v>#DIV/0!</v>
      </c>
      <c r="H20" s="43" t="e">
        <f t="shared" si="2"/>
        <v>#DIV/0!</v>
      </c>
      <c r="I20" s="44" t="e">
        <f t="shared" si="3"/>
        <v>#DIV/0!</v>
      </c>
      <c r="J20" s="44" t="e">
        <f t="shared" si="4"/>
        <v>#DIV/0!</v>
      </c>
      <c r="K20" s="43" t="e">
        <f t="shared" si="5"/>
        <v>#DIV/0!</v>
      </c>
      <c r="L20" s="44" t="e">
        <f t="shared" si="12"/>
        <v>#DIV/0!</v>
      </c>
      <c r="M20" s="86" t="e">
        <f t="shared" si="6"/>
        <v>#DIV/0!</v>
      </c>
      <c r="N20" s="46">
        <f t="shared" si="0"/>
        <v>0</v>
      </c>
      <c r="O20" s="46">
        <f t="shared" si="7"/>
        <v>8.3333333333333338E-8</v>
      </c>
      <c r="P20" s="47">
        <f t="shared" si="10"/>
        <v>0</v>
      </c>
      <c r="Q20" s="48" t="e">
        <f t="shared" si="11"/>
        <v>#DIV/0!</v>
      </c>
      <c r="R20" s="49" t="e">
        <f t="shared" si="8"/>
        <v>#DIV/0!</v>
      </c>
      <c r="S20" s="141" t="e">
        <f t="shared" si="13"/>
        <v>#DIV/0!</v>
      </c>
      <c r="T20" s="58" t="e">
        <f t="shared" si="9"/>
        <v>#DIV/0!</v>
      </c>
      <c r="U20" s="89"/>
    </row>
    <row r="21" spans="1:21">
      <c r="A21" s="186"/>
      <c r="B21" s="143"/>
      <c r="C21" s="143"/>
      <c r="D21" s="143"/>
      <c r="E21" s="143"/>
      <c r="F21" s="143"/>
      <c r="G21" s="50" t="e">
        <f t="shared" si="1"/>
        <v>#DIV/0!</v>
      </c>
      <c r="H21" s="43" t="e">
        <f t="shared" si="2"/>
        <v>#DIV/0!</v>
      </c>
      <c r="I21" s="44" t="e">
        <f t="shared" si="3"/>
        <v>#DIV/0!</v>
      </c>
      <c r="J21" s="44" t="e">
        <f t="shared" si="4"/>
        <v>#DIV/0!</v>
      </c>
      <c r="K21" s="43" t="e">
        <f t="shared" si="5"/>
        <v>#DIV/0!</v>
      </c>
      <c r="L21" s="44" t="e">
        <f t="shared" si="12"/>
        <v>#DIV/0!</v>
      </c>
      <c r="M21" s="86" t="e">
        <f t="shared" si="6"/>
        <v>#DIV/0!</v>
      </c>
      <c r="N21" s="46">
        <f t="shared" si="0"/>
        <v>0</v>
      </c>
      <c r="O21" s="46">
        <f t="shared" si="7"/>
        <v>8.3333333333333338E-8</v>
      </c>
      <c r="P21" s="47">
        <f t="shared" si="10"/>
        <v>0</v>
      </c>
      <c r="Q21" s="48" t="e">
        <f t="shared" si="11"/>
        <v>#DIV/0!</v>
      </c>
      <c r="R21" s="49" t="e">
        <f t="shared" si="8"/>
        <v>#DIV/0!</v>
      </c>
      <c r="S21" s="44" t="e">
        <f t="shared" si="13"/>
        <v>#DIV/0!</v>
      </c>
      <c r="T21" s="58" t="e">
        <f t="shared" si="9"/>
        <v>#DIV/0!</v>
      </c>
      <c r="U21" s="89"/>
    </row>
    <row r="22" spans="1:21">
      <c r="A22" s="186"/>
      <c r="B22" s="143"/>
      <c r="C22" s="143"/>
      <c r="D22" s="143"/>
      <c r="E22" s="143"/>
      <c r="F22" s="143"/>
      <c r="G22" s="50" t="e">
        <f t="shared" si="1"/>
        <v>#DIV/0!</v>
      </c>
      <c r="H22" s="43" t="e">
        <f t="shared" si="2"/>
        <v>#DIV/0!</v>
      </c>
      <c r="I22" s="44" t="e">
        <f t="shared" si="3"/>
        <v>#DIV/0!</v>
      </c>
      <c r="J22" s="44" t="e">
        <f t="shared" si="4"/>
        <v>#DIV/0!</v>
      </c>
      <c r="K22" s="43" t="e">
        <f t="shared" si="5"/>
        <v>#DIV/0!</v>
      </c>
      <c r="L22" s="44" t="e">
        <f t="shared" si="12"/>
        <v>#DIV/0!</v>
      </c>
      <c r="M22" s="86" t="e">
        <f t="shared" si="6"/>
        <v>#DIV/0!</v>
      </c>
      <c r="N22" s="46">
        <f t="shared" si="0"/>
        <v>0</v>
      </c>
      <c r="O22" s="46">
        <f t="shared" si="7"/>
        <v>8.3333333333333338E-8</v>
      </c>
      <c r="P22" s="47">
        <f t="shared" si="10"/>
        <v>0</v>
      </c>
      <c r="Q22" s="48" t="e">
        <f t="shared" si="11"/>
        <v>#DIV/0!</v>
      </c>
      <c r="R22" s="49" t="e">
        <f t="shared" si="8"/>
        <v>#DIV/0!</v>
      </c>
      <c r="S22" s="44" t="e">
        <f t="shared" si="13"/>
        <v>#DIV/0!</v>
      </c>
      <c r="T22" s="58" t="e">
        <f t="shared" si="9"/>
        <v>#DIV/0!</v>
      </c>
      <c r="U22" s="89"/>
    </row>
    <row r="23" spans="1:21">
      <c r="A23" s="186"/>
      <c r="B23" s="41"/>
      <c r="C23" s="74"/>
      <c r="D23" s="74"/>
      <c r="E23" s="74"/>
      <c r="F23" s="74"/>
      <c r="G23" s="50" t="e">
        <f t="shared" si="1"/>
        <v>#DIV/0!</v>
      </c>
      <c r="H23" s="43" t="e">
        <f t="shared" si="2"/>
        <v>#DIV/0!</v>
      </c>
      <c r="I23" s="44" t="e">
        <f t="shared" si="3"/>
        <v>#DIV/0!</v>
      </c>
      <c r="J23" s="44" t="e">
        <f t="shared" si="4"/>
        <v>#DIV/0!</v>
      </c>
      <c r="K23" s="43" t="e">
        <f t="shared" si="5"/>
        <v>#DIV/0!</v>
      </c>
      <c r="L23" s="44" t="e">
        <f t="shared" si="12"/>
        <v>#DIV/0!</v>
      </c>
      <c r="M23" s="86" t="e">
        <f t="shared" si="6"/>
        <v>#DIV/0!</v>
      </c>
      <c r="N23" s="46">
        <f t="shared" si="0"/>
        <v>0</v>
      </c>
      <c r="O23" s="46">
        <f t="shared" si="7"/>
        <v>8.3333333333333338E-8</v>
      </c>
      <c r="P23" s="47">
        <f t="shared" si="10"/>
        <v>0</v>
      </c>
      <c r="Q23" s="48" t="e">
        <f t="shared" si="11"/>
        <v>#DIV/0!</v>
      </c>
      <c r="R23" s="49" t="e">
        <f t="shared" si="8"/>
        <v>#DIV/0!</v>
      </c>
      <c r="S23" s="45" t="e">
        <f t="shared" si="13"/>
        <v>#DIV/0!</v>
      </c>
      <c r="T23" s="58" t="e">
        <f t="shared" si="9"/>
        <v>#DIV/0!</v>
      </c>
    </row>
    <row r="24" spans="1:21" s="14" customFormat="1">
      <c r="B24" s="139"/>
      <c r="C24" s="140"/>
      <c r="D24" s="140"/>
      <c r="E24" s="140"/>
      <c r="F24" s="140"/>
      <c r="G24" s="132"/>
      <c r="H24" s="133"/>
      <c r="I24" s="132"/>
      <c r="J24" s="132"/>
      <c r="K24" s="133"/>
      <c r="L24" s="132"/>
      <c r="M24" s="134"/>
      <c r="N24" s="135"/>
      <c r="O24" s="135"/>
      <c r="P24" s="136"/>
      <c r="Q24" s="137"/>
      <c r="R24" s="138"/>
      <c r="S24" s="134"/>
      <c r="T24" s="134"/>
    </row>
    <row r="25" spans="1:21" s="14" customFormat="1">
      <c r="B25" s="139"/>
      <c r="C25" s="140"/>
      <c r="D25" s="140"/>
      <c r="E25" s="140"/>
      <c r="F25" s="140"/>
      <c r="G25" s="132"/>
      <c r="H25" s="133"/>
      <c r="I25" s="132"/>
      <c r="J25" s="132"/>
      <c r="K25" s="133"/>
      <c r="L25" s="132"/>
      <c r="M25" s="134"/>
      <c r="N25" s="135"/>
      <c r="O25" s="135"/>
      <c r="P25" s="136"/>
      <c r="Q25" s="137"/>
      <c r="R25" s="138"/>
      <c r="S25" s="134"/>
      <c r="T25" s="134"/>
    </row>
    <row r="26" spans="1:21" ht="15.75" thickBot="1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3"/>
      <c r="R26" s="54"/>
      <c r="S26" s="55"/>
      <c r="T26" s="55"/>
    </row>
    <row r="27" spans="1:21" ht="15.75" thickBot="1">
      <c r="B27" s="130" t="s">
        <v>78</v>
      </c>
      <c r="C27" s="131">
        <v>600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6" t="s">
        <v>16</v>
      </c>
      <c r="Q27" s="53"/>
      <c r="R27" s="54"/>
      <c r="S27" s="55"/>
      <c r="T27" s="55"/>
    </row>
    <row r="28" spans="1:21" ht="15.75" thickBot="1">
      <c r="B28" s="14"/>
      <c r="C28" s="14"/>
      <c r="D28" s="14"/>
      <c r="E28" s="14"/>
      <c r="F28" s="14"/>
      <c r="G28" s="14"/>
      <c r="H28" s="29" t="s">
        <v>31</v>
      </c>
      <c r="I28" s="14"/>
      <c r="J28" s="14"/>
      <c r="K28" s="14"/>
      <c r="L28" s="14"/>
      <c r="M28" s="14"/>
      <c r="N28" s="14"/>
      <c r="O28" s="14"/>
      <c r="P28" s="14"/>
      <c r="Q28" s="11"/>
      <c r="R28" s="17"/>
      <c r="S28" s="23"/>
      <c r="T28" s="23"/>
    </row>
    <row r="29" spans="1:21" ht="31.5" customHeight="1" thickTop="1" thickBot="1">
      <c r="B29" s="179" t="s">
        <v>69</v>
      </c>
      <c r="C29" s="127" t="s">
        <v>1</v>
      </c>
      <c r="D29" s="181" t="s">
        <v>70</v>
      </c>
      <c r="E29" s="182"/>
      <c r="F29" s="181" t="s">
        <v>71</v>
      </c>
      <c r="G29" s="182"/>
      <c r="H29" s="128" t="s">
        <v>72</v>
      </c>
      <c r="I29" s="128" t="s">
        <v>74</v>
      </c>
      <c r="J29" s="14"/>
      <c r="K29" s="14"/>
      <c r="L29" s="14"/>
      <c r="M29" s="14"/>
      <c r="N29" s="14"/>
      <c r="O29" s="14"/>
      <c r="P29" s="14"/>
      <c r="Q29" s="14"/>
      <c r="R29" s="14" t="s">
        <v>24</v>
      </c>
      <c r="S29" s="23"/>
      <c r="T29" s="23"/>
    </row>
    <row r="30" spans="1:21" ht="24" customHeight="1" thickTop="1" thickBot="1">
      <c r="B30" s="180"/>
      <c r="C30" s="151" t="s">
        <v>2</v>
      </c>
      <c r="D30" s="151" t="s">
        <v>76</v>
      </c>
      <c r="E30" s="151" t="s">
        <v>77</v>
      </c>
      <c r="F30" s="151" t="s">
        <v>76</v>
      </c>
      <c r="G30" s="151" t="s">
        <v>77</v>
      </c>
      <c r="H30" s="152" t="s">
        <v>73</v>
      </c>
      <c r="I30" s="152" t="s">
        <v>75</v>
      </c>
      <c r="J30" s="14"/>
      <c r="K30" s="14"/>
      <c r="L30" s="14"/>
      <c r="M30" s="14"/>
      <c r="N30" s="14"/>
      <c r="O30" s="14"/>
      <c r="P30" s="14"/>
      <c r="Q30" s="11"/>
      <c r="R30" s="17"/>
      <c r="S30" s="23"/>
      <c r="T30" s="23"/>
    </row>
    <row r="31" spans="1:21" ht="16.5" thickTop="1" thickBot="1">
      <c r="C31" s="153">
        <v>0</v>
      </c>
      <c r="D31" s="154">
        <v>0</v>
      </c>
      <c r="E31" s="154">
        <v>0</v>
      </c>
      <c r="F31" s="154">
        <v>0</v>
      </c>
      <c r="G31" s="154">
        <v>0</v>
      </c>
      <c r="H31" s="155">
        <f>((AVERAGE(D31:G31)-C31)*100)/C27</f>
        <v>0</v>
      </c>
      <c r="I31" s="156">
        <f>0.25</f>
        <v>0.25</v>
      </c>
    </row>
    <row r="32" spans="1:21" ht="15.75" thickBot="1">
      <c r="C32" s="157">
        <v>100</v>
      </c>
      <c r="D32" s="107">
        <v>103.7</v>
      </c>
      <c r="E32" s="107">
        <v>102.9</v>
      </c>
      <c r="F32" s="107">
        <v>103.7</v>
      </c>
      <c r="G32" s="107">
        <v>102.9</v>
      </c>
      <c r="H32" s="129">
        <f>((AVERAGE(D32:G32)-C32)*100)/C27</f>
        <v>0.55000000000000193</v>
      </c>
      <c r="I32" s="158">
        <f t="shared" ref="I32:I37" si="14">0.25</f>
        <v>0.25</v>
      </c>
    </row>
    <row r="33" spans="2:9" s="14" customFormat="1" ht="15.75" thickBot="1">
      <c r="C33" s="157">
        <v>200</v>
      </c>
      <c r="D33" s="107">
        <v>204.4</v>
      </c>
      <c r="E33" s="107">
        <v>201.7</v>
      </c>
      <c r="F33" s="107">
        <v>204.4</v>
      </c>
      <c r="G33" s="107">
        <v>201.7</v>
      </c>
      <c r="H33" s="129">
        <f>((AVERAGE(D33:G33)-C33)*100)/C27</f>
        <v>0.50833333333333519</v>
      </c>
      <c r="I33" s="158">
        <f t="shared" si="14"/>
        <v>0.25</v>
      </c>
    </row>
    <row r="34" spans="2:9" ht="15.75" thickBot="1">
      <c r="C34" s="157">
        <v>300</v>
      </c>
      <c r="D34" s="107">
        <v>304.39999999999998</v>
      </c>
      <c r="E34" s="107">
        <v>300.89999999999998</v>
      </c>
      <c r="F34" s="107">
        <v>304.39999999999998</v>
      </c>
      <c r="G34" s="107">
        <v>300.89999999999998</v>
      </c>
      <c r="H34" s="129">
        <f>((AVERAGE(D34:G34)-C34)*100)/C27</f>
        <v>0.44166666666666288</v>
      </c>
      <c r="I34" s="158">
        <f t="shared" si="14"/>
        <v>0.25</v>
      </c>
    </row>
    <row r="35" spans="2:9" ht="15.75" thickBot="1">
      <c r="C35" s="157">
        <v>400</v>
      </c>
      <c r="D35" s="107">
        <v>405.4</v>
      </c>
      <c r="E35" s="107">
        <v>403.1</v>
      </c>
      <c r="F35" s="107">
        <v>405.4</v>
      </c>
      <c r="G35" s="107">
        <v>403.1</v>
      </c>
      <c r="H35" s="129">
        <f>((AVERAGE(D35:G35)-C35)*100)/C27</f>
        <v>0.70833333333333337</v>
      </c>
      <c r="I35" s="158">
        <f t="shared" si="14"/>
        <v>0.25</v>
      </c>
    </row>
    <row r="36" spans="2:9" ht="15.75" thickBot="1">
      <c r="B36" s="150"/>
      <c r="C36" s="157">
        <v>500</v>
      </c>
      <c r="D36" s="107">
        <v>506</v>
      </c>
      <c r="E36" s="107">
        <v>504.1</v>
      </c>
      <c r="F36" s="107">
        <v>506</v>
      </c>
      <c r="G36" s="107">
        <v>504.1</v>
      </c>
      <c r="H36" s="129">
        <f>((AVERAGE(D36:G36)-C36)*100)/C27</f>
        <v>0.84166666666665912</v>
      </c>
      <c r="I36" s="158">
        <f t="shared" si="14"/>
        <v>0.25</v>
      </c>
    </row>
    <row r="37" spans="2:9" ht="15.75" thickBot="1">
      <c r="B37" s="149"/>
      <c r="C37" s="159">
        <v>600</v>
      </c>
      <c r="D37" s="160">
        <v>605.6</v>
      </c>
      <c r="E37" s="160"/>
      <c r="F37" s="160">
        <v>605.6</v>
      </c>
      <c r="G37" s="160"/>
      <c r="H37" s="161">
        <f>((AVERAGE(D37:G37)-C37)*100)/C27</f>
        <v>0.93333333333333712</v>
      </c>
      <c r="I37" s="162">
        <f t="shared" si="14"/>
        <v>0.25</v>
      </c>
    </row>
    <row r="43" spans="2:9">
      <c r="F43" s="14"/>
    </row>
    <row r="44" spans="2:9">
      <c r="F44" s="14"/>
    </row>
    <row r="45" spans="2:9">
      <c r="F45" s="14"/>
    </row>
    <row r="46" spans="2:9">
      <c r="F46" s="14"/>
    </row>
    <row r="47" spans="2:9">
      <c r="F47" s="14"/>
    </row>
  </sheetData>
  <mergeCells count="5">
    <mergeCell ref="C9:F9"/>
    <mergeCell ref="C10:F10"/>
    <mergeCell ref="B29:B30"/>
    <mergeCell ref="D29:E29"/>
    <mergeCell ref="F29:G29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A4" zoomScaleNormal="100" workbookViewId="0">
      <selection activeCell="K23" sqref="K23"/>
    </sheetView>
  </sheetViews>
  <sheetFormatPr defaultRowHeight="15"/>
  <cols>
    <col min="2" max="2" width="28.5703125" customWidth="1"/>
    <col min="3" max="3" width="13" customWidth="1"/>
    <col min="4" max="4" width="12.140625" customWidth="1"/>
    <col min="5" max="6" width="9.140625" customWidth="1"/>
    <col min="7" max="7" width="15.28515625" customWidth="1"/>
    <col min="8" max="8" width="13.140625" customWidth="1"/>
    <col min="9" max="9" width="13.7109375" customWidth="1"/>
    <col min="10" max="10" width="14.7109375" customWidth="1"/>
    <col min="11" max="11" width="14.7109375" style="14" customWidth="1"/>
    <col min="12" max="12" width="14.140625" customWidth="1"/>
    <col min="13" max="13" width="13.5703125" hidden="1" customWidth="1"/>
    <col min="14" max="14" width="13.5703125" style="14" hidden="1" customWidth="1"/>
    <col min="15" max="15" width="15.140625" hidden="1" customWidth="1"/>
    <col min="16" max="16" width="24" hidden="1" customWidth="1"/>
    <col min="17" max="18" width="23.5703125" hidden="1" customWidth="1"/>
    <col min="19" max="19" width="15.140625" customWidth="1"/>
    <col min="20" max="20" width="13.7109375" customWidth="1"/>
    <col min="21" max="21" width="12.28515625" customWidth="1"/>
    <col min="22" max="22" width="11.85546875" customWidth="1"/>
  </cols>
  <sheetData>
    <row r="1" spans="1:23" ht="42.75" hidden="1">
      <c r="A1" s="5"/>
      <c r="B1" s="2" t="s">
        <v>13</v>
      </c>
      <c r="C1" s="7">
        <v>0.01</v>
      </c>
      <c r="D1" s="8" t="s">
        <v>4</v>
      </c>
      <c r="H1" s="3"/>
    </row>
    <row r="2" spans="1:23" ht="30.75" hidden="1" customHeight="1">
      <c r="A2" s="6" t="s">
        <v>20</v>
      </c>
      <c r="B2" s="4" t="s">
        <v>18</v>
      </c>
      <c r="C2" s="7">
        <v>0</v>
      </c>
      <c r="D2" s="8" t="s">
        <v>4</v>
      </c>
    </row>
    <row r="3" spans="1:23" ht="31.5" hidden="1" customHeight="1">
      <c r="A3" s="6" t="s">
        <v>20</v>
      </c>
      <c r="B3" s="4" t="s">
        <v>19</v>
      </c>
      <c r="C3" s="7">
        <v>0</v>
      </c>
      <c r="D3" s="8" t="s">
        <v>4</v>
      </c>
      <c r="H3" s="3"/>
    </row>
    <row r="4" spans="1:23" s="14" customFormat="1" ht="31.5" customHeight="1">
      <c r="A4" s="25"/>
      <c r="B4" s="84" t="s">
        <v>50</v>
      </c>
      <c r="C4" s="85" t="s">
        <v>51</v>
      </c>
      <c r="D4" s="85" t="s">
        <v>52</v>
      </c>
      <c r="H4" s="3"/>
    </row>
    <row r="5" spans="1:23" s="14" customFormat="1" ht="31.5" customHeight="1">
      <c r="A5" s="25"/>
      <c r="B5" s="18"/>
      <c r="C5" s="85" t="s">
        <v>53</v>
      </c>
      <c r="D5" s="85" t="s">
        <v>55</v>
      </c>
      <c r="H5" s="3"/>
    </row>
    <row r="7" spans="1:23" ht="24.75" customHeight="1">
      <c r="B7" s="32" t="s">
        <v>1</v>
      </c>
      <c r="C7" s="183" t="s">
        <v>1</v>
      </c>
      <c r="D7" s="183"/>
      <c r="E7" s="183"/>
      <c r="F7" s="183"/>
      <c r="G7" s="32" t="s">
        <v>0</v>
      </c>
      <c r="H7" s="32" t="s">
        <v>5</v>
      </c>
      <c r="I7" s="32" t="s">
        <v>42</v>
      </c>
      <c r="J7" s="32" t="s">
        <v>43</v>
      </c>
      <c r="K7" s="61" t="s">
        <v>7</v>
      </c>
      <c r="L7" s="32" t="s">
        <v>27</v>
      </c>
      <c r="M7" s="62" t="s">
        <v>11</v>
      </c>
      <c r="N7" s="35" t="s">
        <v>29</v>
      </c>
      <c r="O7" s="62" t="s">
        <v>12</v>
      </c>
      <c r="P7" s="62" t="s">
        <v>15</v>
      </c>
      <c r="Q7" s="62" t="s">
        <v>25</v>
      </c>
      <c r="R7" s="62" t="s">
        <v>17</v>
      </c>
      <c r="S7" s="188" t="s">
        <v>8</v>
      </c>
      <c r="T7" s="83" t="s">
        <v>8</v>
      </c>
      <c r="U7" s="71"/>
      <c r="V7" s="71"/>
      <c r="W7" s="71"/>
    </row>
    <row r="8" spans="1:23" ht="24" customHeight="1">
      <c r="B8" s="32" t="s">
        <v>3</v>
      </c>
      <c r="C8" s="183" t="s">
        <v>2</v>
      </c>
      <c r="D8" s="183"/>
      <c r="E8" s="183"/>
      <c r="F8" s="183"/>
      <c r="G8" s="32" t="s">
        <v>1</v>
      </c>
      <c r="H8" s="32" t="s">
        <v>6</v>
      </c>
      <c r="I8" s="63"/>
      <c r="J8" s="63"/>
      <c r="K8" s="63"/>
      <c r="L8" s="63"/>
      <c r="M8" s="64"/>
      <c r="N8" s="37" t="s">
        <v>57</v>
      </c>
      <c r="O8" s="64"/>
      <c r="P8" s="64" t="s">
        <v>14</v>
      </c>
      <c r="Q8" s="64" t="s">
        <v>26</v>
      </c>
      <c r="R8" s="64"/>
      <c r="S8" s="189" t="s">
        <v>9</v>
      </c>
      <c r="T8" s="65" t="s">
        <v>9</v>
      </c>
      <c r="U8" s="72"/>
      <c r="V8" s="72"/>
      <c r="W8" s="71"/>
    </row>
    <row r="9" spans="1:23">
      <c r="B9" s="32" t="s">
        <v>37</v>
      </c>
      <c r="C9" s="32" t="s">
        <v>38</v>
      </c>
      <c r="D9" s="32" t="s">
        <v>39</v>
      </c>
      <c r="E9" s="32" t="s">
        <v>40</v>
      </c>
      <c r="F9" s="32" t="s">
        <v>41</v>
      </c>
      <c r="G9" s="32"/>
      <c r="H9" s="32"/>
      <c r="I9" s="32"/>
      <c r="J9" s="32"/>
      <c r="K9" s="32"/>
      <c r="L9" s="32"/>
      <c r="M9" s="59"/>
      <c r="N9" s="38" t="s">
        <v>30</v>
      </c>
      <c r="O9" s="59"/>
      <c r="P9" s="59"/>
      <c r="Q9" s="32"/>
      <c r="R9" s="59"/>
      <c r="S9" s="188"/>
      <c r="T9" s="83"/>
      <c r="U9" s="71"/>
      <c r="V9" s="71"/>
      <c r="W9" s="71"/>
    </row>
    <row r="10" spans="1:23" ht="15.75" thickBot="1">
      <c r="B10" s="32" t="s">
        <v>4</v>
      </c>
      <c r="C10" s="60" t="s">
        <v>4</v>
      </c>
      <c r="D10" s="32" t="s">
        <v>4</v>
      </c>
      <c r="E10" s="32" t="s">
        <v>4</v>
      </c>
      <c r="F10" s="32" t="s">
        <v>4</v>
      </c>
      <c r="G10" s="32" t="s">
        <v>4</v>
      </c>
      <c r="H10" s="32" t="s">
        <v>4</v>
      </c>
      <c r="I10" s="32" t="s">
        <v>4</v>
      </c>
      <c r="J10" s="32" t="s">
        <v>4</v>
      </c>
      <c r="K10" s="32" t="s">
        <v>4</v>
      </c>
      <c r="L10" s="32" t="s">
        <v>4</v>
      </c>
      <c r="M10" s="32" t="s">
        <v>4</v>
      </c>
      <c r="N10" s="70" t="s">
        <v>4</v>
      </c>
      <c r="O10" s="32" t="s">
        <v>4</v>
      </c>
      <c r="P10" s="32" t="s">
        <v>4</v>
      </c>
      <c r="Q10" s="32" t="s">
        <v>4</v>
      </c>
      <c r="R10" s="32" t="s">
        <v>4</v>
      </c>
      <c r="S10" s="188" t="s">
        <v>10</v>
      </c>
      <c r="T10" s="83" t="s">
        <v>49</v>
      </c>
      <c r="U10" s="71"/>
      <c r="V10" s="71"/>
      <c r="W10" s="71"/>
    </row>
    <row r="11" spans="1:23" ht="15.75" thickBot="1">
      <c r="B11" s="171">
        <v>-0.1</v>
      </c>
      <c r="C11" s="165">
        <v>-0.11</v>
      </c>
      <c r="D11" s="166">
        <v>-0.11</v>
      </c>
      <c r="E11" s="166">
        <v>-0.11</v>
      </c>
      <c r="F11" s="167">
        <v>-0.11</v>
      </c>
      <c r="G11" s="43">
        <f>AVERAGE(C11:F11)</f>
        <v>-0.11</v>
      </c>
      <c r="H11" s="43">
        <f>B11-G11</f>
        <v>9.999999999999995E-3</v>
      </c>
      <c r="I11" s="44">
        <f>ABS(B11-AVERAGE(C11,E11))</f>
        <v>9.999999999999995E-3</v>
      </c>
      <c r="J11" s="44">
        <f>ABS(B11-AVERAGE(D11,F11))</f>
        <v>9.999999999999995E-3</v>
      </c>
      <c r="K11" s="43">
        <f t="shared" ref="K11:K20" si="0">ABS(I11-J11)</f>
        <v>0</v>
      </c>
      <c r="L11" s="44">
        <f t="shared" ref="L11:L20" si="1">SUM(I11:J11)/2</f>
        <v>9.999999999999995E-3</v>
      </c>
      <c r="M11" s="48">
        <f>((0.05%*2))^2</f>
        <v>9.9999999999999995E-7</v>
      </c>
      <c r="N11" s="48">
        <f>((0.3%*G11)/SQRT(3))^2</f>
        <v>3.6300000000000001E-8</v>
      </c>
      <c r="O11" s="86">
        <f>(0.0001/(2*SQRT(3)))^2</f>
        <v>8.3333333333333356E-10</v>
      </c>
      <c r="P11" s="48">
        <v>0</v>
      </c>
      <c r="Q11" s="44">
        <f>((MAX(I11:J11)/(2*SQRT(3)))^2)</f>
        <v>8.333333333333327E-6</v>
      </c>
      <c r="R11" s="44">
        <f t="shared" ref="R11:R20" si="2">(K11/(2*SQRT(3)))^2</f>
        <v>0</v>
      </c>
      <c r="S11" s="141">
        <f>(SQRT(SUM(M11,O11,P11,Q11,R11,N11)))*2</f>
        <v>6.1222435974621781E-3</v>
      </c>
      <c r="T11" s="87">
        <f>S11*1000</f>
        <v>6.1222435974621785</v>
      </c>
      <c r="U11" s="90">
        <f>0.3%*ABS(G11)</f>
        <v>3.3E-4</v>
      </c>
      <c r="V11" s="73"/>
      <c r="W11" s="71"/>
    </row>
    <row r="12" spans="1:23" ht="15.75" thickBot="1">
      <c r="B12" s="172">
        <v>-0.05</v>
      </c>
      <c r="C12" s="168">
        <v>-0.06</v>
      </c>
      <c r="D12" s="169">
        <v>-0.06</v>
      </c>
      <c r="E12" s="169">
        <v>-0.06</v>
      </c>
      <c r="F12" s="170">
        <v>-0.06</v>
      </c>
      <c r="G12" s="43">
        <f t="shared" ref="G12:G20" si="3">AVERAGE(C12:F12)</f>
        <v>-0.06</v>
      </c>
      <c r="H12" s="43">
        <f t="shared" ref="H12:H20" si="4">B12-G12</f>
        <v>9.999999999999995E-3</v>
      </c>
      <c r="I12" s="44">
        <f>ABS(B12-AVERAGE(C12,E12))</f>
        <v>9.999999999999995E-3</v>
      </c>
      <c r="J12" s="44">
        <f t="shared" ref="J12:J20" si="5">ABS(B12-AVERAGE(D12,F12))</f>
        <v>9.999999999999995E-3</v>
      </c>
      <c r="K12" s="43">
        <f t="shared" si="0"/>
        <v>0</v>
      </c>
      <c r="L12" s="44">
        <f t="shared" si="1"/>
        <v>9.999999999999995E-3</v>
      </c>
      <c r="M12" s="48">
        <f t="shared" ref="M12:M20" si="6">((0.05%*2))^2</f>
        <v>9.9999999999999995E-7</v>
      </c>
      <c r="N12" s="48">
        <f t="shared" ref="N12:N20" si="7">((0.3%*G12)/SQRT(3))^2</f>
        <v>1.0799999999999999E-8</v>
      </c>
      <c r="O12" s="86">
        <f t="shared" ref="O12:O20" si="8">(0.0001/(2*SQRT(3)))^2</f>
        <v>8.3333333333333356E-10</v>
      </c>
      <c r="P12" s="48">
        <v>0</v>
      </c>
      <c r="Q12" s="44">
        <f t="shared" ref="Q12:Q20" si="9">((MAX(I12:J12)/(2*SQRT(3)))^2)</f>
        <v>8.333333333333327E-6</v>
      </c>
      <c r="R12" s="44">
        <f t="shared" si="2"/>
        <v>0</v>
      </c>
      <c r="S12" s="141">
        <f t="shared" ref="S12:S20" si="10">(SQRT(SUM(M12,O12,P12,Q12,R12,N12)))*2</f>
        <v>6.1139076429617941E-3</v>
      </c>
      <c r="T12" s="87">
        <f t="shared" ref="T12:T20" si="11">S12*1000</f>
        <v>6.1139076429617942</v>
      </c>
      <c r="U12" s="90">
        <f t="shared" ref="U12:U20" si="12">0.3%*ABS(G12)</f>
        <v>1.7999999999999998E-4</v>
      </c>
      <c r="V12" s="71"/>
      <c r="W12" s="71"/>
    </row>
    <row r="13" spans="1:23" ht="15.75" thickBot="1">
      <c r="B13" s="172">
        <v>0</v>
      </c>
      <c r="C13" s="168">
        <v>0</v>
      </c>
      <c r="D13" s="169">
        <v>0</v>
      </c>
      <c r="E13" s="169">
        <v>0</v>
      </c>
      <c r="F13" s="170">
        <v>0</v>
      </c>
      <c r="G13" s="43">
        <f>AVERAGE(C13:F13)</f>
        <v>0</v>
      </c>
      <c r="H13" s="43">
        <f>B13-G13</f>
        <v>0</v>
      </c>
      <c r="I13" s="44">
        <f>ABS(B13-AVERAGE(C13,E13))</f>
        <v>0</v>
      </c>
      <c r="J13" s="44">
        <f>ABS(B13-AVERAGE(D13,F13))</f>
        <v>0</v>
      </c>
      <c r="K13" s="43">
        <f>ABS(I13-J13)</f>
        <v>0</v>
      </c>
      <c r="L13" s="44">
        <f>SUM(I13:J13)/2</f>
        <v>0</v>
      </c>
      <c r="M13" s="48">
        <f t="shared" si="6"/>
        <v>9.9999999999999995E-7</v>
      </c>
      <c r="N13" s="48">
        <f t="shared" si="7"/>
        <v>0</v>
      </c>
      <c r="O13" s="86">
        <f t="shared" si="8"/>
        <v>8.3333333333333356E-10</v>
      </c>
      <c r="P13" s="48">
        <v>0</v>
      </c>
      <c r="Q13" s="44">
        <f t="shared" si="9"/>
        <v>0</v>
      </c>
      <c r="R13" s="44">
        <f t="shared" si="2"/>
        <v>0</v>
      </c>
      <c r="S13" s="141">
        <f t="shared" si="10"/>
        <v>2.0008331597945223E-3</v>
      </c>
      <c r="T13" s="87">
        <f t="shared" si="11"/>
        <v>2.0008331597945221</v>
      </c>
      <c r="U13" s="90">
        <f t="shared" si="12"/>
        <v>0</v>
      </c>
      <c r="V13" s="71"/>
      <c r="W13" s="71"/>
    </row>
    <row r="14" spans="1:23">
      <c r="B14" s="82"/>
      <c r="C14" s="67"/>
      <c r="D14" s="67"/>
      <c r="E14" s="68"/>
      <c r="F14" s="67"/>
      <c r="G14" s="43" t="e">
        <f t="shared" si="3"/>
        <v>#DIV/0!</v>
      </c>
      <c r="H14" s="43" t="e">
        <f t="shared" si="4"/>
        <v>#DIV/0!</v>
      </c>
      <c r="I14" s="44" t="e">
        <f t="shared" ref="I14:I19" si="13">ABS(B14-AVERAGE(C14,E14))</f>
        <v>#DIV/0!</v>
      </c>
      <c r="J14" s="44" t="e">
        <f t="shared" si="5"/>
        <v>#DIV/0!</v>
      </c>
      <c r="K14" s="43" t="e">
        <f t="shared" si="0"/>
        <v>#DIV/0!</v>
      </c>
      <c r="L14" s="44" t="e">
        <f t="shared" si="1"/>
        <v>#DIV/0!</v>
      </c>
      <c r="M14" s="48">
        <f t="shared" si="6"/>
        <v>9.9999999999999995E-7</v>
      </c>
      <c r="N14" s="48" t="e">
        <f t="shared" si="7"/>
        <v>#DIV/0!</v>
      </c>
      <c r="O14" s="86">
        <f t="shared" si="8"/>
        <v>8.3333333333333356E-10</v>
      </c>
      <c r="P14" s="48">
        <v>0</v>
      </c>
      <c r="Q14" s="44" t="e">
        <f t="shared" si="9"/>
        <v>#DIV/0!</v>
      </c>
      <c r="R14" s="44" t="e">
        <f t="shared" si="2"/>
        <v>#DIV/0!</v>
      </c>
      <c r="S14" s="44" t="e">
        <f t="shared" si="10"/>
        <v>#DIV/0!</v>
      </c>
      <c r="T14" s="87" t="e">
        <f t="shared" si="11"/>
        <v>#DIV/0!</v>
      </c>
      <c r="U14" s="90" t="e">
        <f t="shared" si="12"/>
        <v>#DIV/0!</v>
      </c>
    </row>
    <row r="15" spans="1:23">
      <c r="B15" s="82"/>
      <c r="C15" s="51"/>
      <c r="D15" s="51"/>
      <c r="E15" s="51"/>
      <c r="F15" s="51"/>
      <c r="G15" s="43" t="e">
        <f t="shared" si="3"/>
        <v>#DIV/0!</v>
      </c>
      <c r="H15" s="43" t="e">
        <f t="shared" si="4"/>
        <v>#DIV/0!</v>
      </c>
      <c r="I15" s="44" t="e">
        <f t="shared" si="13"/>
        <v>#DIV/0!</v>
      </c>
      <c r="J15" s="44" t="e">
        <f t="shared" si="5"/>
        <v>#DIV/0!</v>
      </c>
      <c r="K15" s="43" t="e">
        <f t="shared" si="0"/>
        <v>#DIV/0!</v>
      </c>
      <c r="L15" s="44" t="e">
        <f t="shared" si="1"/>
        <v>#DIV/0!</v>
      </c>
      <c r="M15" s="48">
        <f t="shared" si="6"/>
        <v>9.9999999999999995E-7</v>
      </c>
      <c r="N15" s="48" t="e">
        <f t="shared" si="7"/>
        <v>#DIV/0!</v>
      </c>
      <c r="O15" s="86">
        <f t="shared" si="8"/>
        <v>8.3333333333333356E-10</v>
      </c>
      <c r="P15" s="48">
        <v>0</v>
      </c>
      <c r="Q15" s="44" t="e">
        <f t="shared" si="9"/>
        <v>#DIV/0!</v>
      </c>
      <c r="R15" s="44" t="e">
        <f t="shared" si="2"/>
        <v>#DIV/0!</v>
      </c>
      <c r="S15" s="44" t="e">
        <f t="shared" si="10"/>
        <v>#DIV/0!</v>
      </c>
      <c r="T15" s="87" t="e">
        <f t="shared" si="11"/>
        <v>#DIV/0!</v>
      </c>
      <c r="U15" s="90" t="e">
        <f t="shared" si="12"/>
        <v>#DIV/0!</v>
      </c>
    </row>
    <row r="16" spans="1:23">
      <c r="B16" s="66"/>
      <c r="C16" s="51"/>
      <c r="D16" s="51"/>
      <c r="E16" s="51"/>
      <c r="F16" s="51"/>
      <c r="G16" s="43" t="e">
        <f t="shared" si="3"/>
        <v>#DIV/0!</v>
      </c>
      <c r="H16" s="43" t="e">
        <f t="shared" si="4"/>
        <v>#DIV/0!</v>
      </c>
      <c r="I16" s="44" t="e">
        <f t="shared" si="13"/>
        <v>#DIV/0!</v>
      </c>
      <c r="J16" s="44" t="e">
        <f t="shared" si="5"/>
        <v>#DIV/0!</v>
      </c>
      <c r="K16" s="43" t="e">
        <f t="shared" si="0"/>
        <v>#DIV/0!</v>
      </c>
      <c r="L16" s="44" t="e">
        <f t="shared" si="1"/>
        <v>#DIV/0!</v>
      </c>
      <c r="M16" s="48">
        <f t="shared" si="6"/>
        <v>9.9999999999999995E-7</v>
      </c>
      <c r="N16" s="48" t="e">
        <f t="shared" si="7"/>
        <v>#DIV/0!</v>
      </c>
      <c r="O16" s="86">
        <f t="shared" si="8"/>
        <v>8.3333333333333356E-10</v>
      </c>
      <c r="P16" s="48">
        <v>0</v>
      </c>
      <c r="Q16" s="44" t="e">
        <f t="shared" si="9"/>
        <v>#DIV/0!</v>
      </c>
      <c r="R16" s="44" t="e">
        <f t="shared" si="2"/>
        <v>#DIV/0!</v>
      </c>
      <c r="S16" s="44" t="e">
        <f t="shared" si="10"/>
        <v>#DIV/0!</v>
      </c>
      <c r="T16" s="87" t="e">
        <f t="shared" si="11"/>
        <v>#DIV/0!</v>
      </c>
      <c r="U16" s="90" t="e">
        <f t="shared" si="12"/>
        <v>#DIV/0!</v>
      </c>
    </row>
    <row r="17" spans="2:21">
      <c r="B17" s="66"/>
      <c r="C17" s="51"/>
      <c r="D17" s="51"/>
      <c r="E17" s="51"/>
      <c r="F17" s="51"/>
      <c r="G17" s="43" t="e">
        <f t="shared" si="3"/>
        <v>#DIV/0!</v>
      </c>
      <c r="H17" s="43" t="e">
        <f t="shared" si="4"/>
        <v>#DIV/0!</v>
      </c>
      <c r="I17" s="44" t="e">
        <f t="shared" si="13"/>
        <v>#DIV/0!</v>
      </c>
      <c r="J17" s="44" t="e">
        <f t="shared" si="5"/>
        <v>#DIV/0!</v>
      </c>
      <c r="K17" s="43" t="e">
        <f t="shared" si="0"/>
        <v>#DIV/0!</v>
      </c>
      <c r="L17" s="44" t="e">
        <f t="shared" si="1"/>
        <v>#DIV/0!</v>
      </c>
      <c r="M17" s="48">
        <f t="shared" si="6"/>
        <v>9.9999999999999995E-7</v>
      </c>
      <c r="N17" s="48" t="e">
        <f t="shared" si="7"/>
        <v>#DIV/0!</v>
      </c>
      <c r="O17" s="86">
        <f t="shared" si="8"/>
        <v>8.3333333333333356E-10</v>
      </c>
      <c r="P17" s="48">
        <v>0</v>
      </c>
      <c r="Q17" s="44" t="e">
        <f t="shared" si="9"/>
        <v>#DIV/0!</v>
      </c>
      <c r="R17" s="44" t="e">
        <f t="shared" si="2"/>
        <v>#DIV/0!</v>
      </c>
      <c r="S17" s="44" t="e">
        <f t="shared" si="10"/>
        <v>#DIV/0!</v>
      </c>
      <c r="T17" s="87" t="e">
        <f t="shared" si="11"/>
        <v>#DIV/0!</v>
      </c>
      <c r="U17" s="90" t="e">
        <f t="shared" si="12"/>
        <v>#DIV/0!</v>
      </c>
    </row>
    <row r="18" spans="2:21">
      <c r="B18" s="41"/>
      <c r="C18" s="51"/>
      <c r="D18" s="51"/>
      <c r="E18" s="51"/>
      <c r="F18" s="51"/>
      <c r="G18" s="44" t="e">
        <f t="shared" si="3"/>
        <v>#DIV/0!</v>
      </c>
      <c r="H18" s="44" t="e">
        <f t="shared" si="4"/>
        <v>#DIV/0!</v>
      </c>
      <c r="I18" s="44" t="e">
        <f t="shared" si="13"/>
        <v>#DIV/0!</v>
      </c>
      <c r="J18" s="44" t="e">
        <f t="shared" si="5"/>
        <v>#DIV/0!</v>
      </c>
      <c r="K18" s="43" t="e">
        <f t="shared" si="0"/>
        <v>#DIV/0!</v>
      </c>
      <c r="L18" s="44" t="e">
        <f t="shared" si="1"/>
        <v>#DIV/0!</v>
      </c>
      <c r="M18" s="48">
        <f t="shared" si="6"/>
        <v>9.9999999999999995E-7</v>
      </c>
      <c r="N18" s="48" t="e">
        <f t="shared" si="7"/>
        <v>#DIV/0!</v>
      </c>
      <c r="O18" s="86">
        <f t="shared" si="8"/>
        <v>8.3333333333333356E-10</v>
      </c>
      <c r="P18" s="48">
        <v>0</v>
      </c>
      <c r="Q18" s="44" t="e">
        <f t="shared" si="9"/>
        <v>#DIV/0!</v>
      </c>
      <c r="R18" s="44" t="e">
        <f t="shared" si="2"/>
        <v>#DIV/0!</v>
      </c>
      <c r="S18" s="58" t="e">
        <f t="shared" si="10"/>
        <v>#DIV/0!</v>
      </c>
      <c r="T18" s="87" t="e">
        <f t="shared" si="11"/>
        <v>#DIV/0!</v>
      </c>
      <c r="U18" s="90" t="e">
        <f t="shared" si="12"/>
        <v>#DIV/0!</v>
      </c>
    </row>
    <row r="19" spans="2:21">
      <c r="B19" s="41"/>
      <c r="C19" s="51"/>
      <c r="D19" s="51"/>
      <c r="E19" s="51"/>
      <c r="F19" s="51"/>
      <c r="G19" s="44" t="e">
        <f t="shared" si="3"/>
        <v>#DIV/0!</v>
      </c>
      <c r="H19" s="44" t="e">
        <f t="shared" si="4"/>
        <v>#DIV/0!</v>
      </c>
      <c r="I19" s="44" t="e">
        <f t="shared" si="13"/>
        <v>#DIV/0!</v>
      </c>
      <c r="J19" s="44" t="e">
        <f t="shared" si="5"/>
        <v>#DIV/0!</v>
      </c>
      <c r="K19" s="43" t="e">
        <f t="shared" si="0"/>
        <v>#DIV/0!</v>
      </c>
      <c r="L19" s="44" t="e">
        <f t="shared" si="1"/>
        <v>#DIV/0!</v>
      </c>
      <c r="M19" s="48">
        <f t="shared" si="6"/>
        <v>9.9999999999999995E-7</v>
      </c>
      <c r="N19" s="48" t="e">
        <f t="shared" si="7"/>
        <v>#DIV/0!</v>
      </c>
      <c r="O19" s="86">
        <f t="shared" si="8"/>
        <v>8.3333333333333356E-10</v>
      </c>
      <c r="P19" s="48">
        <v>0</v>
      </c>
      <c r="Q19" s="44" t="e">
        <f t="shared" si="9"/>
        <v>#DIV/0!</v>
      </c>
      <c r="R19" s="44" t="e">
        <f t="shared" si="2"/>
        <v>#DIV/0!</v>
      </c>
      <c r="S19" s="58" t="e">
        <f t="shared" si="10"/>
        <v>#DIV/0!</v>
      </c>
      <c r="T19" s="87" t="e">
        <f t="shared" si="11"/>
        <v>#DIV/0!</v>
      </c>
      <c r="U19" s="90" t="e">
        <f t="shared" si="12"/>
        <v>#DIV/0!</v>
      </c>
    </row>
    <row r="20" spans="2:21">
      <c r="B20" s="41"/>
      <c r="C20" s="51"/>
      <c r="D20" s="51"/>
      <c r="E20" s="51"/>
      <c r="F20" s="51"/>
      <c r="G20" s="44" t="e">
        <f t="shared" si="3"/>
        <v>#DIV/0!</v>
      </c>
      <c r="H20" s="44" t="e">
        <f t="shared" si="4"/>
        <v>#DIV/0!</v>
      </c>
      <c r="I20" s="44" t="e">
        <f>ABS(B20-AVERAGE(C20,E20))</f>
        <v>#DIV/0!</v>
      </c>
      <c r="J20" s="44" t="e">
        <f t="shared" si="5"/>
        <v>#DIV/0!</v>
      </c>
      <c r="K20" s="43" t="e">
        <f t="shared" si="0"/>
        <v>#DIV/0!</v>
      </c>
      <c r="L20" s="44" t="e">
        <f t="shared" si="1"/>
        <v>#DIV/0!</v>
      </c>
      <c r="M20" s="48">
        <f t="shared" si="6"/>
        <v>9.9999999999999995E-7</v>
      </c>
      <c r="N20" s="48" t="e">
        <f t="shared" si="7"/>
        <v>#DIV/0!</v>
      </c>
      <c r="O20" s="86">
        <f t="shared" si="8"/>
        <v>8.3333333333333356E-10</v>
      </c>
      <c r="P20" s="48">
        <v>0</v>
      </c>
      <c r="Q20" s="44" t="e">
        <f t="shared" si="9"/>
        <v>#DIV/0!</v>
      </c>
      <c r="R20" s="44" t="e">
        <f t="shared" si="2"/>
        <v>#DIV/0!</v>
      </c>
      <c r="S20" s="58" t="e">
        <f t="shared" si="10"/>
        <v>#DIV/0!</v>
      </c>
      <c r="T20" s="87" t="e">
        <f t="shared" si="11"/>
        <v>#DIV/0!</v>
      </c>
      <c r="U20" s="90" t="e">
        <f t="shared" si="12"/>
        <v>#DIV/0!</v>
      </c>
    </row>
    <row r="21" spans="2:21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21">
      <c r="P22" s="1" t="s">
        <v>16</v>
      </c>
    </row>
    <row r="24" spans="2:21">
      <c r="P24" s="14"/>
      <c r="Q24" s="14" t="s">
        <v>24</v>
      </c>
    </row>
    <row r="54" spans="15:18">
      <c r="Q54" s="15"/>
      <c r="R54" s="16"/>
    </row>
    <row r="55" spans="15:18">
      <c r="O55" s="14"/>
      <c r="Q55" s="15"/>
      <c r="R55" s="16"/>
    </row>
    <row r="56" spans="15:18">
      <c r="O56" s="14"/>
      <c r="Q56" s="15"/>
      <c r="R56" s="16"/>
    </row>
    <row r="57" spans="15:18">
      <c r="O57" s="14"/>
      <c r="Q57" s="15"/>
      <c r="R57" s="16"/>
    </row>
    <row r="58" spans="15:18">
      <c r="O58" s="14"/>
      <c r="Q58" s="15"/>
      <c r="R58" s="16"/>
    </row>
    <row r="59" spans="15:18">
      <c r="O59" s="14"/>
      <c r="Q59" s="15"/>
      <c r="R59" s="16"/>
    </row>
    <row r="60" spans="15:18">
      <c r="O60" s="14"/>
      <c r="P60" s="14"/>
      <c r="Q60" s="15"/>
      <c r="R60" s="15"/>
    </row>
    <row r="61" spans="15:18">
      <c r="O61" s="14"/>
      <c r="P61" s="14"/>
      <c r="Q61" s="15"/>
      <c r="R61" s="16"/>
    </row>
    <row r="62" spans="15:18">
      <c r="O62" s="14"/>
      <c r="P62" s="14"/>
      <c r="Q62" s="15"/>
      <c r="R62" s="16"/>
    </row>
  </sheetData>
  <mergeCells count="2">
    <mergeCell ref="C7:F7"/>
    <mergeCell ref="C8:F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مد هیدرولیکی P06  </vt:lpstr>
      <vt:lpstr>پرشر سوئیچ</vt:lpstr>
      <vt:lpstr>cell + back + pore  pressure</vt:lpstr>
      <vt:lpstr>مد نیوماتیکی P09</vt:lpstr>
      <vt:lpstr>مد خلاء P05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asus</cp:lastModifiedBy>
  <cp:lastPrinted>2019-11-04T13:00:16Z</cp:lastPrinted>
  <dcterms:created xsi:type="dcterms:W3CDTF">2016-08-27T05:38:05Z</dcterms:created>
  <dcterms:modified xsi:type="dcterms:W3CDTF">2022-02-13T12:24:00Z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