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azimi/Desktop/Github Projects/"/>
    </mc:Choice>
  </mc:AlternateContent>
  <xr:revisionPtr revIDLastSave="0" documentId="13_ncr:1_{EA502A88-BDEA-D44D-8439-A32540A810AD}" xr6:coauthVersionLast="47" xr6:coauthVersionMax="47" xr10:uidLastSave="{00000000-0000-0000-0000-000000000000}"/>
  <bookViews>
    <workbookView xWindow="0" yWindow="500" windowWidth="28800" windowHeight="15620" xr2:uid="{64DD25ED-E583-6948-82BF-073B84528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E59" i="1"/>
  <c r="F59" i="1"/>
  <c r="G59" i="1"/>
  <c r="H59" i="1"/>
  <c r="I59" i="1"/>
  <c r="J59" i="1"/>
  <c r="K59" i="1"/>
  <c r="L59" i="1"/>
  <c r="M59" i="1"/>
  <c r="D59" i="1"/>
  <c r="M58" i="1"/>
  <c r="C58" i="1"/>
  <c r="M57" i="1"/>
  <c r="R58" i="1" s="1"/>
  <c r="C57" i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F54" i="1"/>
  <c r="G54" i="1"/>
  <c r="H54" i="1" s="1"/>
  <c r="I54" i="1" s="1"/>
  <c r="J54" i="1" s="1"/>
  <c r="K54" i="1" s="1"/>
  <c r="L54" i="1" s="1"/>
  <c r="M54" i="1" s="1"/>
  <c r="N54" i="1" s="1"/>
  <c r="E54" i="1"/>
  <c r="D54" i="1"/>
  <c r="R31" i="1"/>
  <c r="E46" i="1"/>
  <c r="F46" i="1"/>
  <c r="G46" i="1"/>
  <c r="H46" i="1"/>
  <c r="I46" i="1"/>
  <c r="J46" i="1"/>
  <c r="K46" i="1"/>
  <c r="L46" i="1"/>
  <c r="M46" i="1"/>
  <c r="D46" i="1"/>
  <c r="M45" i="1"/>
  <c r="M32" i="1"/>
  <c r="C45" i="1"/>
  <c r="C44" i="1"/>
  <c r="F41" i="1"/>
  <c r="G41" i="1" s="1"/>
  <c r="H41" i="1" s="1"/>
  <c r="I41" i="1" s="1"/>
  <c r="J41" i="1" s="1"/>
  <c r="K41" i="1" s="1"/>
  <c r="L41" i="1" s="1"/>
  <c r="M41" i="1" s="1"/>
  <c r="N41" i="1" s="1"/>
  <c r="E41" i="1"/>
  <c r="D41" i="1"/>
  <c r="C19" i="1"/>
  <c r="C20" i="1" s="1"/>
  <c r="D19" i="1"/>
  <c r="D20" i="1" s="1"/>
  <c r="C14" i="1"/>
  <c r="D14" i="1"/>
  <c r="C11" i="1"/>
  <c r="C16" i="1" s="1"/>
  <c r="D11" i="1"/>
  <c r="D16" i="1" s="1"/>
  <c r="R60" i="1" l="1"/>
  <c r="M61" i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D43" i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B4" i="1"/>
  <c r="C31" i="1" s="1"/>
  <c r="B14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B11" i="1"/>
  <c r="G28" i="1" s="1"/>
  <c r="H28" i="1" s="1"/>
  <c r="I28" i="1" s="1"/>
  <c r="J28" i="1" s="1"/>
  <c r="K28" i="1" s="1"/>
  <c r="L28" i="1" s="1"/>
  <c r="M28" i="1" s="1"/>
  <c r="N28" i="1" s="1"/>
  <c r="C60" i="1" l="1"/>
  <c r="C47" i="1"/>
  <c r="D56" i="1"/>
  <c r="I30" i="1"/>
  <c r="N30" i="1"/>
  <c r="M31" i="1" s="1"/>
  <c r="J30" i="1"/>
  <c r="D30" i="1"/>
  <c r="F30" i="1"/>
  <c r="M30" i="1"/>
  <c r="E30" i="1"/>
  <c r="H30" i="1"/>
  <c r="L30" i="1"/>
  <c r="K30" i="1"/>
  <c r="G30" i="1"/>
  <c r="B19" i="1"/>
  <c r="B16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47" i="1" l="1"/>
  <c r="D60" i="1"/>
  <c r="E56" i="1"/>
  <c r="E60" i="1" s="1"/>
  <c r="E43" i="1"/>
  <c r="R32" i="1"/>
  <c r="B20" i="1"/>
  <c r="F33" i="1"/>
  <c r="F34" i="1" s="1"/>
  <c r="J33" i="1"/>
  <c r="J34" i="1" s="1"/>
  <c r="D33" i="1"/>
  <c r="D34" i="1" s="1"/>
  <c r="G33" i="1"/>
  <c r="G34" i="1" s="1"/>
  <c r="K33" i="1"/>
  <c r="K34" i="1" s="1"/>
  <c r="H33" i="1"/>
  <c r="H34" i="1" s="1"/>
  <c r="C32" i="1"/>
  <c r="E33" i="1"/>
  <c r="E34" i="1" s="1"/>
  <c r="I33" i="1"/>
  <c r="I34" i="1" s="1"/>
  <c r="M33" i="1"/>
  <c r="L33" i="1"/>
  <c r="L34" i="1" s="1"/>
  <c r="L35" i="1" s="1"/>
  <c r="D48" i="1" l="1"/>
  <c r="E47" i="1"/>
  <c r="E48" i="1" s="1"/>
  <c r="E61" i="1"/>
  <c r="D61" i="1"/>
  <c r="F56" i="1"/>
  <c r="F60" i="1" s="1"/>
  <c r="F61" i="1" s="1"/>
  <c r="F43" i="1"/>
  <c r="F47" i="1" s="1"/>
  <c r="F48" i="1" s="1"/>
  <c r="R34" i="1"/>
  <c r="R33" i="1"/>
  <c r="C34" i="1"/>
  <c r="I35" i="1"/>
  <c r="K35" i="1"/>
  <c r="J35" i="1"/>
  <c r="M35" i="1"/>
  <c r="H35" i="1"/>
  <c r="D35" i="1"/>
  <c r="E35" i="1"/>
  <c r="G35" i="1"/>
  <c r="F35" i="1"/>
  <c r="M34" i="1"/>
  <c r="R29" i="1" s="1"/>
  <c r="R53" i="1" l="1"/>
  <c r="R40" i="1"/>
  <c r="G56" i="1"/>
  <c r="G60" i="1" s="1"/>
  <c r="G61" i="1" s="1"/>
  <c r="G43" i="1"/>
  <c r="G47" i="1" s="1"/>
  <c r="R30" i="1"/>
  <c r="R26" i="1"/>
  <c r="R28" i="1"/>
  <c r="R27" i="1"/>
  <c r="G48" i="1" l="1"/>
  <c r="H56" i="1"/>
  <c r="H60" i="1" s="1"/>
  <c r="H61" i="1" s="1"/>
  <c r="H43" i="1"/>
  <c r="H47" i="1" s="1"/>
  <c r="H48" i="1" l="1"/>
  <c r="I56" i="1"/>
  <c r="I60" i="1" s="1"/>
  <c r="I43" i="1"/>
  <c r="I47" i="1" s="1"/>
  <c r="I48" i="1" s="1"/>
  <c r="I61" i="1" l="1"/>
  <c r="J56" i="1"/>
  <c r="J60" i="1" s="1"/>
  <c r="J43" i="1"/>
  <c r="J47" i="1" s="1"/>
  <c r="J61" i="1" l="1"/>
  <c r="J48" i="1"/>
  <c r="K56" i="1"/>
  <c r="K60" i="1" s="1"/>
  <c r="K61" i="1" s="1"/>
  <c r="K43" i="1"/>
  <c r="K47" i="1" s="1"/>
  <c r="K48" i="1" l="1"/>
  <c r="L56" i="1"/>
  <c r="L60" i="1" s="1"/>
  <c r="L43" i="1"/>
  <c r="L47" i="1" s="1"/>
  <c r="L61" i="1" l="1"/>
  <c r="R54" i="1" s="1"/>
  <c r="R57" i="1"/>
  <c r="R59" i="1" s="1"/>
  <c r="L48" i="1"/>
  <c r="M56" i="1"/>
  <c r="N56" i="1"/>
  <c r="M43" i="1"/>
  <c r="M48" i="1" s="1"/>
  <c r="R41" i="1" s="1"/>
  <c r="N43" i="1"/>
  <c r="M44" i="1" s="1"/>
  <c r="R44" i="1" l="1"/>
  <c r="R45" i="1"/>
  <c r="R47" i="1"/>
  <c r="M60" i="1"/>
  <c r="M47" i="1"/>
  <c r="R43" i="1" s="1"/>
  <c r="R52" i="1" l="1"/>
  <c r="R56" i="1"/>
  <c r="R55" i="1"/>
  <c r="R46" i="1"/>
  <c r="R42" i="1"/>
  <c r="R39" i="1"/>
</calcChain>
</file>

<file path=xl/sharedStrings.xml><?xml version="1.0" encoding="utf-8"?>
<sst xmlns="http://schemas.openxmlformats.org/spreadsheetml/2006/main" count="83" uniqueCount="42">
  <si>
    <t>Equity Multiple</t>
  </si>
  <si>
    <t>Aggregate Benefits</t>
  </si>
  <si>
    <t>ARR</t>
  </si>
  <si>
    <t>Residual Cash Flows Benefits</t>
  </si>
  <si>
    <t>Net Cash Flow</t>
  </si>
  <si>
    <t>Cumulative Cash Flows Benefits</t>
  </si>
  <si>
    <t>Interest Rate Expense</t>
  </si>
  <si>
    <t>Aggregate Total Benefits</t>
  </si>
  <si>
    <t>Debt Drawdown/Prepayment</t>
  </si>
  <si>
    <t>Total Return Multiple</t>
  </si>
  <si>
    <t>Purchase Price/Sales Price</t>
  </si>
  <si>
    <t>Average Cash Flow Yield</t>
  </si>
  <si>
    <t>Net Operating Income</t>
  </si>
  <si>
    <t>Initial Cash Flow Yield</t>
  </si>
  <si>
    <t>IRR</t>
  </si>
  <si>
    <t>Year</t>
  </si>
  <si>
    <t>Downside</t>
  </si>
  <si>
    <t>Upside</t>
  </si>
  <si>
    <t>DSCR</t>
  </si>
  <si>
    <t>Likely</t>
  </si>
  <si>
    <t>Building Information</t>
  </si>
  <si>
    <t>Equity</t>
  </si>
  <si>
    <t>Purchase Price of Property</t>
  </si>
  <si>
    <t>Land Price</t>
  </si>
  <si>
    <t>Cost to build facility</t>
  </si>
  <si>
    <t>Units</t>
  </si>
  <si>
    <t>Monthly Rent Per Unit</t>
  </si>
  <si>
    <t>Annual rent growth</t>
  </si>
  <si>
    <t>Square footage</t>
  </si>
  <si>
    <t>Operating Expenses per square foot</t>
  </si>
  <si>
    <t>Year 1 Operating Expenses</t>
  </si>
  <si>
    <t>Year 1 Revenue</t>
  </si>
  <si>
    <t>Year 1 NOI</t>
  </si>
  <si>
    <t>Annual Expense Growth</t>
  </si>
  <si>
    <t>Rental Revenue</t>
  </si>
  <si>
    <t>Operating Expenses</t>
  </si>
  <si>
    <t>LTV</t>
  </si>
  <si>
    <t>Loan amount</t>
  </si>
  <si>
    <t>Exit cap rate</t>
  </si>
  <si>
    <t>interest rate</t>
  </si>
  <si>
    <t>Other costs</t>
  </si>
  <si>
    <t>Evaluating Self Storage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</si>
</sst>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1" formatCode="_(* #,##0_);_(* \(#,##0\);_(* &quot;-&quot;_);_(@_)"/>
    <numFmt numFmtId="164" formatCode="0.0\x"/>
    <numFmt numFmtId="165" formatCode="&quot;$&quot;#,##0"/>
    <numFmt numFmtId="166" formatCode="_(&quot;$&quot;#,##0_);_(&quot;$&quot;\(#,##0\);_(&quot;$&quot;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8"/>
      <name val="Arial"/>
      <family val="2"/>
    </font>
    <font>
      <b/>
      <sz val="1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165" fontId="1" fillId="2" borderId="0" xfId="0" applyNumberFormat="1" applyFont="1" applyFill="1" applyAlignment="1">
      <alignment vertical="center"/>
    </xf>
    <xf numFmtId="10" fontId="0" fillId="0" borderId="0" xfId="0" applyNumberFormat="1"/>
    <xf numFmtId="166" fontId="0" fillId="0" borderId="0" xfId="0" applyNumberFormat="1"/>
    <xf numFmtId="41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1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0" fontId="1" fillId="2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165" fontId="4" fillId="5" borderId="0" xfId="0" applyNumberFormat="1" applyFont="1" applyFill="1" applyAlignment="1">
      <alignment vertical="center"/>
    </xf>
    <xf numFmtId="0" fontId="5" fillId="6" borderId="0" xfId="0" applyFont="1" applyFill="1" applyAlignment="1">
      <alignment horizontal="centerContinuous" vertical="center"/>
    </xf>
    <xf numFmtId="0" fontId="1" fillId="5" borderId="0" xfId="0" applyFont="1" applyFill="1" applyAlignment="1">
      <alignment horizontal="right" vertical="center"/>
    </xf>
    <xf numFmtId="9" fontId="1" fillId="5" borderId="0" xfId="0" applyNumberFormat="1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10" fontId="1" fillId="5" borderId="0" xfId="0" applyNumberFormat="1" applyFont="1" applyFill="1" applyAlignment="1">
      <alignment vertical="center"/>
    </xf>
    <xf numFmtId="7" fontId="0" fillId="0" borderId="0" xfId="0" applyNumberFormat="1"/>
    <xf numFmtId="0" fontId="1" fillId="0" borderId="2" xfId="0" applyFont="1" applyBorder="1" applyAlignment="1">
      <alignment vertical="center"/>
    </xf>
    <xf numFmtId="166" fontId="1" fillId="0" borderId="2" xfId="0" applyNumberFormat="1" applyFont="1" applyBorder="1" applyAlignment="1">
      <alignment vertical="center"/>
    </xf>
    <xf numFmtId="41" fontId="0" fillId="0" borderId="0" xfId="0" applyNumberFormat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9A6B-26DA-AF4B-8323-78BF54F2E06A}">
  <dimension ref="A1:R62"/>
  <sheetViews>
    <sheetView tabSelected="1" topLeftCell="A28" zoomScale="79" zoomScaleNormal="100" workbookViewId="0">
      <selection activeCell="L49" sqref="L49"/>
    </sheetView>
  </sheetViews>
  <sheetFormatPr baseColWidth="10" defaultRowHeight="16" x14ac:dyDescent="0.2"/>
  <cols>
    <col min="1" max="1" width="34" bestFit="1" customWidth="1"/>
    <col min="2" max="2" width="8.83203125" bestFit="1" customWidth="1"/>
    <col min="3" max="3" width="12.6640625" bestFit="1" customWidth="1"/>
    <col min="4" max="9" width="11.33203125" bestFit="1" customWidth="1"/>
    <col min="10" max="12" width="12.33203125" bestFit="1" customWidth="1"/>
    <col min="13" max="13" width="15.1640625" bestFit="1" customWidth="1"/>
    <col min="14" max="14" width="12.33203125" bestFit="1" customWidth="1"/>
    <col min="16" max="16" width="31.1640625" bestFit="1" customWidth="1"/>
    <col min="18" max="18" width="12.1640625" bestFit="1" customWidth="1"/>
  </cols>
  <sheetData>
    <row r="1" spans="1:8" ht="23" x14ac:dyDescent="0.2">
      <c r="A1" s="17" t="s">
        <v>41</v>
      </c>
      <c r="B1" s="17"/>
      <c r="C1" s="17"/>
      <c r="D1" s="17"/>
      <c r="E1" s="17"/>
      <c r="F1" s="17"/>
      <c r="G1" s="17"/>
      <c r="H1" s="17"/>
    </row>
    <row r="2" spans="1:8" x14ac:dyDescent="0.2">
      <c r="A2" s="26" t="s">
        <v>20</v>
      </c>
      <c r="B2" s="26"/>
      <c r="C2" s="26"/>
      <c r="D2" s="26"/>
      <c r="E2" s="26"/>
    </row>
    <row r="3" spans="1:8" x14ac:dyDescent="0.2">
      <c r="A3" s="15"/>
      <c r="B3" s="15" t="s">
        <v>19</v>
      </c>
      <c r="C3" s="15" t="s">
        <v>17</v>
      </c>
      <c r="D3" s="15" t="s">
        <v>16</v>
      </c>
      <c r="E3" s="15"/>
    </row>
    <row r="4" spans="1:8" x14ac:dyDescent="0.2">
      <c r="A4" s="15" t="s">
        <v>22</v>
      </c>
      <c r="B4" s="15">
        <f>SUM(B5:B7)</f>
        <v>3500000</v>
      </c>
      <c r="C4" s="15">
        <v>3500000</v>
      </c>
      <c r="D4" s="15">
        <v>3500000</v>
      </c>
      <c r="E4" s="15"/>
    </row>
    <row r="5" spans="1:8" x14ac:dyDescent="0.2">
      <c r="A5" s="18" t="s">
        <v>23</v>
      </c>
      <c r="B5" s="15">
        <v>1275000</v>
      </c>
      <c r="C5" s="15">
        <v>1275000</v>
      </c>
      <c r="D5" s="15">
        <v>1275000</v>
      </c>
      <c r="E5" s="15"/>
    </row>
    <row r="6" spans="1:8" x14ac:dyDescent="0.2">
      <c r="A6" s="18" t="s">
        <v>24</v>
      </c>
      <c r="B6" s="15">
        <v>2000000</v>
      </c>
      <c r="C6" s="15">
        <v>2000000</v>
      </c>
      <c r="D6" s="15">
        <v>2000000</v>
      </c>
      <c r="E6" s="15"/>
    </row>
    <row r="7" spans="1:8" x14ac:dyDescent="0.2">
      <c r="A7" s="18" t="s">
        <v>40</v>
      </c>
      <c r="B7" s="15">
        <v>225000</v>
      </c>
      <c r="C7" s="15">
        <v>225000</v>
      </c>
      <c r="D7" s="15">
        <v>225000</v>
      </c>
      <c r="E7" s="15"/>
    </row>
    <row r="8" spans="1:8" x14ac:dyDescent="0.2">
      <c r="A8" s="20" t="s">
        <v>28</v>
      </c>
      <c r="B8" s="15">
        <v>50000</v>
      </c>
      <c r="C8" s="15">
        <v>50000</v>
      </c>
      <c r="D8" s="15">
        <v>50000</v>
      </c>
      <c r="E8" s="15"/>
    </row>
    <row r="9" spans="1:8" x14ac:dyDescent="0.2">
      <c r="A9" s="15" t="s">
        <v>25</v>
      </c>
      <c r="B9" s="15">
        <v>500</v>
      </c>
      <c r="C9" s="15">
        <v>500</v>
      </c>
      <c r="D9" s="15">
        <v>500</v>
      </c>
      <c r="E9" s="15"/>
    </row>
    <row r="10" spans="1:8" x14ac:dyDescent="0.2">
      <c r="A10" s="15" t="s">
        <v>26</v>
      </c>
      <c r="B10" s="15">
        <v>100</v>
      </c>
      <c r="C10" s="15">
        <v>120</v>
      </c>
      <c r="D10" s="15">
        <v>80</v>
      </c>
      <c r="E10" s="15"/>
    </row>
    <row r="11" spans="1:8" x14ac:dyDescent="0.2">
      <c r="A11" s="15" t="s">
        <v>31</v>
      </c>
      <c r="B11" s="15">
        <f>B9*B10*12</f>
        <v>600000</v>
      </c>
      <c r="C11" s="15">
        <f t="shared" ref="C11:D11" si="0">C9*C10*12</f>
        <v>720000</v>
      </c>
      <c r="D11" s="15">
        <f t="shared" si="0"/>
        <v>480000</v>
      </c>
      <c r="E11" s="15"/>
    </row>
    <row r="12" spans="1:8" x14ac:dyDescent="0.2">
      <c r="A12" s="15" t="s">
        <v>27</v>
      </c>
      <c r="B12" s="19">
        <v>0.05</v>
      </c>
      <c r="C12" s="19">
        <v>0.06</v>
      </c>
      <c r="D12" s="19">
        <v>0.04</v>
      </c>
      <c r="E12" s="15"/>
    </row>
    <row r="13" spans="1:8" x14ac:dyDescent="0.2">
      <c r="A13" s="15" t="s">
        <v>29</v>
      </c>
      <c r="B13" s="15">
        <v>5</v>
      </c>
      <c r="C13" s="15">
        <v>6</v>
      </c>
      <c r="D13" s="15">
        <v>4</v>
      </c>
      <c r="E13" s="15"/>
    </row>
    <row r="14" spans="1:8" x14ac:dyDescent="0.2">
      <c r="A14" s="15" t="s">
        <v>30</v>
      </c>
      <c r="B14" s="15">
        <f>B8*B13</f>
        <v>250000</v>
      </c>
      <c r="C14" s="15">
        <f t="shared" ref="C14:D14" si="1">C8*C13</f>
        <v>300000</v>
      </c>
      <c r="D14" s="15">
        <f t="shared" si="1"/>
        <v>200000</v>
      </c>
      <c r="E14" s="15"/>
    </row>
    <row r="15" spans="1:8" x14ac:dyDescent="0.2">
      <c r="A15" s="15" t="s">
        <v>33</v>
      </c>
      <c r="B15" s="19">
        <v>0.03</v>
      </c>
      <c r="C15" s="19">
        <v>0.03</v>
      </c>
      <c r="D15" s="19">
        <v>0.03</v>
      </c>
      <c r="E15" s="15"/>
    </row>
    <row r="16" spans="1:8" x14ac:dyDescent="0.2">
      <c r="A16" s="15" t="s">
        <v>32</v>
      </c>
      <c r="B16" s="15">
        <f>B11-B14</f>
        <v>350000</v>
      </c>
      <c r="C16" s="15">
        <f t="shared" ref="C16:D16" si="2">C11-C14</f>
        <v>420000</v>
      </c>
      <c r="D16" s="15">
        <f t="shared" si="2"/>
        <v>280000</v>
      </c>
      <c r="E16" s="15"/>
    </row>
    <row r="17" spans="1:18" x14ac:dyDescent="0.2">
      <c r="A17" s="15"/>
      <c r="B17" s="15"/>
      <c r="C17" s="16"/>
      <c r="D17" s="15"/>
      <c r="E17" s="15"/>
    </row>
    <row r="18" spans="1:18" x14ac:dyDescent="0.2">
      <c r="A18" s="15" t="s">
        <v>36</v>
      </c>
      <c r="B18" s="19">
        <v>0.65</v>
      </c>
      <c r="C18" s="19">
        <v>0.65</v>
      </c>
      <c r="D18" s="19">
        <v>0.65</v>
      </c>
      <c r="E18" s="15"/>
    </row>
    <row r="19" spans="1:18" x14ac:dyDescent="0.2">
      <c r="A19" s="15" t="s">
        <v>37</v>
      </c>
      <c r="B19" s="15">
        <f>B18*B4</f>
        <v>2275000</v>
      </c>
      <c r="C19" s="15">
        <f t="shared" ref="C19:D19" si="3">C18*C4</f>
        <v>2275000</v>
      </c>
      <c r="D19" s="15">
        <f t="shared" si="3"/>
        <v>2275000</v>
      </c>
      <c r="E19" s="15"/>
    </row>
    <row r="20" spans="1:18" x14ac:dyDescent="0.2">
      <c r="A20" s="15" t="s">
        <v>21</v>
      </c>
      <c r="B20" s="15">
        <f>B4-B19</f>
        <v>1225000</v>
      </c>
      <c r="C20" s="15">
        <f t="shared" ref="C20:D20" si="4">C4-C19</f>
        <v>1225000</v>
      </c>
      <c r="D20" s="15">
        <f t="shared" si="4"/>
        <v>1225000</v>
      </c>
      <c r="E20" s="15"/>
    </row>
    <row r="21" spans="1:18" x14ac:dyDescent="0.2">
      <c r="A21" s="15" t="s">
        <v>38</v>
      </c>
      <c r="B21" s="21">
        <v>7.0000000000000007E-2</v>
      </c>
      <c r="C21" s="21">
        <v>6.5000000000000002E-2</v>
      </c>
      <c r="D21" s="21">
        <v>7.4999999999999997E-2</v>
      </c>
      <c r="E21" s="15"/>
    </row>
    <row r="22" spans="1:18" x14ac:dyDescent="0.2">
      <c r="A22" s="15" t="s">
        <v>39</v>
      </c>
      <c r="B22" s="19">
        <v>0.05</v>
      </c>
      <c r="C22" s="19">
        <v>0.06</v>
      </c>
      <c r="D22" s="19">
        <v>0.04</v>
      </c>
      <c r="E22" s="15"/>
    </row>
    <row r="23" spans="1:18" x14ac:dyDescent="0.2">
      <c r="A23" s="15"/>
      <c r="B23" s="15"/>
      <c r="C23" s="15"/>
      <c r="D23" s="15"/>
      <c r="E23" s="15"/>
    </row>
    <row r="25" spans="1:18" x14ac:dyDescent="0.2">
      <c r="A25" s="14" t="s">
        <v>19</v>
      </c>
    </row>
    <row r="26" spans="1:18" x14ac:dyDescent="0.2">
      <c r="A26" s="13" t="s">
        <v>15</v>
      </c>
      <c r="B26" s="13"/>
      <c r="C26" s="13">
        <v>0</v>
      </c>
      <c r="D26" s="13">
        <f t="shared" ref="D26:I26" si="5">C26+1</f>
        <v>1</v>
      </c>
      <c r="E26" s="13">
        <f t="shared" si="5"/>
        <v>2</v>
      </c>
      <c r="F26" s="13">
        <f t="shared" si="5"/>
        <v>3</v>
      </c>
      <c r="G26" s="13">
        <f t="shared" si="5"/>
        <v>4</v>
      </c>
      <c r="H26" s="13">
        <f t="shared" si="5"/>
        <v>5</v>
      </c>
      <c r="I26" s="13">
        <f t="shared" si="5"/>
        <v>6</v>
      </c>
      <c r="J26" s="13">
        <f t="shared" ref="J26:L26" si="6">I26+1</f>
        <v>7</v>
      </c>
      <c r="K26" s="13">
        <f t="shared" si="6"/>
        <v>8</v>
      </c>
      <c r="L26" s="13">
        <f t="shared" si="6"/>
        <v>9</v>
      </c>
      <c r="M26" s="13">
        <f>L26+1</f>
        <v>10</v>
      </c>
      <c r="N26" s="13">
        <f>M26+1</f>
        <v>11</v>
      </c>
      <c r="P26" s="2" t="s">
        <v>14</v>
      </c>
      <c r="Q26" s="2"/>
      <c r="R26" s="11">
        <f>IRR(C34:M34)</f>
        <v>0.33378213780706978</v>
      </c>
    </row>
    <row r="27" spans="1:18" x14ac:dyDescent="0.2">
      <c r="A27" s="3"/>
      <c r="B27" s="3"/>
      <c r="C27" s="3"/>
      <c r="D27" s="3"/>
      <c r="E27" s="3"/>
      <c r="F27" s="3"/>
      <c r="G27" s="3"/>
      <c r="H27" s="3"/>
      <c r="P27" s="2" t="s">
        <v>13</v>
      </c>
      <c r="Q27" s="2"/>
      <c r="R27" s="11">
        <f>D35</f>
        <v>0.19285714285714287</v>
      </c>
    </row>
    <row r="28" spans="1:18" x14ac:dyDescent="0.2">
      <c r="A28" s="3" t="s">
        <v>34</v>
      </c>
      <c r="B28" s="3"/>
      <c r="C28" s="12">
        <v>0</v>
      </c>
      <c r="D28" s="12">
        <f>B11</f>
        <v>600000</v>
      </c>
      <c r="E28" s="12">
        <f>D28*(1+$B$12)</f>
        <v>630000</v>
      </c>
      <c r="F28" s="12">
        <f>E28*(1+$B$12)</f>
        <v>661500</v>
      </c>
      <c r="G28" s="12">
        <f t="shared" ref="G28:H28" si="7">F28*(1+$B$12)</f>
        <v>694575</v>
      </c>
      <c r="H28" s="12">
        <f t="shared" si="7"/>
        <v>729303.75</v>
      </c>
      <c r="I28" s="12">
        <f t="shared" ref="I28" si="8">H28*(1+$B$12)</f>
        <v>765768.9375</v>
      </c>
      <c r="J28" s="12">
        <f t="shared" ref="J28" si="9">I28*(1+$B$12)</f>
        <v>804057.38437500002</v>
      </c>
      <c r="K28" s="12">
        <f t="shared" ref="K28" si="10">J28*(1+$B$12)</f>
        <v>844260.25359375007</v>
      </c>
      <c r="L28" s="12">
        <f t="shared" ref="L28" si="11">K28*(1+$B$12)</f>
        <v>886473.26627343765</v>
      </c>
      <c r="M28" s="12">
        <f t="shared" ref="M28" si="12">L28*(1+$B$12)</f>
        <v>930796.9295871096</v>
      </c>
      <c r="N28" s="12">
        <f t="shared" ref="N28" si="13">M28*(1+$B$12)</f>
        <v>977336.77606646507</v>
      </c>
      <c r="P28" s="2" t="s">
        <v>11</v>
      </c>
      <c r="Q28" s="2"/>
      <c r="R28" s="11">
        <f>AVERAGE(D35:M35)</f>
        <v>0.28924617905809097</v>
      </c>
    </row>
    <row r="29" spans="1:18" x14ac:dyDescent="0.2">
      <c r="A29" s="3" t="s">
        <v>35</v>
      </c>
      <c r="B29" s="3"/>
      <c r="C29" s="12"/>
      <c r="D29" s="12">
        <f>B14*-1</f>
        <v>-250000</v>
      </c>
      <c r="E29" s="12">
        <f>D29*(1+$B$15)</f>
        <v>-257500</v>
      </c>
      <c r="F29" s="12">
        <f t="shared" ref="F29:H29" si="14">E29*(1+$B$15)</f>
        <v>-265225</v>
      </c>
      <c r="G29" s="12">
        <f t="shared" si="14"/>
        <v>-273181.75</v>
      </c>
      <c r="H29" s="12">
        <f t="shared" si="14"/>
        <v>-281377.20250000001</v>
      </c>
      <c r="I29" s="12">
        <f t="shared" ref="I29" si="15">H29*(1+$B$15)</f>
        <v>-289818.51857499999</v>
      </c>
      <c r="J29" s="12">
        <f t="shared" ref="J29" si="16">I29*(1+$B$15)</f>
        <v>-298513.07413224998</v>
      </c>
      <c r="K29" s="12">
        <f t="shared" ref="K29" si="17">J29*(1+$B$15)</f>
        <v>-307468.46635621751</v>
      </c>
      <c r="L29" s="12">
        <f t="shared" ref="L29" si="18">K29*(1+$B$15)</f>
        <v>-316692.52034690406</v>
      </c>
      <c r="M29" s="12">
        <f t="shared" ref="M29:N29" si="19">L29*(1+$B$15)</f>
        <v>-326193.29595731117</v>
      </c>
      <c r="N29" s="12">
        <f t="shared" si="19"/>
        <v>-335979.0948360305</v>
      </c>
      <c r="P29" s="2" t="s">
        <v>9</v>
      </c>
      <c r="Q29" s="2"/>
      <c r="R29" s="1">
        <f>SUM(D34:M34)/SUM(C31:C32)*-1</f>
        <v>8.5147088020145496</v>
      </c>
    </row>
    <row r="30" spans="1:18" x14ac:dyDescent="0.2">
      <c r="A30" s="23" t="s">
        <v>12</v>
      </c>
      <c r="B30" s="23"/>
      <c r="C30" s="24"/>
      <c r="D30" s="24">
        <f>SUM(D28:D29)</f>
        <v>350000</v>
      </c>
      <c r="E30" s="24">
        <f t="shared" ref="E30:N30" si="20">SUM(E28:E29)</f>
        <v>372500</v>
      </c>
      <c r="F30" s="24">
        <f t="shared" si="20"/>
        <v>396275</v>
      </c>
      <c r="G30" s="24">
        <f t="shared" si="20"/>
        <v>421393.25</v>
      </c>
      <c r="H30" s="24">
        <f t="shared" si="20"/>
        <v>447926.54749999999</v>
      </c>
      <c r="I30" s="24">
        <f t="shared" si="20"/>
        <v>475950.41892500001</v>
      </c>
      <c r="J30" s="24">
        <f t="shared" si="20"/>
        <v>505544.31024275004</v>
      </c>
      <c r="K30" s="24">
        <f t="shared" si="20"/>
        <v>536791.78723753255</v>
      </c>
      <c r="L30" s="24">
        <f t="shared" si="20"/>
        <v>569780.74592653359</v>
      </c>
      <c r="M30" s="24">
        <f t="shared" si="20"/>
        <v>604603.63362979842</v>
      </c>
      <c r="N30" s="24">
        <f t="shared" si="20"/>
        <v>641357.68123043457</v>
      </c>
      <c r="P30" s="2" t="s">
        <v>7</v>
      </c>
      <c r="Q30" s="2"/>
      <c r="R30" s="4">
        <f>SUM(D34:M34)</f>
        <v>10430518.282467823</v>
      </c>
    </row>
    <row r="31" spans="1:18" x14ac:dyDescent="0.2">
      <c r="A31" s="3" t="s">
        <v>10</v>
      </c>
      <c r="B31" s="3"/>
      <c r="C31" s="10">
        <f>-B4</f>
        <v>-3500000</v>
      </c>
      <c r="D31" s="9"/>
      <c r="E31" s="9"/>
      <c r="F31" s="9"/>
      <c r="G31" s="9"/>
      <c r="H31" s="10"/>
      <c r="M31" s="22">
        <f>N30/B21</f>
        <v>9162252.5890062079</v>
      </c>
      <c r="P31" s="2" t="s">
        <v>5</v>
      </c>
      <c r="Q31" s="2"/>
      <c r="R31" s="4">
        <f>SUM(D34:L34)+(M30+M33)</f>
        <v>3543265.6934616142</v>
      </c>
    </row>
    <row r="32" spans="1:18" x14ac:dyDescent="0.2">
      <c r="A32" s="3" t="s">
        <v>8</v>
      </c>
      <c r="B32" s="3"/>
      <c r="C32" s="9">
        <f>B19</f>
        <v>2275000</v>
      </c>
      <c r="D32" s="9"/>
      <c r="E32" s="9"/>
      <c r="F32" s="9"/>
      <c r="G32" s="9"/>
      <c r="H32" s="9"/>
      <c r="M32" s="25">
        <f>-C32</f>
        <v>-2275000</v>
      </c>
      <c r="P32" s="2" t="s">
        <v>3</v>
      </c>
      <c r="Q32" s="2"/>
      <c r="R32" s="4">
        <f>M31+C31</f>
        <v>5662252.5890062079</v>
      </c>
    </row>
    <row r="33" spans="1:18" x14ac:dyDescent="0.2">
      <c r="A33" s="8" t="s">
        <v>6</v>
      </c>
      <c r="B33" s="8"/>
      <c r="C33" s="7"/>
      <c r="D33" s="7">
        <f>-$B$22*$B$19</f>
        <v>-113750</v>
      </c>
      <c r="E33" s="7">
        <f t="shared" ref="E33:M33" si="21">-$B$22*$B$19</f>
        <v>-113750</v>
      </c>
      <c r="F33" s="7">
        <f t="shared" si="21"/>
        <v>-113750</v>
      </c>
      <c r="G33" s="7">
        <f t="shared" si="21"/>
        <v>-113750</v>
      </c>
      <c r="H33" s="7">
        <f t="shared" si="21"/>
        <v>-113750</v>
      </c>
      <c r="I33" s="7">
        <f t="shared" si="21"/>
        <v>-113750</v>
      </c>
      <c r="J33" s="7">
        <f t="shared" si="21"/>
        <v>-113750</v>
      </c>
      <c r="K33" s="7">
        <f t="shared" si="21"/>
        <v>-113750</v>
      </c>
      <c r="L33" s="7">
        <f t="shared" si="21"/>
        <v>-113750</v>
      </c>
      <c r="M33" s="7">
        <f t="shared" si="21"/>
        <v>-113750</v>
      </c>
      <c r="P33" s="2" t="s">
        <v>1</v>
      </c>
      <c r="Q33" s="2"/>
      <c r="R33" s="4">
        <f>SUM(R31:R32)</f>
        <v>9205518.2824678216</v>
      </c>
    </row>
    <row r="34" spans="1:18" x14ac:dyDescent="0.2">
      <c r="A34" s="3" t="s">
        <v>4</v>
      </c>
      <c r="C34" s="6">
        <f>SUM(C30:C33)</f>
        <v>-1225000</v>
      </c>
      <c r="D34" s="6">
        <f t="shared" ref="D34:M34" si="22">SUM(D30:D33)</f>
        <v>236250</v>
      </c>
      <c r="E34" s="6">
        <f t="shared" si="22"/>
        <v>258750</v>
      </c>
      <c r="F34" s="6">
        <f t="shared" si="22"/>
        <v>282525</v>
      </c>
      <c r="G34" s="6">
        <f t="shared" si="22"/>
        <v>307643.25</v>
      </c>
      <c r="H34" s="6">
        <f t="shared" si="22"/>
        <v>334176.54749999999</v>
      </c>
      <c r="I34" s="6">
        <f t="shared" si="22"/>
        <v>362200.41892500001</v>
      </c>
      <c r="J34" s="6">
        <f t="shared" si="22"/>
        <v>391794.31024275004</v>
      </c>
      <c r="K34" s="6">
        <f t="shared" si="22"/>
        <v>423041.78723753255</v>
      </c>
      <c r="L34" s="6">
        <f t="shared" si="22"/>
        <v>456030.74592653359</v>
      </c>
      <c r="M34" s="6">
        <f t="shared" si="22"/>
        <v>7378106.2226360068</v>
      </c>
      <c r="P34" s="2" t="s">
        <v>0</v>
      </c>
      <c r="Q34" s="2"/>
      <c r="R34" s="1">
        <f>SUM(M31:M32)/SUM(C31:C32)*-1</f>
        <v>5.6222470114336387</v>
      </c>
    </row>
    <row r="35" spans="1:18" x14ac:dyDescent="0.2">
      <c r="A35" s="3" t="s">
        <v>2</v>
      </c>
      <c r="C35" s="5"/>
      <c r="D35" s="5">
        <f>D34/$B$20</f>
        <v>0.19285714285714287</v>
      </c>
      <c r="E35" s="5">
        <f t="shared" ref="E35:L35" si="23">E34/$B$20</f>
        <v>0.21122448979591837</v>
      </c>
      <c r="F35" s="5">
        <f t="shared" si="23"/>
        <v>0.23063265306122449</v>
      </c>
      <c r="G35" s="5">
        <f t="shared" si="23"/>
        <v>0.25113734693877549</v>
      </c>
      <c r="H35" s="5">
        <f t="shared" si="23"/>
        <v>0.27279718163265304</v>
      </c>
      <c r="I35" s="5">
        <f t="shared" si="23"/>
        <v>0.29567381136734694</v>
      </c>
      <c r="J35" s="5">
        <f t="shared" si="23"/>
        <v>0.31983208999408169</v>
      </c>
      <c r="K35" s="5">
        <f t="shared" si="23"/>
        <v>0.34534023447961842</v>
      </c>
      <c r="L35" s="5">
        <f t="shared" si="23"/>
        <v>0.37226999667472133</v>
      </c>
      <c r="M35" s="5">
        <f>(M30+M33)/B20</f>
        <v>0.40069684377942727</v>
      </c>
    </row>
    <row r="36" spans="1:18" x14ac:dyDescent="0.2">
      <c r="A36" s="3" t="s">
        <v>18</v>
      </c>
    </row>
    <row r="38" spans="1:18" x14ac:dyDescent="0.2">
      <c r="A38" s="14" t="s">
        <v>17</v>
      </c>
    </row>
    <row r="39" spans="1:18" x14ac:dyDescent="0.2">
      <c r="A39" s="13" t="s">
        <v>15</v>
      </c>
      <c r="B39" s="13"/>
      <c r="C39" s="13">
        <v>0</v>
      </c>
      <c r="D39" s="13">
        <f t="shared" ref="D39:I39" si="24">C39+1</f>
        <v>1</v>
      </c>
      <c r="E39" s="13">
        <f t="shared" si="24"/>
        <v>2</v>
      </c>
      <c r="F39" s="13">
        <f t="shared" si="24"/>
        <v>3</v>
      </c>
      <c r="G39" s="13">
        <f t="shared" si="24"/>
        <v>4</v>
      </c>
      <c r="H39" s="13">
        <f t="shared" si="24"/>
        <v>5</v>
      </c>
      <c r="I39" s="13">
        <f t="shared" si="24"/>
        <v>6</v>
      </c>
      <c r="J39" s="13">
        <f t="shared" ref="J39" si="25">I39+1</f>
        <v>7</v>
      </c>
      <c r="K39" s="13">
        <f t="shared" ref="K39" si="26">J39+1</f>
        <v>8</v>
      </c>
      <c r="L39" s="13">
        <f t="shared" ref="L39" si="27">K39+1</f>
        <v>9</v>
      </c>
      <c r="M39" s="13">
        <f>L39+1</f>
        <v>10</v>
      </c>
      <c r="N39" s="13">
        <f>M39+1</f>
        <v>11</v>
      </c>
      <c r="P39" s="2" t="s">
        <v>14</v>
      </c>
      <c r="Q39" s="2"/>
      <c r="R39" s="11">
        <f>IRR(C47:M47)</f>
        <v>0.41036049610248893</v>
      </c>
    </row>
    <row r="40" spans="1:18" x14ac:dyDescent="0.2">
      <c r="A40" s="3"/>
      <c r="B40" s="3"/>
      <c r="C40" s="3"/>
      <c r="D40" s="3"/>
      <c r="E40" s="3"/>
      <c r="F40" s="3"/>
      <c r="G40" s="3"/>
      <c r="H40" s="3"/>
      <c r="P40" s="2" t="s">
        <v>13</v>
      </c>
      <c r="Q40" s="2"/>
      <c r="R40" s="11">
        <f>D48</f>
        <v>0.23142857142857143</v>
      </c>
    </row>
    <row r="41" spans="1:18" x14ac:dyDescent="0.2">
      <c r="A41" s="3" t="s">
        <v>34</v>
      </c>
      <c r="B41" s="3"/>
      <c r="C41" s="12">
        <v>0</v>
      </c>
      <c r="D41" s="12">
        <f>C11</f>
        <v>720000</v>
      </c>
      <c r="E41" s="12">
        <f>D41*(1+$C$12)</f>
        <v>763200</v>
      </c>
      <c r="F41" s="12">
        <f t="shared" ref="F41:N41" si="28">E41*(1+$C$12)</f>
        <v>808992</v>
      </c>
      <c r="G41" s="12">
        <f t="shared" si="28"/>
        <v>857531.52</v>
      </c>
      <c r="H41" s="12">
        <f t="shared" si="28"/>
        <v>908983.41120000009</v>
      </c>
      <c r="I41" s="12">
        <f t="shared" si="28"/>
        <v>963522.41587200016</v>
      </c>
      <c r="J41" s="12">
        <f t="shared" si="28"/>
        <v>1021333.7608243203</v>
      </c>
      <c r="K41" s="12">
        <f t="shared" si="28"/>
        <v>1082613.7864737795</v>
      </c>
      <c r="L41" s="12">
        <f t="shared" si="28"/>
        <v>1147570.6136622063</v>
      </c>
      <c r="M41" s="12">
        <f t="shared" si="28"/>
        <v>1216424.8504819388</v>
      </c>
      <c r="N41" s="12">
        <f t="shared" si="28"/>
        <v>1289410.3415108551</v>
      </c>
      <c r="P41" s="2" t="s">
        <v>11</v>
      </c>
      <c r="Q41" s="2"/>
      <c r="R41" s="11">
        <f>AVERAGE(D48:M48)</f>
        <v>0.38253131143453267</v>
      </c>
    </row>
    <row r="42" spans="1:18" x14ac:dyDescent="0.2">
      <c r="A42" s="3" t="s">
        <v>35</v>
      </c>
      <c r="B42" s="3"/>
      <c r="C42" s="12"/>
      <c r="D42" s="12">
        <f>-C14</f>
        <v>-300000</v>
      </c>
      <c r="E42" s="12">
        <f>D42*(1+$C$15)</f>
        <v>-309000</v>
      </c>
      <c r="F42" s="12">
        <f t="shared" ref="F42:N42" si="29">E42*(1+$C$15)</f>
        <v>-318270</v>
      </c>
      <c r="G42" s="12">
        <f t="shared" si="29"/>
        <v>-327818.10000000003</v>
      </c>
      <c r="H42" s="12">
        <f t="shared" si="29"/>
        <v>-337652.64300000004</v>
      </c>
      <c r="I42" s="12">
        <f t="shared" si="29"/>
        <v>-347782.22229000006</v>
      </c>
      <c r="J42" s="12">
        <f t="shared" si="29"/>
        <v>-358215.68895870005</v>
      </c>
      <c r="K42" s="12">
        <f t="shared" si="29"/>
        <v>-368962.15962746105</v>
      </c>
      <c r="L42" s="12">
        <f t="shared" si="29"/>
        <v>-380031.02441628487</v>
      </c>
      <c r="M42" s="12">
        <f t="shared" si="29"/>
        <v>-391431.95514877344</v>
      </c>
      <c r="N42" s="12">
        <f t="shared" si="29"/>
        <v>-403174.91380323668</v>
      </c>
      <c r="P42" s="2" t="s">
        <v>9</v>
      </c>
      <c r="Q42" s="2"/>
      <c r="R42" s="1">
        <f>SUM(D47:M47)/SUM(C44:C45)*-1</f>
        <v>13.098285518836608</v>
      </c>
    </row>
    <row r="43" spans="1:18" x14ac:dyDescent="0.2">
      <c r="A43" s="23" t="s">
        <v>12</v>
      </c>
      <c r="B43" s="23"/>
      <c r="C43" s="24"/>
      <c r="D43" s="24">
        <f>SUM(D41:D42)</f>
        <v>420000</v>
      </c>
      <c r="E43" s="24">
        <f t="shared" ref="E43:N43" si="30">SUM(E41:E42)</f>
        <v>454200</v>
      </c>
      <c r="F43" s="24">
        <f t="shared" si="30"/>
        <v>490722</v>
      </c>
      <c r="G43" s="24">
        <f t="shared" si="30"/>
        <v>529713.41999999993</v>
      </c>
      <c r="H43" s="24">
        <f t="shared" si="30"/>
        <v>571330.76820000005</v>
      </c>
      <c r="I43" s="24">
        <f t="shared" si="30"/>
        <v>615740.19358200009</v>
      </c>
      <c r="J43" s="24">
        <f t="shared" si="30"/>
        <v>663118.07186562021</v>
      </c>
      <c r="K43" s="24">
        <f t="shared" si="30"/>
        <v>713651.62684631837</v>
      </c>
      <c r="L43" s="24">
        <f t="shared" si="30"/>
        <v>767539.58924592147</v>
      </c>
      <c r="M43" s="24">
        <f t="shared" si="30"/>
        <v>824992.8953331653</v>
      </c>
      <c r="N43" s="24">
        <f t="shared" si="30"/>
        <v>886235.42770761845</v>
      </c>
      <c r="P43" s="2" t="s">
        <v>7</v>
      </c>
      <c r="Q43" s="2"/>
      <c r="R43" s="4">
        <f>SUM(D47:M47)</f>
        <v>16045399.760574846</v>
      </c>
    </row>
    <row r="44" spans="1:18" x14ac:dyDescent="0.2">
      <c r="A44" s="3" t="s">
        <v>10</v>
      </c>
      <c r="B44" s="3"/>
      <c r="C44" s="10">
        <f>-C4</f>
        <v>-3500000</v>
      </c>
      <c r="D44" s="9"/>
      <c r="E44" s="9"/>
      <c r="F44" s="9"/>
      <c r="G44" s="9"/>
      <c r="H44" s="10"/>
      <c r="M44" s="22">
        <f>N43/C21</f>
        <v>13634391.195501821</v>
      </c>
      <c r="P44" s="2" t="s">
        <v>5</v>
      </c>
      <c r="Q44" s="2"/>
      <c r="R44" s="4">
        <f>SUM(D47:L47)+SUM(M43+M46)</f>
        <v>4686008.5650730245</v>
      </c>
    </row>
    <row r="45" spans="1:18" x14ac:dyDescent="0.2">
      <c r="A45" s="3" t="s">
        <v>8</v>
      </c>
      <c r="B45" s="3"/>
      <c r="C45" s="9">
        <f>C19</f>
        <v>2275000</v>
      </c>
      <c r="D45" s="9"/>
      <c r="E45" s="9"/>
      <c r="F45" s="9"/>
      <c r="G45" s="9"/>
      <c r="H45" s="9"/>
      <c r="M45" s="25">
        <f>-C45</f>
        <v>-2275000</v>
      </c>
      <c r="P45" s="2" t="s">
        <v>3</v>
      </c>
      <c r="Q45" s="2"/>
      <c r="R45" s="4">
        <f>M44+C44</f>
        <v>10134391.195501821</v>
      </c>
    </row>
    <row r="46" spans="1:18" x14ac:dyDescent="0.2">
      <c r="A46" s="8" t="s">
        <v>6</v>
      </c>
      <c r="B46" s="8"/>
      <c r="C46" s="7"/>
      <c r="D46" s="7">
        <f>-$C$22*$C$19</f>
        <v>-136500</v>
      </c>
      <c r="E46" s="7">
        <f t="shared" ref="E46:M46" si="31">-$C$22*$C$19</f>
        <v>-136500</v>
      </c>
      <c r="F46" s="7">
        <f t="shared" si="31"/>
        <v>-136500</v>
      </c>
      <c r="G46" s="7">
        <f t="shared" si="31"/>
        <v>-136500</v>
      </c>
      <c r="H46" s="7">
        <f t="shared" si="31"/>
        <v>-136500</v>
      </c>
      <c r="I46" s="7">
        <f t="shared" si="31"/>
        <v>-136500</v>
      </c>
      <c r="J46" s="7">
        <f t="shared" si="31"/>
        <v>-136500</v>
      </c>
      <c r="K46" s="7">
        <f t="shared" si="31"/>
        <v>-136500</v>
      </c>
      <c r="L46" s="7">
        <f t="shared" si="31"/>
        <v>-136500</v>
      </c>
      <c r="M46" s="7">
        <f t="shared" si="31"/>
        <v>-136500</v>
      </c>
      <c r="P46" s="2" t="s">
        <v>1</v>
      </c>
      <c r="Q46" s="2"/>
      <c r="R46" s="4">
        <f>SUM(R44:R45)</f>
        <v>14820399.760574846</v>
      </c>
    </row>
    <row r="47" spans="1:18" x14ac:dyDescent="0.2">
      <c r="A47" s="3" t="s">
        <v>4</v>
      </c>
      <c r="C47" s="6">
        <f>SUM(C43:C46)</f>
        <v>-1225000</v>
      </c>
      <c r="D47" s="6">
        <f t="shared" ref="D47" si="32">SUM(D43:D46)</f>
        <v>283500</v>
      </c>
      <c r="E47" s="6">
        <f t="shared" ref="E47" si="33">SUM(E43:E46)</f>
        <v>317700</v>
      </c>
      <c r="F47" s="6">
        <f t="shared" ref="F47" si="34">SUM(F43:F46)</f>
        <v>354222</v>
      </c>
      <c r="G47" s="6">
        <f t="shared" ref="G47" si="35">SUM(G43:G46)</f>
        <v>393213.41999999993</v>
      </c>
      <c r="H47" s="6">
        <f t="shared" ref="H47" si="36">SUM(H43:H46)</f>
        <v>434830.76820000005</v>
      </c>
      <c r="I47" s="6">
        <f t="shared" ref="I47" si="37">SUM(I43:I46)</f>
        <v>479240.19358200009</v>
      </c>
      <c r="J47" s="6">
        <f t="shared" ref="J47" si="38">SUM(J43:J46)</f>
        <v>526618.07186562021</v>
      </c>
      <c r="K47" s="6">
        <f t="shared" ref="K47" si="39">SUM(K43:K46)</f>
        <v>577151.62684631837</v>
      </c>
      <c r="L47" s="6">
        <f t="shared" ref="L47" si="40">SUM(L43:L46)</f>
        <v>631039.58924592147</v>
      </c>
      <c r="M47" s="6">
        <f t="shared" ref="M47" si="41">SUM(M43:M46)</f>
        <v>12047884.090834986</v>
      </c>
      <c r="P47" s="2" t="s">
        <v>0</v>
      </c>
      <c r="Q47" s="2"/>
      <c r="R47" s="1">
        <f>SUM(M44:M45)/SUM(C44:C45)*-1</f>
        <v>9.2729724044912825</v>
      </c>
    </row>
    <row r="48" spans="1:18" x14ac:dyDescent="0.2">
      <c r="A48" s="3" t="s">
        <v>2</v>
      </c>
      <c r="C48" s="5"/>
      <c r="D48" s="5">
        <f>D47/$C$20</f>
        <v>0.23142857142857143</v>
      </c>
      <c r="E48" s="5">
        <f t="shared" ref="E48:L48" si="42">E47/$C$20</f>
        <v>0.25934693877551018</v>
      </c>
      <c r="F48" s="5">
        <f t="shared" si="42"/>
        <v>0.28916081632653062</v>
      </c>
      <c r="G48" s="5">
        <f t="shared" si="42"/>
        <v>0.32099054693877543</v>
      </c>
      <c r="H48" s="5">
        <f t="shared" si="42"/>
        <v>0.35496389240816328</v>
      </c>
      <c r="I48" s="5">
        <f t="shared" si="42"/>
        <v>0.39121648455673474</v>
      </c>
      <c r="J48" s="5">
        <f t="shared" si="42"/>
        <v>0.42989230356377162</v>
      </c>
      <c r="K48" s="5">
        <f t="shared" si="42"/>
        <v>0.47114418518066803</v>
      </c>
      <c r="L48" s="5">
        <f t="shared" si="42"/>
        <v>0.51513435856809919</v>
      </c>
      <c r="M48" s="5">
        <f>(M43+M46)/$C$20</f>
        <v>0.5620350165985023</v>
      </c>
    </row>
    <row r="49" spans="1:18" x14ac:dyDescent="0.2">
      <c r="A49" s="3" t="s">
        <v>18</v>
      </c>
    </row>
    <row r="51" spans="1:18" x14ac:dyDescent="0.2">
      <c r="A51" s="14" t="s">
        <v>16</v>
      </c>
    </row>
    <row r="52" spans="1:18" x14ac:dyDescent="0.2">
      <c r="A52" s="13" t="s">
        <v>15</v>
      </c>
      <c r="B52" s="13"/>
      <c r="C52" s="13">
        <v>0</v>
      </c>
      <c r="D52" s="13">
        <f t="shared" ref="D52:I52" si="43">C52+1</f>
        <v>1</v>
      </c>
      <c r="E52" s="13">
        <f t="shared" si="43"/>
        <v>2</v>
      </c>
      <c r="F52" s="13">
        <f t="shared" si="43"/>
        <v>3</v>
      </c>
      <c r="G52" s="13">
        <f t="shared" si="43"/>
        <v>4</v>
      </c>
      <c r="H52" s="13">
        <f t="shared" si="43"/>
        <v>5</v>
      </c>
      <c r="I52" s="13">
        <f t="shared" si="43"/>
        <v>6</v>
      </c>
      <c r="J52" s="13">
        <f t="shared" ref="J52" si="44">I52+1</f>
        <v>7</v>
      </c>
      <c r="K52" s="13">
        <f t="shared" ref="K52" si="45">J52+1</f>
        <v>8</v>
      </c>
      <c r="L52" s="13">
        <f t="shared" ref="L52" si="46">K52+1</f>
        <v>9</v>
      </c>
      <c r="M52" s="13">
        <f>L52+1</f>
        <v>10</v>
      </c>
      <c r="N52" s="13">
        <f>M52+1</f>
        <v>11</v>
      </c>
      <c r="P52" s="2" t="s">
        <v>14</v>
      </c>
      <c r="Q52" s="2"/>
      <c r="R52" s="11">
        <f>IRR(C60:M60)</f>
        <v>0.24709445831869714</v>
      </c>
    </row>
    <row r="53" spans="1:18" x14ac:dyDescent="0.2">
      <c r="A53" s="3"/>
      <c r="B53" s="3"/>
      <c r="C53" s="3"/>
      <c r="D53" s="3"/>
      <c r="E53" s="3"/>
      <c r="F53" s="3"/>
      <c r="G53" s="3"/>
      <c r="H53" s="3"/>
      <c r="P53" s="2" t="s">
        <v>13</v>
      </c>
      <c r="Q53" s="2"/>
      <c r="R53" s="11">
        <f>D61</f>
        <v>0.15428571428571428</v>
      </c>
    </row>
    <row r="54" spans="1:18" x14ac:dyDescent="0.2">
      <c r="A54" s="3" t="s">
        <v>34</v>
      </c>
      <c r="B54" s="3"/>
      <c r="C54" s="12">
        <v>0</v>
      </c>
      <c r="D54" s="12">
        <f>D11</f>
        <v>480000</v>
      </c>
      <c r="E54" s="12">
        <f>D54*(1+$D$12)</f>
        <v>499200</v>
      </c>
      <c r="F54" s="12">
        <f t="shared" ref="F54:N54" si="47">E54*(1+$D$12)</f>
        <v>519168</v>
      </c>
      <c r="G54" s="12">
        <f t="shared" si="47"/>
        <v>539934.71999999997</v>
      </c>
      <c r="H54" s="12">
        <f t="shared" si="47"/>
        <v>561532.10880000005</v>
      </c>
      <c r="I54" s="12">
        <f t="shared" si="47"/>
        <v>583993.39315200003</v>
      </c>
      <c r="J54" s="12">
        <f t="shared" si="47"/>
        <v>607353.12887808005</v>
      </c>
      <c r="K54" s="12">
        <f t="shared" si="47"/>
        <v>631647.25403320324</v>
      </c>
      <c r="L54" s="12">
        <f t="shared" si="47"/>
        <v>656913.14419453137</v>
      </c>
      <c r="M54" s="12">
        <f t="shared" si="47"/>
        <v>683189.66996231268</v>
      </c>
      <c r="N54" s="12">
        <f t="shared" si="47"/>
        <v>710517.25676080526</v>
      </c>
      <c r="P54" s="2" t="s">
        <v>11</v>
      </c>
      <c r="Q54" s="2"/>
      <c r="R54" s="11">
        <f>AVERAGE(D61:M61)</f>
        <v>0.20899229034497804</v>
      </c>
    </row>
    <row r="55" spans="1:18" x14ac:dyDescent="0.2">
      <c r="A55" s="3" t="s">
        <v>35</v>
      </c>
      <c r="B55" s="3"/>
      <c r="C55" s="12"/>
      <c r="D55" s="12">
        <f>-D14</f>
        <v>-200000</v>
      </c>
      <c r="E55" s="12">
        <f>D55*(1+$D$15)</f>
        <v>-206000</v>
      </c>
      <c r="F55" s="12">
        <f t="shared" ref="F55:N55" si="48">E55*(1+$D$15)</f>
        <v>-212180</v>
      </c>
      <c r="G55" s="12">
        <f t="shared" si="48"/>
        <v>-218545.4</v>
      </c>
      <c r="H55" s="12">
        <f t="shared" si="48"/>
        <v>-225101.76199999999</v>
      </c>
      <c r="I55" s="12">
        <f t="shared" si="48"/>
        <v>-231854.81485999998</v>
      </c>
      <c r="J55" s="12">
        <f t="shared" si="48"/>
        <v>-238810.4593058</v>
      </c>
      <c r="K55" s="12">
        <f t="shared" si="48"/>
        <v>-245974.773084974</v>
      </c>
      <c r="L55" s="12">
        <f t="shared" si="48"/>
        <v>-253354.01627752322</v>
      </c>
      <c r="M55" s="12">
        <f t="shared" si="48"/>
        <v>-260954.63676584893</v>
      </c>
      <c r="N55" s="12">
        <f t="shared" si="48"/>
        <v>-268783.27586882439</v>
      </c>
      <c r="P55" s="2" t="s">
        <v>9</v>
      </c>
      <c r="Q55" s="2"/>
      <c r="R55" s="1">
        <f>SUM(D60:M60)/SUM(C57:C58)*-1</f>
        <v>5.0407689539747418</v>
      </c>
    </row>
    <row r="56" spans="1:18" x14ac:dyDescent="0.2">
      <c r="A56" s="23" t="s">
        <v>12</v>
      </c>
      <c r="B56" s="23"/>
      <c r="C56" s="24"/>
      <c r="D56" s="24">
        <f>SUM(D54:D55)</f>
        <v>280000</v>
      </c>
      <c r="E56" s="24">
        <f t="shared" ref="E56:N56" si="49">SUM(E54:E55)</f>
        <v>293200</v>
      </c>
      <c r="F56" s="24">
        <f t="shared" si="49"/>
        <v>306988</v>
      </c>
      <c r="G56" s="24">
        <f t="shared" si="49"/>
        <v>321389.31999999995</v>
      </c>
      <c r="H56" s="24">
        <f t="shared" si="49"/>
        <v>336430.34680000006</v>
      </c>
      <c r="I56" s="24">
        <f t="shared" si="49"/>
        <v>352138.57829200005</v>
      </c>
      <c r="J56" s="24">
        <f t="shared" si="49"/>
        <v>368542.66957228002</v>
      </c>
      <c r="K56" s="24">
        <f t="shared" si="49"/>
        <v>385672.4809482292</v>
      </c>
      <c r="L56" s="24">
        <f t="shared" si="49"/>
        <v>403559.12791700813</v>
      </c>
      <c r="M56" s="24">
        <f t="shared" si="49"/>
        <v>422235.03319646372</v>
      </c>
      <c r="N56" s="24">
        <f t="shared" si="49"/>
        <v>441733.98089198087</v>
      </c>
      <c r="P56" s="2" t="s">
        <v>7</v>
      </c>
      <c r="Q56" s="2"/>
      <c r="R56" s="4">
        <f>SUM(D60:M60)</f>
        <v>6174941.9686190588</v>
      </c>
    </row>
    <row r="57" spans="1:18" x14ac:dyDescent="0.2">
      <c r="A57" s="3" t="s">
        <v>10</v>
      </c>
      <c r="B57" s="3"/>
      <c r="C57" s="10">
        <f>-D4</f>
        <v>-3500000</v>
      </c>
      <c r="D57" s="9"/>
      <c r="E57" s="9"/>
      <c r="F57" s="9"/>
      <c r="G57" s="9"/>
      <c r="H57" s="10"/>
      <c r="M57" s="22">
        <f>N56/D21</f>
        <v>5889786.4118930781</v>
      </c>
      <c r="P57" s="2" t="s">
        <v>5</v>
      </c>
      <c r="Q57" s="2"/>
      <c r="R57" s="4">
        <f>SUM(D60:L60)+SUM(M56+M59)</f>
        <v>2560155.5567259812</v>
      </c>
    </row>
    <row r="58" spans="1:18" x14ac:dyDescent="0.2">
      <c r="A58" s="3" t="s">
        <v>8</v>
      </c>
      <c r="B58" s="3"/>
      <c r="C58" s="9">
        <f>D19</f>
        <v>2275000</v>
      </c>
      <c r="D58" s="9"/>
      <c r="E58" s="9"/>
      <c r="F58" s="9"/>
      <c r="G58" s="9"/>
      <c r="H58" s="9"/>
      <c r="M58" s="25">
        <f>-C58</f>
        <v>-2275000</v>
      </c>
      <c r="P58" s="2" t="s">
        <v>3</v>
      </c>
      <c r="Q58" s="2"/>
      <c r="R58" s="4">
        <f>M57+C57</f>
        <v>2389786.4118930781</v>
      </c>
    </row>
    <row r="59" spans="1:18" x14ac:dyDescent="0.2">
      <c r="A59" s="8" t="s">
        <v>6</v>
      </c>
      <c r="B59" s="8"/>
      <c r="C59" s="7"/>
      <c r="D59" s="7">
        <f>-$D$22*$D$19</f>
        <v>-91000</v>
      </c>
      <c r="E59" s="7">
        <f t="shared" ref="E59:M59" si="50">-$D$22*$D$19</f>
        <v>-91000</v>
      </c>
      <c r="F59" s="7">
        <f t="shared" si="50"/>
        <v>-91000</v>
      </c>
      <c r="G59" s="7">
        <f t="shared" si="50"/>
        <v>-91000</v>
      </c>
      <c r="H59" s="7">
        <f t="shared" si="50"/>
        <v>-91000</v>
      </c>
      <c r="I59" s="7">
        <f t="shared" si="50"/>
        <v>-91000</v>
      </c>
      <c r="J59" s="7">
        <f t="shared" si="50"/>
        <v>-91000</v>
      </c>
      <c r="K59" s="7">
        <f t="shared" si="50"/>
        <v>-91000</v>
      </c>
      <c r="L59" s="7">
        <f t="shared" si="50"/>
        <v>-91000</v>
      </c>
      <c r="M59" s="7">
        <f t="shared" si="50"/>
        <v>-91000</v>
      </c>
      <c r="P59" s="2" t="s">
        <v>1</v>
      </c>
      <c r="Q59" s="2"/>
      <c r="R59" s="4">
        <f>SUM(R57:R58)</f>
        <v>4949941.9686190598</v>
      </c>
    </row>
    <row r="60" spans="1:18" x14ac:dyDescent="0.2">
      <c r="A60" s="3" t="s">
        <v>4</v>
      </c>
      <c r="C60" s="6">
        <f>SUM(C56:C59)</f>
        <v>-1225000</v>
      </c>
      <c r="D60" s="6">
        <f t="shared" ref="D60" si="51">SUM(D56:D59)</f>
        <v>189000</v>
      </c>
      <c r="E60" s="6">
        <f t="shared" ref="E60" si="52">SUM(E56:E59)</f>
        <v>202200</v>
      </c>
      <c r="F60" s="6">
        <f t="shared" ref="F60" si="53">SUM(F56:F59)</f>
        <v>215988</v>
      </c>
      <c r="G60" s="6">
        <f t="shared" ref="G60" si="54">SUM(G56:G59)</f>
        <v>230389.31999999995</v>
      </c>
      <c r="H60" s="6">
        <f t="shared" ref="H60" si="55">SUM(H56:H59)</f>
        <v>245430.34680000006</v>
      </c>
      <c r="I60" s="6">
        <f t="shared" ref="I60" si="56">SUM(I56:I59)</f>
        <v>261138.57829200005</v>
      </c>
      <c r="J60" s="6">
        <f t="shared" ref="J60" si="57">SUM(J56:J59)</f>
        <v>277542.66957228002</v>
      </c>
      <c r="K60" s="6">
        <f t="shared" ref="K60" si="58">SUM(K56:K59)</f>
        <v>294672.4809482292</v>
      </c>
      <c r="L60" s="6">
        <f t="shared" ref="L60" si="59">SUM(L56:L59)</f>
        <v>312559.12791700813</v>
      </c>
      <c r="M60" s="6">
        <f t="shared" ref="M60" si="60">SUM(M56:M59)</f>
        <v>3946021.4450895414</v>
      </c>
      <c r="P60" s="2" t="s">
        <v>0</v>
      </c>
      <c r="Q60" s="2"/>
      <c r="R60" s="1">
        <f>SUM(M57:M58)/SUM(C57:C58)*-1</f>
        <v>2.9508460505249618</v>
      </c>
    </row>
    <row r="61" spans="1:18" x14ac:dyDescent="0.2">
      <c r="A61" s="3" t="s">
        <v>2</v>
      </c>
      <c r="C61" s="5"/>
      <c r="D61" s="5">
        <f>D60/$B$20</f>
        <v>0.15428571428571428</v>
      </c>
      <c r="E61" s="5">
        <f t="shared" ref="E61" si="61">E60/$B$20</f>
        <v>0.1650612244897959</v>
      </c>
      <c r="F61" s="5">
        <f t="shared" ref="F61" si="62">F60/$B$20</f>
        <v>0.17631673469387754</v>
      </c>
      <c r="G61" s="5">
        <f t="shared" ref="G61" si="63">G60/$B$20</f>
        <v>0.18807291428571424</v>
      </c>
      <c r="H61" s="5">
        <f t="shared" ref="H61" si="64">H60/$B$20</f>
        <v>0.20035130351020414</v>
      </c>
      <c r="I61" s="5">
        <f t="shared" ref="I61" si="65">I60/$B$20</f>
        <v>0.2131743496261225</v>
      </c>
      <c r="J61" s="5">
        <f t="shared" ref="J61" si="66">J60/$B$20</f>
        <v>0.22656544454880001</v>
      </c>
      <c r="K61" s="5">
        <f t="shared" ref="K61" si="67">K60/$B$20</f>
        <v>0.24054896403937079</v>
      </c>
      <c r="L61" s="5">
        <f t="shared" ref="L61" si="68">L60/$B$20</f>
        <v>0.25515030850368009</v>
      </c>
      <c r="M61" s="5">
        <f>(M56+M59)/D20</f>
        <v>0.27039594546650098</v>
      </c>
    </row>
    <row r="62" spans="1:18" x14ac:dyDescent="0.2">
      <c r="A62" s="3" t="s">
        <v>18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Azimi, Amin</dc:creator>
  <cp:lastModifiedBy>Azimi, Amin</cp:lastModifiedBy>
  <dcterms:created xsi:type="dcterms:W3CDTF">2021-12-05T22:41:09Z</dcterms:created>
  <dcterms:modified xsi:type="dcterms:W3CDTF">2022-09-11T22:17:43Z</dcterms:modified>
</cp:coreProperties>
</file>