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filterPrivacy="1"/>
  <xr:revisionPtr revIDLastSave="0" documentId="13_ncr:1_{5889E0D2-AE50-46C7-87EF-9E25A1668407}" xr6:coauthVersionLast="36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Wages Sheet" sheetId="1" r:id="rId1"/>
    <sheet name="Salary Sheet" sheetId="2" r:id="rId2"/>
    <sheet name="E.BILL" sheetId="9" r:id="rId3"/>
    <sheet name="Age" sheetId="4" r:id="rId4"/>
    <sheet name="Result Sheet" sheetId="5" r:id="rId5"/>
    <sheet name="Cricket Match (ODI Series)" sheetId="6" r:id="rId6"/>
    <sheet name="iNVOICE" sheetId="7" r:id="rId7"/>
    <sheet name="Monthly Budget" sheetId="10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7" l="1"/>
  <c r="C13" i="7" l="1"/>
  <c r="E5" i="10" l="1"/>
  <c r="E6" i="10"/>
  <c r="E7" i="10"/>
  <c r="E8" i="10"/>
  <c r="E9" i="10"/>
  <c r="E10" i="10"/>
  <c r="E11" i="10"/>
  <c r="E12" i="10"/>
  <c r="E4" i="10"/>
  <c r="G12" i="10"/>
  <c r="F12" i="10" s="1"/>
  <c r="G11" i="10"/>
  <c r="F11" i="10"/>
  <c r="G10" i="10"/>
  <c r="B16" i="10" s="1"/>
  <c r="G9" i="10"/>
  <c r="F9" i="10"/>
  <c r="J8" i="10"/>
  <c r="G8" i="10"/>
  <c r="F8" i="10"/>
  <c r="J7" i="10"/>
  <c r="E16" i="10" s="1"/>
  <c r="G7" i="10"/>
  <c r="F7" i="10"/>
  <c r="J6" i="10"/>
  <c r="G6" i="10"/>
  <c r="F6" i="10"/>
  <c r="J5" i="10"/>
  <c r="G5" i="10"/>
  <c r="B15" i="10" s="1"/>
  <c r="B17" i="10" s="1"/>
  <c r="F5" i="10"/>
  <c r="J4" i="10"/>
  <c r="F4" i="10"/>
  <c r="J3" i="10"/>
  <c r="F10" i="10" l="1"/>
  <c r="C15" i="9" l="1"/>
  <c r="M4" i="9"/>
  <c r="L4" i="9"/>
  <c r="K5" i="9"/>
  <c r="K6" i="9"/>
  <c r="K7" i="9"/>
  <c r="K8" i="9"/>
  <c r="K9" i="9"/>
  <c r="K10" i="9"/>
  <c r="K11" i="9"/>
  <c r="K4" i="9"/>
  <c r="J5" i="9"/>
  <c r="J6" i="9"/>
  <c r="J7" i="9"/>
  <c r="J8" i="9"/>
  <c r="J9" i="9"/>
  <c r="J10" i="9"/>
  <c r="J11" i="9"/>
  <c r="J4" i="9"/>
  <c r="H5" i="9"/>
  <c r="H6" i="9"/>
  <c r="H7" i="9"/>
  <c r="H8" i="9"/>
  <c r="H9" i="9"/>
  <c r="H10" i="9"/>
  <c r="H11" i="9"/>
  <c r="H4" i="9"/>
  <c r="G5" i="9"/>
  <c r="G6" i="9"/>
  <c r="G7" i="9"/>
  <c r="G8" i="9"/>
  <c r="G9" i="9"/>
  <c r="G10" i="9"/>
  <c r="G11" i="9"/>
  <c r="G4" i="9"/>
  <c r="C14" i="7"/>
  <c r="C15" i="7"/>
  <c r="C16" i="7"/>
  <c r="C17" i="7"/>
  <c r="C18" i="7"/>
  <c r="C19" i="7"/>
  <c r="C20" i="7"/>
  <c r="C21" i="7"/>
  <c r="C22" i="7"/>
  <c r="J15" i="2" l="1"/>
  <c r="I15" i="2"/>
  <c r="H15" i="2"/>
  <c r="G15" i="2"/>
  <c r="F15" i="2"/>
  <c r="E15" i="2"/>
  <c r="D15" i="2"/>
  <c r="C15" i="2"/>
  <c r="B12" i="4"/>
  <c r="E22" i="7"/>
  <c r="F22" i="7" s="1"/>
  <c r="E21" i="7"/>
  <c r="F21" i="7" s="1"/>
  <c r="F20" i="7"/>
  <c r="E20" i="7"/>
  <c r="F19" i="7"/>
  <c r="E19" i="7"/>
  <c r="E18" i="7"/>
  <c r="F18" i="7" s="1"/>
  <c r="E17" i="7"/>
  <c r="F17" i="7" s="1"/>
  <c r="E16" i="7"/>
  <c r="F16" i="7" s="1"/>
  <c r="F15" i="7"/>
  <c r="E15" i="7"/>
  <c r="E14" i="7"/>
  <c r="F14" i="7" s="1"/>
  <c r="F13" i="7"/>
  <c r="M14" i="6"/>
  <c r="J14" i="6"/>
  <c r="K14" i="6" s="1"/>
  <c r="M13" i="6"/>
  <c r="K13" i="6"/>
  <c r="J13" i="6"/>
  <c r="J12" i="6"/>
  <c r="M12" i="6" s="1"/>
  <c r="J11" i="6"/>
  <c r="M11" i="6" s="1"/>
  <c r="J10" i="6"/>
  <c r="K10" i="6" s="1"/>
  <c r="M9" i="6"/>
  <c r="K9" i="6"/>
  <c r="J9" i="6"/>
  <c r="J8" i="6"/>
  <c r="M8" i="6" s="1"/>
  <c r="J7" i="6"/>
  <c r="M7" i="6" s="1"/>
  <c r="J6" i="6"/>
  <c r="K6" i="6" s="1"/>
  <c r="M5" i="6"/>
  <c r="K5" i="6"/>
  <c r="J5" i="6"/>
  <c r="L4" i="6"/>
  <c r="K4" i="6"/>
  <c r="J4" i="6"/>
  <c r="M4" i="6" s="1"/>
  <c r="F23" i="7" l="1"/>
  <c r="K8" i="6"/>
  <c r="K12" i="6"/>
  <c r="M6" i="6"/>
  <c r="M10" i="6"/>
  <c r="K7" i="6"/>
  <c r="K11" i="6"/>
  <c r="T9" i="5"/>
  <c r="S9" i="5"/>
  <c r="Q9" i="5"/>
  <c r="P9" i="5"/>
  <c r="N9" i="5"/>
  <c r="M9" i="5"/>
  <c r="K9" i="5"/>
  <c r="J9" i="5"/>
  <c r="H9" i="5"/>
  <c r="G9" i="5"/>
  <c r="E9" i="5"/>
  <c r="D9" i="5"/>
  <c r="T8" i="5"/>
  <c r="S8" i="5"/>
  <c r="Q8" i="5"/>
  <c r="P8" i="5"/>
  <c r="N8" i="5"/>
  <c r="M8" i="5"/>
  <c r="K8" i="5"/>
  <c r="J8" i="5"/>
  <c r="H8" i="5"/>
  <c r="G8" i="5"/>
  <c r="E8" i="5"/>
  <c r="D8" i="5"/>
  <c r="T7" i="5"/>
  <c r="S7" i="5"/>
  <c r="Q7" i="5"/>
  <c r="P7" i="5"/>
  <c r="N7" i="5"/>
  <c r="M7" i="5"/>
  <c r="K7" i="5"/>
  <c r="J7" i="5"/>
  <c r="H7" i="5"/>
  <c r="G7" i="5"/>
  <c r="E7" i="5"/>
  <c r="D7" i="5"/>
  <c r="T6" i="5"/>
  <c r="S6" i="5"/>
  <c r="Q6" i="5"/>
  <c r="P6" i="5"/>
  <c r="N6" i="5"/>
  <c r="M6" i="5"/>
  <c r="K6" i="5"/>
  <c r="J6" i="5"/>
  <c r="H6" i="5"/>
  <c r="G6" i="5"/>
  <c r="E6" i="5"/>
  <c r="D6" i="5"/>
  <c r="T5" i="5"/>
  <c r="S5" i="5"/>
  <c r="Q5" i="5"/>
  <c r="P5" i="5"/>
  <c r="N5" i="5"/>
  <c r="M5" i="5"/>
  <c r="K5" i="5"/>
  <c r="J5" i="5"/>
  <c r="H5" i="5"/>
  <c r="G5" i="5"/>
  <c r="E5" i="5"/>
  <c r="D5" i="5"/>
  <c r="T4" i="5"/>
  <c r="S4" i="5"/>
  <c r="Q4" i="5"/>
  <c r="P4" i="5"/>
  <c r="N4" i="5"/>
  <c r="M4" i="5"/>
  <c r="K4" i="5"/>
  <c r="J4" i="5"/>
  <c r="H4" i="5"/>
  <c r="G4" i="5"/>
  <c r="E4" i="5"/>
  <c r="D4" i="5"/>
  <c r="F25" i="7" l="1"/>
  <c r="F26" i="7" s="1"/>
  <c r="F24" i="7"/>
  <c r="U4" i="5"/>
  <c r="V4" i="5" s="1"/>
  <c r="U9" i="5"/>
  <c r="V9" i="5" s="1"/>
  <c r="U5" i="5"/>
  <c r="V5" i="5" s="1"/>
  <c r="U6" i="5"/>
  <c r="V6" i="5" s="1"/>
  <c r="U7" i="5"/>
  <c r="V7" i="5" s="1"/>
  <c r="U8" i="5"/>
  <c r="V8" i="5" s="1"/>
  <c r="I5" i="4"/>
  <c r="I6" i="4"/>
  <c r="I7" i="4"/>
  <c r="I8" i="4"/>
  <c r="I9" i="4"/>
  <c r="I4" i="4"/>
  <c r="H4" i="4"/>
  <c r="G4" i="4"/>
  <c r="F4" i="4"/>
  <c r="E4" i="4"/>
  <c r="D4" i="4"/>
  <c r="F28" i="7" l="1"/>
  <c r="A23" i="7" s="1"/>
  <c r="F7" i="1"/>
  <c r="F8" i="1"/>
  <c r="F9" i="1"/>
  <c r="F10" i="1"/>
  <c r="F11" i="1"/>
  <c r="F12" i="1"/>
  <c r="F13" i="1"/>
  <c r="E16" i="1"/>
  <c r="F6" i="1"/>
  <c r="G6" i="2"/>
  <c r="G10" i="2"/>
  <c r="F6" i="2"/>
  <c r="H6" i="2" s="1"/>
  <c r="F10" i="2"/>
  <c r="H10" i="2" s="1"/>
  <c r="E4" i="2"/>
  <c r="E5" i="2"/>
  <c r="E6" i="2"/>
  <c r="E7" i="2"/>
  <c r="G7" i="2" s="1"/>
  <c r="E8" i="2"/>
  <c r="E9" i="2"/>
  <c r="G9" i="2" s="1"/>
  <c r="E10" i="2"/>
  <c r="E11" i="2"/>
  <c r="G11" i="2" s="1"/>
  <c r="I10" i="2" l="1"/>
  <c r="J10" i="2"/>
  <c r="I6" i="2"/>
  <c r="J6" i="2" s="1"/>
  <c r="F5" i="2"/>
  <c r="H5" i="2" s="1"/>
  <c r="G5" i="2"/>
  <c r="F4" i="2"/>
  <c r="H4" i="2" s="1"/>
  <c r="F8" i="2"/>
  <c r="H8" i="2" s="1"/>
  <c r="G4" i="2"/>
  <c r="G8" i="2"/>
  <c r="F9" i="2"/>
  <c r="H9" i="2" s="1"/>
  <c r="F11" i="2"/>
  <c r="H11" i="2" s="1"/>
  <c r="F7" i="2"/>
  <c r="H7" i="2" s="1"/>
  <c r="I7" i="1"/>
  <c r="J7" i="1" s="1"/>
  <c r="G7" i="1"/>
  <c r="G8" i="1"/>
  <c r="I8" i="1" s="1"/>
  <c r="G9" i="1"/>
  <c r="I9" i="1" s="1"/>
  <c r="J9" i="1" s="1"/>
  <c r="G10" i="1"/>
  <c r="I10" i="1" s="1"/>
  <c r="J10" i="1" s="1"/>
  <c r="K10" i="1" s="1"/>
  <c r="G11" i="1"/>
  <c r="I11" i="1" s="1"/>
  <c r="G12" i="1"/>
  <c r="I12" i="1" s="1"/>
  <c r="J12" i="1" s="1"/>
  <c r="G13" i="1"/>
  <c r="I13" i="1" s="1"/>
  <c r="J13" i="1" s="1"/>
  <c r="G6" i="1"/>
  <c r="I6" i="1" s="1"/>
  <c r="J6" i="1" s="1"/>
  <c r="K6" i="1" s="1"/>
  <c r="I8" i="2" l="1"/>
  <c r="J8" i="2" s="1"/>
  <c r="I5" i="2"/>
  <c r="J5" i="2" s="1"/>
  <c r="J4" i="2"/>
  <c r="I4" i="2"/>
  <c r="J9" i="2"/>
  <c r="I9" i="2"/>
  <c r="I7" i="2"/>
  <c r="J7" i="2" s="1"/>
  <c r="M7" i="2" s="1"/>
  <c r="I11" i="2"/>
  <c r="J11" i="2" s="1"/>
  <c r="J11" i="1"/>
  <c r="K11" i="1" s="1"/>
  <c r="K13" i="1"/>
  <c r="K9" i="1"/>
  <c r="K12" i="1"/>
  <c r="K7" i="1"/>
  <c r="J8" i="1"/>
  <c r="K8" i="1" s="1"/>
  <c r="M11" i="2" l="1"/>
  <c r="M5" i="2"/>
  <c r="M8" i="2"/>
  <c r="M9" i="2"/>
  <c r="K4" i="2"/>
  <c r="M4" i="2"/>
  <c r="L4" i="2"/>
  <c r="M10" i="2"/>
  <c r="M6" i="2"/>
</calcChain>
</file>

<file path=xl/sharedStrings.xml><?xml version="1.0" encoding="utf-8"?>
<sst xmlns="http://schemas.openxmlformats.org/spreadsheetml/2006/main" count="332" uniqueCount="255">
  <si>
    <t>SL No</t>
  </si>
  <si>
    <t>Exp-ID</t>
  </si>
  <si>
    <t>Name</t>
  </si>
  <si>
    <t>Desiguanition</t>
  </si>
  <si>
    <t>Hours/ Work</t>
  </si>
  <si>
    <t>Basic Wages</t>
  </si>
  <si>
    <t>Overtime Wages</t>
  </si>
  <si>
    <t>Medical Allowance</t>
  </si>
  <si>
    <t>Gross Amount</t>
  </si>
  <si>
    <t>Income Tax</t>
  </si>
  <si>
    <t>Net Amount</t>
  </si>
  <si>
    <t>Weekly  Wages Sheet for Worker</t>
  </si>
  <si>
    <t xml:space="preserve">Wages Sheet </t>
  </si>
  <si>
    <t>01</t>
  </si>
  <si>
    <t>02</t>
  </si>
  <si>
    <t>03</t>
  </si>
  <si>
    <t>04</t>
  </si>
  <si>
    <t>05</t>
  </si>
  <si>
    <t>06</t>
  </si>
  <si>
    <t>07</t>
  </si>
  <si>
    <t>08</t>
  </si>
  <si>
    <t>PB01002</t>
  </si>
  <si>
    <t>PB01001</t>
  </si>
  <si>
    <t>PB01003</t>
  </si>
  <si>
    <t>PB01004</t>
  </si>
  <si>
    <t>PB01006</t>
  </si>
  <si>
    <t>PB01007</t>
  </si>
  <si>
    <t>PB01008</t>
  </si>
  <si>
    <t>Azad</t>
  </si>
  <si>
    <t xml:space="preserve">Akash </t>
  </si>
  <si>
    <t>Shovo</t>
  </si>
  <si>
    <t>Sohag</t>
  </si>
  <si>
    <t>Sohan</t>
  </si>
  <si>
    <t>Mahin</t>
  </si>
  <si>
    <t>Prince</t>
  </si>
  <si>
    <t>Arshad</t>
  </si>
  <si>
    <t>Grade-1</t>
  </si>
  <si>
    <t>Grade-2</t>
  </si>
  <si>
    <t>Grade-3</t>
  </si>
  <si>
    <t>Salary Sheet</t>
  </si>
  <si>
    <t>Refadul ICT</t>
  </si>
  <si>
    <t>SL NO</t>
  </si>
  <si>
    <t>ID NO</t>
  </si>
  <si>
    <t>Designation</t>
  </si>
  <si>
    <t>Basic Salary</t>
  </si>
  <si>
    <t>House Rent</t>
  </si>
  <si>
    <t>Medical</t>
  </si>
  <si>
    <t>Gross Total</t>
  </si>
  <si>
    <t>TEX</t>
  </si>
  <si>
    <t>Maximum</t>
  </si>
  <si>
    <t>Minimum</t>
  </si>
  <si>
    <t>Total</t>
  </si>
  <si>
    <t>Rank</t>
  </si>
  <si>
    <t>COM101</t>
  </si>
  <si>
    <t>COM102</t>
  </si>
  <si>
    <t>COM103</t>
  </si>
  <si>
    <t>COM104</t>
  </si>
  <si>
    <t>COM105</t>
  </si>
  <si>
    <t>COM106</t>
  </si>
  <si>
    <t>COM107</t>
  </si>
  <si>
    <t>COM108</t>
  </si>
  <si>
    <t>Saddam</t>
  </si>
  <si>
    <t>Rashed</t>
  </si>
  <si>
    <t>Mizan</t>
  </si>
  <si>
    <t>Mortuza</t>
  </si>
  <si>
    <t>Arif</t>
  </si>
  <si>
    <t>Japor</t>
  </si>
  <si>
    <t>Mohsin</t>
  </si>
  <si>
    <t>CEO</t>
  </si>
  <si>
    <t>MD</t>
  </si>
  <si>
    <t>MANAGER</t>
  </si>
  <si>
    <t>IT</t>
  </si>
  <si>
    <t>EXECUTIVE</t>
  </si>
  <si>
    <t>TRAINER</t>
  </si>
  <si>
    <t>OTHERS</t>
  </si>
  <si>
    <t>PB123</t>
  </si>
  <si>
    <t>PB12345</t>
  </si>
  <si>
    <t xml:space="preserve">Sl NO </t>
  </si>
  <si>
    <t xml:space="preserve">Meter No </t>
  </si>
  <si>
    <t xml:space="preserve">Customer Name </t>
  </si>
  <si>
    <t>Date</t>
  </si>
  <si>
    <t>Prefvious Unit</t>
  </si>
  <si>
    <t xml:space="preserve">Current Unit </t>
  </si>
  <si>
    <t xml:space="preserve">Consumed Unit </t>
  </si>
  <si>
    <t>Bill</t>
  </si>
  <si>
    <t>Meter Charge</t>
  </si>
  <si>
    <t>Vat</t>
  </si>
  <si>
    <t>Max</t>
  </si>
  <si>
    <t>Min</t>
  </si>
  <si>
    <t>PB124</t>
  </si>
  <si>
    <t>PB125</t>
  </si>
  <si>
    <t>PB126</t>
  </si>
  <si>
    <t>PB127</t>
  </si>
  <si>
    <t>PB128</t>
  </si>
  <si>
    <t>PB129</t>
  </si>
  <si>
    <t>PB130</t>
  </si>
  <si>
    <t>Meter NO</t>
  </si>
  <si>
    <t>Total Bill</t>
  </si>
  <si>
    <t>AGE</t>
  </si>
  <si>
    <t>SN</t>
  </si>
  <si>
    <t>SUM</t>
  </si>
  <si>
    <t>AVERAGE</t>
  </si>
  <si>
    <t>COUNT</t>
  </si>
  <si>
    <t>MAX</t>
  </si>
  <si>
    <t>MIN</t>
  </si>
  <si>
    <t>AGE CATEGORY</t>
  </si>
  <si>
    <t>Ali</t>
  </si>
  <si>
    <t>Riad</t>
  </si>
  <si>
    <t>Hasan</t>
  </si>
  <si>
    <t>Amena</t>
  </si>
  <si>
    <t>Sarah</t>
  </si>
  <si>
    <t>Roy</t>
  </si>
  <si>
    <t>vlookup</t>
  </si>
  <si>
    <t>Result Sheet</t>
  </si>
  <si>
    <t>Roll</t>
  </si>
  <si>
    <t>BANGLA</t>
  </si>
  <si>
    <t>MATH</t>
  </si>
  <si>
    <t>ENGLISH</t>
  </si>
  <si>
    <t>PHYSICD</t>
  </si>
  <si>
    <t>CHEMISTRY</t>
  </si>
  <si>
    <t>AGRICULTURE</t>
  </si>
  <si>
    <t>TOTAL GPA</t>
  </si>
  <si>
    <t>TOTAL GRADE</t>
  </si>
  <si>
    <t>MARKS</t>
  </si>
  <si>
    <t>GPA</t>
  </si>
  <si>
    <t>GRADE</t>
  </si>
  <si>
    <t>RICT001</t>
  </si>
  <si>
    <t>RICT002</t>
  </si>
  <si>
    <t>Kamal</t>
  </si>
  <si>
    <t>RICT003</t>
  </si>
  <si>
    <t>Akib</t>
  </si>
  <si>
    <t>RICT004</t>
  </si>
  <si>
    <t>RICT005</t>
  </si>
  <si>
    <t>Rafid</t>
  </si>
  <si>
    <t>RICT006</t>
  </si>
  <si>
    <t>Anik</t>
  </si>
  <si>
    <t>Bangladesh VS South Africa 3- match ODI Series,2024</t>
  </si>
  <si>
    <t>Jersey NO</t>
  </si>
  <si>
    <t>1st Match</t>
  </si>
  <si>
    <t>2nd Match</t>
  </si>
  <si>
    <t>3rd Match</t>
  </si>
  <si>
    <t>Total Runs</t>
  </si>
  <si>
    <t>Average Runs</t>
  </si>
  <si>
    <t>Player of the Series</t>
  </si>
  <si>
    <t>Ratings</t>
  </si>
  <si>
    <t>Rans</t>
  </si>
  <si>
    <t>Wkts</t>
  </si>
  <si>
    <t>JN10</t>
  </si>
  <si>
    <t>Tamim</t>
  </si>
  <si>
    <t>JN45</t>
  </si>
  <si>
    <t>Liton</t>
  </si>
  <si>
    <t>JN55</t>
  </si>
  <si>
    <t>Miraz</t>
  </si>
  <si>
    <t>JN78</t>
  </si>
  <si>
    <t>Shanto</t>
  </si>
  <si>
    <t>JN65</t>
  </si>
  <si>
    <t>Mushfiq(wk)</t>
  </si>
  <si>
    <t>JN75</t>
  </si>
  <si>
    <t>Shakib Al Hasan</t>
  </si>
  <si>
    <t>JN99</t>
  </si>
  <si>
    <t>Mahmudullah</t>
  </si>
  <si>
    <t>JN44</t>
  </si>
  <si>
    <t>Mustafiz</t>
  </si>
  <si>
    <t>JN02</t>
  </si>
  <si>
    <r>
      <t>Mashrsfe</t>
    </r>
    <r>
      <rPr>
        <sz val="11"/>
        <color theme="1"/>
        <rFont val="Aptos Narrow"/>
        <family val="2"/>
      </rPr>
      <t>©</t>
    </r>
  </si>
  <si>
    <t>JN69</t>
  </si>
  <si>
    <t>Saifuddin</t>
  </si>
  <si>
    <t>JN70</t>
  </si>
  <si>
    <t>Taskin</t>
  </si>
  <si>
    <t>INVOICE</t>
  </si>
  <si>
    <t>Rashed ICT</t>
  </si>
  <si>
    <t>EDB Trade Center(5th Floor)</t>
  </si>
  <si>
    <t>Kazi Nazrul Islam Avenue,Dhaka</t>
  </si>
  <si>
    <t>www.rashedict.com</t>
  </si>
  <si>
    <t>Computer Accessories Sale &amp; Service</t>
  </si>
  <si>
    <t>Invoice</t>
  </si>
  <si>
    <t>Product ID</t>
  </si>
  <si>
    <t>Product Name</t>
  </si>
  <si>
    <t>Price</t>
  </si>
  <si>
    <t>Customer Name</t>
  </si>
  <si>
    <t>RICT01</t>
  </si>
  <si>
    <t>LAPTOP</t>
  </si>
  <si>
    <t>Address</t>
  </si>
  <si>
    <t>Mobile No</t>
  </si>
  <si>
    <t>01829770868</t>
  </si>
  <si>
    <t>RICT02</t>
  </si>
  <si>
    <t>Monitor</t>
  </si>
  <si>
    <t>Quantity</t>
  </si>
  <si>
    <t>Rate</t>
  </si>
  <si>
    <t>Amount</t>
  </si>
  <si>
    <t>RICT03</t>
  </si>
  <si>
    <t>Mouse</t>
  </si>
  <si>
    <t>RICT04</t>
  </si>
  <si>
    <t>Key Board</t>
  </si>
  <si>
    <t>RICT05</t>
  </si>
  <si>
    <t>Speaker</t>
  </si>
  <si>
    <t>RICT06</t>
  </si>
  <si>
    <t>Printer</t>
  </si>
  <si>
    <t>RICT07</t>
  </si>
  <si>
    <t>RAM</t>
  </si>
  <si>
    <t>RICT08</t>
  </si>
  <si>
    <t>Processor</t>
  </si>
  <si>
    <t>RICT09</t>
  </si>
  <si>
    <t>CPU</t>
  </si>
  <si>
    <t>RICT10</t>
  </si>
  <si>
    <t>Cassin</t>
  </si>
  <si>
    <t>09</t>
  </si>
  <si>
    <t>10</t>
  </si>
  <si>
    <t>Grad Total</t>
  </si>
  <si>
    <t>Discount</t>
  </si>
  <si>
    <t>VAT</t>
  </si>
  <si>
    <t>In Word</t>
  </si>
  <si>
    <t>Payment</t>
  </si>
  <si>
    <t>SI</t>
  </si>
  <si>
    <t>NAME</t>
  </si>
  <si>
    <t xml:space="preserve">Basic SALARY </t>
  </si>
  <si>
    <t>House Rant</t>
  </si>
  <si>
    <t>TAX</t>
  </si>
  <si>
    <t>Balanch</t>
  </si>
  <si>
    <t>Elctricity Bill</t>
  </si>
  <si>
    <t>RASHED</t>
  </si>
  <si>
    <t>ROBIUL</t>
  </si>
  <si>
    <t>ALI</t>
  </si>
  <si>
    <t>KUDDUS</t>
  </si>
  <si>
    <t>RABBI</t>
  </si>
  <si>
    <t>ROHAN</t>
  </si>
  <si>
    <t>MORIOM</t>
  </si>
  <si>
    <t>TANVIR</t>
  </si>
  <si>
    <t>Monthly Budget Tracker</t>
  </si>
  <si>
    <t xml:space="preserve">Date </t>
  </si>
  <si>
    <t>Category</t>
  </si>
  <si>
    <t>Description</t>
  </si>
  <si>
    <t>Budget Range</t>
  </si>
  <si>
    <t>Type</t>
  </si>
  <si>
    <t>Income</t>
  </si>
  <si>
    <t xml:space="preserve">Salary </t>
  </si>
  <si>
    <t>INCOME</t>
  </si>
  <si>
    <t>Housing</t>
  </si>
  <si>
    <t>Rent</t>
  </si>
  <si>
    <t>Food</t>
  </si>
  <si>
    <t>Utilities</t>
  </si>
  <si>
    <t>Electricity bill</t>
  </si>
  <si>
    <t>Transport</t>
  </si>
  <si>
    <t>Groceries (vegetables)</t>
  </si>
  <si>
    <t>FOOd</t>
  </si>
  <si>
    <t>Groceries(Fish)</t>
  </si>
  <si>
    <t>Entertainment</t>
  </si>
  <si>
    <t>Internet Bill</t>
  </si>
  <si>
    <t>Office Transport</t>
  </si>
  <si>
    <t>Movie</t>
  </si>
  <si>
    <t>Vlookup</t>
  </si>
  <si>
    <t>Total Monthly Income</t>
  </si>
  <si>
    <t>Total Amount</t>
  </si>
  <si>
    <t>Total Monthly Expenses</t>
  </si>
  <si>
    <t>Net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</si>
</sst>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General\ &quot;PCS&quot;"/>
    <numFmt numFmtId="165" formatCode="#,###.00\৳"/>
    <numFmt numFmtId="166" formatCode="#,##0.0"/>
    <numFmt numFmtId="167" formatCode="dd\-mmm\-yyyy"/>
    <numFmt numFmtId="168" formatCode="dd\-mmm\-yy"/>
  </numFmts>
  <fonts count="12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20"/>
      <color theme="1"/>
      <name val="Times New Roman"/>
      <family val="1"/>
    </font>
    <font>
      <b/>
      <sz val="20"/>
      <color theme="1"/>
      <name val="Calibri"/>
      <family val="2"/>
      <scheme val="minor"/>
    </font>
    <font>
      <sz val="11"/>
      <color theme="1"/>
      <name val="Aptos Narrow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8"/>
      <color theme="1"/>
      <name val="Tahoma"/>
      <family val="2"/>
    </font>
    <font>
      <sz val="14"/>
      <color theme="1"/>
      <name val="Tahoma"/>
      <family val="2"/>
    </font>
    <font>
      <b/>
      <sz val="1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05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 wrapText="1"/>
    </xf>
    <xf numFmtId="0" fontId="0" fillId="0" borderId="1" xfId="0" quotePrefix="1" applyBorder="1"/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39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3" xfId="0" applyBorder="1" applyAlignment="1">
      <alignment vertical="center"/>
    </xf>
    <xf numFmtId="166" fontId="0" fillId="0" borderId="1" xfId="0" applyNumberFormat="1" applyBorder="1"/>
    <xf numFmtId="0" fontId="10" fillId="0" borderId="1" xfId="0" applyFont="1" applyBorder="1" applyAlignment="1">
      <alignment horizontal="center" vertical="center" wrapText="1"/>
    </xf>
    <xf numFmtId="0" fontId="10" fillId="0" borderId="0" xfId="0" applyFont="1"/>
    <xf numFmtId="167" fontId="0" fillId="0" borderId="1" xfId="0" applyNumberFormat="1" applyBorder="1" applyAlignment="1">
      <alignment horizontal="center" vertical="center"/>
    </xf>
    <xf numFmtId="168" fontId="0" fillId="0" borderId="1" xfId="0" quotePrefix="1" applyNumberFormat="1" applyBorder="1"/>
    <xf numFmtId="3" fontId="0" fillId="0" borderId="1" xfId="0" applyNumberFormat="1" applyBorder="1"/>
    <xf numFmtId="0" fontId="0" fillId="0" borderId="1" xfId="0" applyBorder="1" applyAlignment="1">
      <alignment wrapText="1"/>
    </xf>
    <xf numFmtId="0" fontId="2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/>
    </xf>
    <xf numFmtId="0" fontId="9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0" borderId="10" xfId="0" applyBorder="1" applyAlignment="1">
      <alignment horizontal="center" vertical="center" textRotation="45" wrapText="1"/>
    </xf>
    <xf numFmtId="0" fontId="0" fillId="0" borderId="11" xfId="0" applyBorder="1" applyAlignment="1">
      <alignment horizontal="center" vertical="center" textRotation="45" wrapText="1"/>
    </xf>
    <xf numFmtId="0" fontId="3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 textRotation="45" wrapText="1"/>
    </xf>
    <xf numFmtId="0" fontId="0" fillId="9" borderId="9" xfId="0" applyFill="1" applyBorder="1" applyAlignment="1">
      <alignment horizontal="center" vertical="center" textRotation="45" wrapText="1"/>
    </xf>
    <xf numFmtId="0" fontId="0" fillId="9" borderId="11" xfId="0" applyFill="1" applyBorder="1" applyAlignment="1">
      <alignment horizontal="center" vertical="center" textRotation="45" wrapText="1"/>
    </xf>
    <xf numFmtId="0" fontId="0" fillId="12" borderId="1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 wrapText="1"/>
    </xf>
    <xf numFmtId="0" fontId="0" fillId="9" borderId="11" xfId="0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8" borderId="5" xfId="0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 textRotation="45"/>
    </xf>
    <xf numFmtId="0" fontId="8" fillId="0" borderId="5" xfId="0" applyFont="1" applyBorder="1" applyAlignment="1">
      <alignment horizontal="center" vertical="center" textRotation="45"/>
    </xf>
    <xf numFmtId="0" fontId="8" fillId="0" borderId="6" xfId="0" applyFont="1" applyBorder="1" applyAlignment="1">
      <alignment horizontal="center" vertical="center" textRotation="45"/>
    </xf>
    <xf numFmtId="0" fontId="8" fillId="0" borderId="14" xfId="0" applyFont="1" applyBorder="1" applyAlignment="1">
      <alignment horizontal="center" vertical="center" textRotation="45"/>
    </xf>
    <xf numFmtId="0" fontId="8" fillId="0" borderId="0" xfId="0" applyFont="1" applyAlignment="1">
      <alignment horizontal="center" vertical="center" textRotation="45"/>
    </xf>
    <xf numFmtId="0" fontId="8" fillId="0" borderId="15" xfId="0" applyFont="1" applyBorder="1" applyAlignment="1">
      <alignment horizontal="center" vertical="center" textRotation="45"/>
    </xf>
    <xf numFmtId="0" fontId="8" fillId="0" borderId="7" xfId="0" applyFont="1" applyBorder="1" applyAlignment="1">
      <alignment horizontal="center" vertical="center" textRotation="45"/>
    </xf>
    <xf numFmtId="0" fontId="8" fillId="0" borderId="2" xfId="0" applyFont="1" applyBorder="1" applyAlignment="1">
      <alignment horizontal="center" vertical="center" textRotation="45"/>
    </xf>
    <xf numFmtId="0" fontId="8" fillId="0" borderId="8" xfId="0" applyFont="1" applyBorder="1" applyAlignment="1">
      <alignment horizontal="center" vertical="center" textRotation="45"/>
    </xf>
    <xf numFmtId="0" fontId="5" fillId="13" borderId="7" xfId="0" applyFont="1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14" xfId="1" applyBorder="1" applyAlignment="1">
      <alignment horizontal="center" vertical="center"/>
    </xf>
    <xf numFmtId="0" fontId="6" fillId="0" borderId="0" xfId="1" applyBorder="1" applyAlignment="1">
      <alignment horizontal="center" vertical="center"/>
    </xf>
    <xf numFmtId="0" fontId="11" fillId="14" borderId="12" xfId="0" applyFont="1" applyFill="1" applyBorder="1" applyAlignment="1">
      <alignment horizontal="center"/>
    </xf>
    <xf numFmtId="0" fontId="11" fillId="14" borderId="3" xfId="0" applyFont="1" applyFill="1" applyBorder="1" applyAlignment="1">
      <alignment horizontal="center"/>
    </xf>
    <xf numFmtId="0" fontId="11" fillId="14" borderId="13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Age!$B$4:$B$9</c:f>
              <c:strCache>
                <c:ptCount val="6"/>
                <c:pt idx="0">
                  <c:v>Ali</c:v>
                </c:pt>
                <c:pt idx="1">
                  <c:v>Riad</c:v>
                </c:pt>
                <c:pt idx="2">
                  <c:v>Hasan</c:v>
                </c:pt>
                <c:pt idx="3">
                  <c:v>Amena</c:v>
                </c:pt>
                <c:pt idx="4">
                  <c:v>Sarah</c:v>
                </c:pt>
                <c:pt idx="5">
                  <c:v>Roy</c:v>
                </c:pt>
              </c:strCache>
            </c:strRef>
          </c:cat>
          <c:val>
            <c:numRef>
              <c:f>Age!$C$4:$C$9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30</c:v>
                </c:pt>
                <c:pt idx="3">
                  <c:v>28</c:v>
                </c:pt>
                <c:pt idx="4">
                  <c:v>12</c:v>
                </c:pt>
                <c:pt idx="5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DE-4980-A0B8-F1D49A719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308991"/>
        <c:axId val="1915364255"/>
      </c:barChart>
      <c:catAx>
        <c:axId val="1877308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364255"/>
        <c:crosses val="autoZero"/>
        <c:auto val="1"/>
        <c:lblAlgn val="ctr"/>
        <c:lblOffset val="100"/>
        <c:noMultiLvlLbl val="0"/>
      </c:catAx>
      <c:valAx>
        <c:axId val="191536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308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FD7-4BAD-8DB9-AE89A06528CC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D7-4BAD-8DB9-AE89A06528CC}"/>
              </c:ext>
            </c:extLst>
          </c:dPt>
          <c:cat>
            <c:strRef>
              <c:f>[1]Sheet1!$A$15:$A$16</c:f>
              <c:strCache>
                <c:ptCount val="2"/>
                <c:pt idx="0">
                  <c:v>Total Monthly Income</c:v>
                </c:pt>
                <c:pt idx="1">
                  <c:v>Total Monthly Expenses</c:v>
                </c:pt>
              </c:strCache>
            </c:strRef>
          </c:cat>
          <c:val>
            <c:numRef>
              <c:f>[1]Sheet1!$B$15:$B$16</c:f>
              <c:numCache>
                <c:formatCode>General</c:formatCode>
                <c:ptCount val="2"/>
                <c:pt idx="0">
                  <c:v>30000</c:v>
                </c:pt>
                <c:pt idx="1">
                  <c:v>17900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D7-4BAD-8DB9-AE89A0652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5028368"/>
        <c:axId val="1885029808"/>
      </c:barChart>
      <c:catAx>
        <c:axId val="188502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029808"/>
        <c:crosses val="autoZero"/>
        <c:auto val="1"/>
        <c:lblAlgn val="ctr"/>
        <c:lblOffset val="100"/>
        <c:noMultiLvlLbl val="0"/>
      </c:catAx>
      <c:valAx>
        <c:axId val="188502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02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277585</xdr:colOff>
      <xdr:row>9</xdr:row>
      <xdr:rowOff>34018</xdr:rowOff>
    </xdr:from>
    <xdr:to>
      <xdr:col>7</xdr:col>
      <xdr:colOff>217714</xdr:colOff>
      <xdr:row>19</xdr:row>
      <xdr:rowOff>123828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1104034</xdr:colOff>
      <xdr:row>18</xdr:row>
      <xdr:rowOff>865</xdr:rowOff>
    </xdr:from>
    <xdr:to>
      <xdr:col>4</xdr:col>
      <xdr:colOff>865909</xdr:colOff>
      <xdr:row>28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5A3285-6FF8-4755-AF8F-856B88F89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T%20Center%20PC%2015/Desktop/MD%20Refadul%20Islam%20Chy/Excel/Asif%20sir%20Class/Monthly%20Budget%20Track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5">
          <cell r="A15" t="str">
            <v>Total Monthly Income</v>
          </cell>
          <cell r="B15">
            <v>30000</v>
          </cell>
        </row>
        <row r="16">
          <cell r="A16" t="str">
            <v>Total Monthly Expenses</v>
          </cell>
          <cell r="B16">
            <v>17900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rashedict.com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zoomScale="140" zoomScaleNormal="140" workbookViewId="0">
      <selection activeCell="D12" sqref="D12"/>
    </sheetView>
  </sheetViews>
  <sheetFormatPr defaultRowHeight="15"/>
  <sheetData>
    <row r="1" spans="1:11" ht="25.5">
      <c r="A1" s="27" t="s">
        <v>12</v>
      </c>
      <c r="B1" s="28"/>
      <c r="C1" s="28"/>
      <c r="D1" s="28"/>
      <c r="E1" s="28"/>
      <c r="F1" s="28"/>
      <c r="G1" s="28"/>
      <c r="H1" s="28"/>
      <c r="I1" s="28"/>
      <c r="J1" s="28"/>
      <c r="K1" s="28"/>
    </row>
    <row r="2" spans="1:11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</row>
    <row r="3" spans="1:11" ht="20.25">
      <c r="A3" s="29" t="s">
        <v>11</v>
      </c>
      <c r="B3" s="30"/>
      <c r="C3" s="30"/>
      <c r="D3" s="30"/>
      <c r="E3" s="30"/>
      <c r="F3" s="30"/>
      <c r="G3" s="30"/>
      <c r="H3" s="30"/>
      <c r="I3" s="30"/>
      <c r="J3" s="30"/>
      <c r="K3" s="30"/>
    </row>
    <row r="4" spans="1:11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</row>
    <row r="5" spans="1:11" ht="45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</row>
    <row r="6" spans="1:11">
      <c r="A6" s="3" t="s">
        <v>13</v>
      </c>
      <c r="B6" s="1" t="s">
        <v>22</v>
      </c>
      <c r="C6" s="1" t="s">
        <v>28</v>
      </c>
      <c r="D6" s="1" t="s">
        <v>36</v>
      </c>
      <c r="E6" s="1">
        <v>42</v>
      </c>
      <c r="F6" s="1">
        <f>IF(D6="Grade-1",E6*500,IF(D6="Grade-2",E6*400,IF(D6="Grade-3",E6*300)))</f>
        <v>21000</v>
      </c>
      <c r="G6" s="1">
        <f>IF(E6&gt;40,(E6-40)*200,0)</f>
        <v>400</v>
      </c>
      <c r="H6" s="1">
        <v>500</v>
      </c>
      <c r="I6" s="1">
        <f>F6+G6+H6</f>
        <v>21900</v>
      </c>
      <c r="J6" s="1">
        <f>I6*10%</f>
        <v>2190</v>
      </c>
      <c r="K6" s="1">
        <f>I6-J6</f>
        <v>19710</v>
      </c>
    </row>
    <row r="7" spans="1:11">
      <c r="A7" s="3" t="s">
        <v>14</v>
      </c>
      <c r="B7" s="1" t="s">
        <v>21</v>
      </c>
      <c r="C7" s="1" t="s">
        <v>29</v>
      </c>
      <c r="D7" s="1" t="s">
        <v>37</v>
      </c>
      <c r="E7" s="1">
        <v>35</v>
      </c>
      <c r="F7" s="1">
        <f t="shared" ref="F7:F13" si="0">IF(D7="Grade-1",E7*500,IF(D7="Grade-2",E7*400,IF(D7="Grade-3",E7*300)))</f>
        <v>14000</v>
      </c>
      <c r="G7" s="1">
        <f t="shared" ref="G7:G13" si="1">IF(E7&gt;40,(E7-40)*200,0)</f>
        <v>0</v>
      </c>
      <c r="H7" s="1">
        <v>500</v>
      </c>
      <c r="I7" s="1">
        <f t="shared" ref="I7:I13" si="2">F7+G7+H7</f>
        <v>14500</v>
      </c>
      <c r="J7" s="1">
        <f t="shared" ref="J7:J13" si="3">I7*10%</f>
        <v>1450</v>
      </c>
      <c r="K7" s="1">
        <f t="shared" ref="K7:K13" si="4">I7-J7</f>
        <v>13050</v>
      </c>
    </row>
    <row r="8" spans="1:11">
      <c r="A8" s="3" t="s">
        <v>15</v>
      </c>
      <c r="B8" s="1" t="s">
        <v>23</v>
      </c>
      <c r="C8" s="1" t="s">
        <v>30</v>
      </c>
      <c r="D8" s="1" t="s">
        <v>36</v>
      </c>
      <c r="E8" s="1">
        <v>43</v>
      </c>
      <c r="F8" s="1">
        <f t="shared" si="0"/>
        <v>21500</v>
      </c>
      <c r="G8" s="1">
        <f t="shared" si="1"/>
        <v>600</v>
      </c>
      <c r="H8" s="1">
        <v>500</v>
      </c>
      <c r="I8" s="1">
        <f t="shared" si="2"/>
        <v>22600</v>
      </c>
      <c r="J8" s="1">
        <f t="shared" si="3"/>
        <v>2260</v>
      </c>
      <c r="K8" s="1">
        <f t="shared" si="4"/>
        <v>20340</v>
      </c>
    </row>
    <row r="9" spans="1:11">
      <c r="A9" s="3" t="s">
        <v>16</v>
      </c>
      <c r="B9" s="1" t="s">
        <v>24</v>
      </c>
      <c r="C9" s="1" t="s">
        <v>31</v>
      </c>
      <c r="D9" s="1" t="s">
        <v>36</v>
      </c>
      <c r="E9" s="1">
        <v>44</v>
      </c>
      <c r="F9" s="1">
        <f t="shared" si="0"/>
        <v>22000</v>
      </c>
      <c r="G9" s="1">
        <f t="shared" si="1"/>
        <v>800</v>
      </c>
      <c r="H9" s="1">
        <v>500</v>
      </c>
      <c r="I9" s="1">
        <f t="shared" si="2"/>
        <v>23300</v>
      </c>
      <c r="J9" s="1">
        <f t="shared" si="3"/>
        <v>2330</v>
      </c>
      <c r="K9" s="1">
        <f t="shared" si="4"/>
        <v>20970</v>
      </c>
    </row>
    <row r="10" spans="1:11">
      <c r="A10" s="3" t="s">
        <v>17</v>
      </c>
      <c r="B10" s="1" t="s">
        <v>76</v>
      </c>
      <c r="C10" s="1" t="s">
        <v>32</v>
      </c>
      <c r="D10" s="1" t="s">
        <v>37</v>
      </c>
      <c r="E10" s="1">
        <v>48</v>
      </c>
      <c r="F10" s="1">
        <f t="shared" si="0"/>
        <v>19200</v>
      </c>
      <c r="G10" s="1">
        <f t="shared" si="1"/>
        <v>1600</v>
      </c>
      <c r="H10" s="1">
        <v>500</v>
      </c>
      <c r="I10" s="1">
        <f t="shared" si="2"/>
        <v>21300</v>
      </c>
      <c r="J10" s="1">
        <f t="shared" si="3"/>
        <v>2130</v>
      </c>
      <c r="K10" s="1">
        <f t="shared" si="4"/>
        <v>19170</v>
      </c>
    </row>
    <row r="11" spans="1:11" ht="15.75" customHeight="1">
      <c r="A11" s="3" t="s">
        <v>18</v>
      </c>
      <c r="B11" s="1" t="s">
        <v>25</v>
      </c>
      <c r="C11" s="1" t="s">
        <v>33</v>
      </c>
      <c r="D11" s="1" t="s">
        <v>38</v>
      </c>
      <c r="E11" s="1">
        <v>54</v>
      </c>
      <c r="F11" s="1">
        <f t="shared" si="0"/>
        <v>16200</v>
      </c>
      <c r="G11" s="1">
        <f t="shared" si="1"/>
        <v>2800</v>
      </c>
      <c r="H11" s="1">
        <v>500</v>
      </c>
      <c r="I11" s="1">
        <f t="shared" si="2"/>
        <v>19500</v>
      </c>
      <c r="J11" s="1">
        <f t="shared" si="3"/>
        <v>1950</v>
      </c>
      <c r="K11" s="1">
        <f t="shared" si="4"/>
        <v>17550</v>
      </c>
    </row>
    <row r="12" spans="1:11">
      <c r="A12" s="3" t="s">
        <v>19</v>
      </c>
      <c r="B12" s="1" t="s">
        <v>26</v>
      </c>
      <c r="C12" s="1" t="s">
        <v>34</v>
      </c>
      <c r="D12" s="1" t="s">
        <v>36</v>
      </c>
      <c r="E12" s="1">
        <v>45</v>
      </c>
      <c r="F12" s="1">
        <f t="shared" si="0"/>
        <v>22500</v>
      </c>
      <c r="G12" s="1">
        <f t="shared" si="1"/>
        <v>1000</v>
      </c>
      <c r="H12" s="1">
        <v>500</v>
      </c>
      <c r="I12" s="1">
        <f t="shared" si="2"/>
        <v>24000</v>
      </c>
      <c r="J12" s="1">
        <f t="shared" si="3"/>
        <v>2400</v>
      </c>
      <c r="K12" s="1">
        <f t="shared" si="4"/>
        <v>21600</v>
      </c>
    </row>
    <row r="13" spans="1:11">
      <c r="A13" s="3" t="s">
        <v>20</v>
      </c>
      <c r="B13" s="1" t="s">
        <v>27</v>
      </c>
      <c r="C13" s="1" t="s">
        <v>35</v>
      </c>
      <c r="D13" s="1" t="s">
        <v>37</v>
      </c>
      <c r="E13" s="1">
        <v>35</v>
      </c>
      <c r="F13" s="1">
        <f t="shared" si="0"/>
        <v>14000</v>
      </c>
      <c r="G13" s="1">
        <f t="shared" si="1"/>
        <v>0</v>
      </c>
      <c r="H13" s="1">
        <v>500</v>
      </c>
      <c r="I13" s="1">
        <f t="shared" si="2"/>
        <v>14500</v>
      </c>
      <c r="J13" s="1">
        <f t="shared" si="3"/>
        <v>1450</v>
      </c>
      <c r="K13" s="1">
        <f t="shared" si="4"/>
        <v>13050</v>
      </c>
    </row>
    <row r="16" spans="1:11">
      <c r="E16" t="b">
        <f>AND(COUNTIF($B$6:$B$13,B6)=1,LEN(B6)=7,LEFT(B6,2)="pb",ISNUMBER(VALUE(RIGHT(B6,5))))</f>
        <v>1</v>
      </c>
    </row>
  </sheetData>
  <mergeCells count="4">
    <mergeCell ref="A1:K1"/>
    <mergeCell ref="A3:K3"/>
    <mergeCell ref="A2:K2"/>
    <mergeCell ref="A4:K4"/>
  </mergeCells>
  <dataValidations count="2">
    <dataValidation type="list" allowBlank="1" showInputMessage="1" showErrorMessage="1" sqref="D6:D13" xr:uid="{00000000-0002-0000-0000-000000000000}">
      <formula1>$D$6:$D$13</formula1>
    </dataValidation>
    <dataValidation type="custom" allowBlank="1" showInputMessage="1" showErrorMessage="1" sqref="B6:B13" xr:uid="{00000000-0002-0000-0000-000001000000}">
      <formula1>AND(COUNTIF($B$6:$B$13,B6)=1,LEN(B6)=7,LEFT(B6,2)="pb",ISNUMBER(VALUE(RIGHT(B6,5))))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"/>
  <sheetViews>
    <sheetView tabSelected="1" zoomScaleNormal="100" workbookViewId="0">
      <selection sqref="A1:M3"/>
    </sheetView>
  </sheetViews>
  <sheetFormatPr defaultRowHeight="15"/>
  <cols>
    <col min="1" max="1" width="3.42578125" customWidth="1"/>
    <col min="2" max="2" width="10.42578125" customWidth="1"/>
    <col min="4" max="4" width="11.140625" customWidth="1"/>
    <col min="5" max="5" width="12.140625" customWidth="1"/>
    <col min="6" max="6" width="12.85546875" customWidth="1"/>
    <col min="7" max="7" width="10.7109375" customWidth="1"/>
    <col min="8" max="8" width="10.140625" customWidth="1"/>
    <col min="11" max="11" width="10.28515625" customWidth="1"/>
  </cols>
  <sheetData>
    <row r="1" spans="1:13" ht="25.5" customHeight="1">
      <c r="A1" s="33" t="s">
        <v>39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5"/>
    </row>
    <row r="2" spans="1:13" ht="21.75" customHeight="1">
      <c r="A2" s="36" t="s">
        <v>40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8"/>
    </row>
    <row r="3" spans="1:13" ht="45">
      <c r="A3" s="4" t="s">
        <v>41</v>
      </c>
      <c r="B3" s="4" t="s">
        <v>42</v>
      </c>
      <c r="C3" s="4" t="s">
        <v>2</v>
      </c>
      <c r="D3" s="4" t="s">
        <v>43</v>
      </c>
      <c r="E3" s="4" t="s">
        <v>44</v>
      </c>
      <c r="F3" s="4" t="s">
        <v>45</v>
      </c>
      <c r="G3" s="4" t="s">
        <v>46</v>
      </c>
      <c r="H3" s="4" t="s">
        <v>47</v>
      </c>
      <c r="I3" s="4" t="s">
        <v>48</v>
      </c>
      <c r="J3" s="5" t="s">
        <v>51</v>
      </c>
      <c r="K3" s="4" t="s">
        <v>49</v>
      </c>
      <c r="L3" s="4" t="s">
        <v>50</v>
      </c>
      <c r="M3" s="4" t="s">
        <v>52</v>
      </c>
    </row>
    <row r="4" spans="1:13">
      <c r="A4" s="1">
        <v>1</v>
      </c>
      <c r="B4" s="1" t="s">
        <v>53</v>
      </c>
      <c r="C4" s="1" t="s">
        <v>61</v>
      </c>
      <c r="D4" s="1" t="s">
        <v>68</v>
      </c>
      <c r="E4" s="1">
        <f>IF(D4="CEO",50000,IF(D4="MD",45000,IF(D4="MANAGER",40000,IF(D4="IT",35000,IF(D4="EXECUTIVE",30000,IF(D4="TRAINER",30000,IF(D4="OTHERS",20000,IF(D4="OTHERS",20000,))))))))</f>
        <v>50000</v>
      </c>
      <c r="F4" s="1">
        <f>IF(D4="CEO",E4*50%,IF(D4="MD",E4*45%,IF(D4="MANAGER",E4*40%,IF(D4="IT",E4*35%,IF(D4="EXECUTIVE",E4*30%,IF(D4="TRAINER",E4*30%,IF(D4="OTHERS",E4*30%,IF(D4="OTHERS",E4*30%,))))))))</f>
        <v>25000</v>
      </c>
      <c r="G4" s="1">
        <f>E4*10%</f>
        <v>5000</v>
      </c>
      <c r="H4" s="1">
        <f>E4+F4+G4</f>
        <v>80000</v>
      </c>
      <c r="I4" s="1">
        <f>H4*10%</f>
        <v>8000</v>
      </c>
      <c r="J4" s="1">
        <f>H4-I4</f>
        <v>72000</v>
      </c>
      <c r="K4" s="39">
        <f>$J$4:$J$11</f>
        <v>72000</v>
      </c>
      <c r="L4" s="39">
        <f>MIN(J4:J11)</f>
        <v>25200</v>
      </c>
      <c r="M4" s="1">
        <f>RANK(J4,$J$4:$J$11,0)</f>
        <v>1</v>
      </c>
    </row>
    <row r="5" spans="1:13">
      <c r="A5" s="1">
        <v>2</v>
      </c>
      <c r="B5" s="1" t="s">
        <v>54</v>
      </c>
      <c r="C5" s="1" t="s">
        <v>62</v>
      </c>
      <c r="D5" s="1" t="s">
        <v>69</v>
      </c>
      <c r="E5" s="1">
        <f t="shared" ref="E5:E11" si="0">IF(D5="CEO",50000,IF(D5="MD",45000,IF(D5="MANAGER",40000,IF(D5="IT",35000,IF(D5="EXECUTIVE",30000,IF(D5="TRAINER",30000,IF(D5="OTHERS",20000,IF(D5="OTHERS",20000,))))))))</f>
        <v>45000</v>
      </c>
      <c r="F5" s="1">
        <f t="shared" ref="F5:F11" si="1">IF(D5="CEO",E5*50%,IF(D5="MD",E5*45%,IF(D5="MANAGER",E5*40%,IF(D5="IT",E5*35%,IF(D5="EXECUTIVE",E5*30%,IF(D5="TRAINER",E5*30%,IF(D5="OTHERS",E5*30%,IF(D5="OTHERS",E5*30%,))))))))</f>
        <v>20250</v>
      </c>
      <c r="G5" s="1">
        <f t="shared" ref="G5:G11" si="2">E5*10%</f>
        <v>4500</v>
      </c>
      <c r="H5" s="1">
        <f t="shared" ref="H5:H11" si="3">E5+F5+G5</f>
        <v>69750</v>
      </c>
      <c r="I5" s="1">
        <f t="shared" ref="I5:I11" si="4">H5*10%</f>
        <v>6975</v>
      </c>
      <c r="J5" s="1">
        <f t="shared" ref="J5:J11" si="5">H5-I5</f>
        <v>62775</v>
      </c>
      <c r="K5" s="40"/>
      <c r="L5" s="40"/>
      <c r="M5" s="1">
        <f t="shared" ref="M5:M11" si="6">RANK(J5,$J$4:$J$11,0)</f>
        <v>2</v>
      </c>
    </row>
    <row r="6" spans="1:13">
      <c r="A6" s="1">
        <v>3</v>
      </c>
      <c r="B6" s="1" t="s">
        <v>55</v>
      </c>
      <c r="C6" s="1" t="s">
        <v>28</v>
      </c>
      <c r="D6" s="1" t="s">
        <v>70</v>
      </c>
      <c r="E6" s="1">
        <f t="shared" si="0"/>
        <v>40000</v>
      </c>
      <c r="F6" s="1">
        <f t="shared" si="1"/>
        <v>16000</v>
      </c>
      <c r="G6" s="1">
        <f t="shared" si="2"/>
        <v>4000</v>
      </c>
      <c r="H6" s="1">
        <f t="shared" si="3"/>
        <v>60000</v>
      </c>
      <c r="I6" s="1">
        <f t="shared" si="4"/>
        <v>6000</v>
      </c>
      <c r="J6" s="1">
        <f t="shared" si="5"/>
        <v>54000</v>
      </c>
      <c r="K6" s="40"/>
      <c r="L6" s="40"/>
      <c r="M6" s="1">
        <f t="shared" si="6"/>
        <v>3</v>
      </c>
    </row>
    <row r="7" spans="1:13">
      <c r="A7" s="1">
        <v>4</v>
      </c>
      <c r="B7" s="1" t="s">
        <v>56</v>
      </c>
      <c r="C7" s="1" t="s">
        <v>63</v>
      </c>
      <c r="D7" s="1" t="s">
        <v>71</v>
      </c>
      <c r="E7" s="1">
        <f t="shared" si="0"/>
        <v>35000</v>
      </c>
      <c r="F7" s="1">
        <f t="shared" si="1"/>
        <v>12250</v>
      </c>
      <c r="G7" s="1">
        <f t="shared" si="2"/>
        <v>3500</v>
      </c>
      <c r="H7" s="1">
        <f t="shared" si="3"/>
        <v>50750</v>
      </c>
      <c r="I7" s="1">
        <f t="shared" si="4"/>
        <v>5075</v>
      </c>
      <c r="J7" s="1">
        <f t="shared" si="5"/>
        <v>45675</v>
      </c>
      <c r="K7" s="40"/>
      <c r="L7" s="40"/>
      <c r="M7" s="1">
        <f t="shared" si="6"/>
        <v>4</v>
      </c>
    </row>
    <row r="8" spans="1:13">
      <c r="A8" s="1">
        <v>5</v>
      </c>
      <c r="B8" s="1" t="s">
        <v>57</v>
      </c>
      <c r="C8" s="1" t="s">
        <v>64</v>
      </c>
      <c r="D8" s="1" t="s">
        <v>72</v>
      </c>
      <c r="E8" s="1">
        <f t="shared" si="0"/>
        <v>30000</v>
      </c>
      <c r="F8" s="1">
        <f t="shared" si="1"/>
        <v>9000</v>
      </c>
      <c r="G8" s="1">
        <f t="shared" si="2"/>
        <v>3000</v>
      </c>
      <c r="H8" s="1">
        <f t="shared" si="3"/>
        <v>42000</v>
      </c>
      <c r="I8" s="1">
        <f t="shared" si="4"/>
        <v>4200</v>
      </c>
      <c r="J8" s="1">
        <f t="shared" si="5"/>
        <v>37800</v>
      </c>
      <c r="K8" s="40"/>
      <c r="L8" s="40"/>
      <c r="M8" s="1">
        <f t="shared" si="6"/>
        <v>5</v>
      </c>
    </row>
    <row r="9" spans="1:13">
      <c r="A9" s="1">
        <v>6</v>
      </c>
      <c r="B9" s="1" t="s">
        <v>58</v>
      </c>
      <c r="C9" s="1" t="s">
        <v>65</v>
      </c>
      <c r="D9" s="1" t="s">
        <v>73</v>
      </c>
      <c r="E9" s="1">
        <f t="shared" si="0"/>
        <v>30000</v>
      </c>
      <c r="F9" s="1">
        <f t="shared" si="1"/>
        <v>9000</v>
      </c>
      <c r="G9" s="1">
        <f t="shared" si="2"/>
        <v>3000</v>
      </c>
      <c r="H9" s="1">
        <f t="shared" si="3"/>
        <v>42000</v>
      </c>
      <c r="I9" s="1">
        <f t="shared" si="4"/>
        <v>4200</v>
      </c>
      <c r="J9" s="1">
        <f t="shared" si="5"/>
        <v>37800</v>
      </c>
      <c r="K9" s="40"/>
      <c r="L9" s="40"/>
      <c r="M9" s="1">
        <f t="shared" si="6"/>
        <v>5</v>
      </c>
    </row>
    <row r="10" spans="1:13">
      <c r="A10" s="1">
        <v>7</v>
      </c>
      <c r="B10" s="1" t="s">
        <v>59</v>
      </c>
      <c r="C10" s="1" t="s">
        <v>66</v>
      </c>
      <c r="D10" s="1" t="s">
        <v>74</v>
      </c>
      <c r="E10" s="1">
        <f t="shared" si="0"/>
        <v>20000</v>
      </c>
      <c r="F10" s="1">
        <f t="shared" si="1"/>
        <v>6000</v>
      </c>
      <c r="G10" s="1">
        <f t="shared" si="2"/>
        <v>2000</v>
      </c>
      <c r="H10" s="1">
        <f t="shared" si="3"/>
        <v>28000</v>
      </c>
      <c r="I10" s="1">
        <f t="shared" si="4"/>
        <v>2800</v>
      </c>
      <c r="J10" s="1">
        <f t="shared" si="5"/>
        <v>25200</v>
      </c>
      <c r="K10" s="40"/>
      <c r="L10" s="40"/>
      <c r="M10" s="1">
        <f t="shared" si="6"/>
        <v>7</v>
      </c>
    </row>
    <row r="11" spans="1:13">
      <c r="A11" s="1">
        <v>8</v>
      </c>
      <c r="B11" s="1" t="s">
        <v>60</v>
      </c>
      <c r="C11" s="1" t="s">
        <v>67</v>
      </c>
      <c r="D11" s="1" t="s">
        <v>74</v>
      </c>
      <c r="E11" s="1">
        <f t="shared" si="0"/>
        <v>20000</v>
      </c>
      <c r="F11" s="1">
        <f t="shared" si="1"/>
        <v>6000</v>
      </c>
      <c r="G11" s="1">
        <f t="shared" si="2"/>
        <v>2000</v>
      </c>
      <c r="H11" s="1">
        <f t="shared" si="3"/>
        <v>28000</v>
      </c>
      <c r="I11" s="1">
        <f t="shared" si="4"/>
        <v>2800</v>
      </c>
      <c r="J11" s="1">
        <f t="shared" si="5"/>
        <v>25200</v>
      </c>
      <c r="K11" s="41"/>
      <c r="L11" s="41"/>
      <c r="M11" s="1">
        <f t="shared" si="6"/>
        <v>7</v>
      </c>
    </row>
    <row r="14" spans="1:13">
      <c r="B14" s="6" t="s">
        <v>213</v>
      </c>
      <c r="C14" s="6" t="s">
        <v>214</v>
      </c>
      <c r="D14" s="6" t="s">
        <v>43</v>
      </c>
      <c r="E14" s="6" t="s">
        <v>215</v>
      </c>
      <c r="F14" s="6" t="s">
        <v>216</v>
      </c>
      <c r="G14" s="6" t="s">
        <v>46</v>
      </c>
      <c r="H14" s="6" t="s">
        <v>47</v>
      </c>
      <c r="I14" s="6" t="s">
        <v>217</v>
      </c>
      <c r="J14" s="6" t="s">
        <v>51</v>
      </c>
    </row>
    <row r="15" spans="1:13">
      <c r="B15" s="1">
        <v>1</v>
      </c>
      <c r="C15" s="1" t="str">
        <f>VLOOKUP(B15,A4:C11,3,FALSE)</f>
        <v>Saddam</v>
      </c>
      <c r="D15" s="1" t="str">
        <f>VLOOKUP(B15,A4:D11,4,FALSE)</f>
        <v>CEO</v>
      </c>
      <c r="E15" s="1">
        <f>VLOOKUP(B15,A4:E11,5,FALSE)</f>
        <v>50000</v>
      </c>
      <c r="F15" s="1">
        <f>VLOOKUP(B15,A4:G11,6,FALSE)</f>
        <v>25000</v>
      </c>
      <c r="G15" s="1">
        <f>VLOOKUP(B15,A4:G11,7,FALSE)</f>
        <v>5000</v>
      </c>
      <c r="H15" s="1">
        <f>VLOOKUP(B15,A4:H11,8,FALSE)</f>
        <v>80000</v>
      </c>
      <c r="I15" s="1">
        <f>VLOOKUP(B15,A4:I11,9,FALSE)</f>
        <v>8000</v>
      </c>
      <c r="J15" s="1">
        <f>VLOOKUP(B15,A4:J11,10,FALSE)</f>
        <v>72000</v>
      </c>
    </row>
  </sheetData>
  <mergeCells count="4">
    <mergeCell ref="A1:M1"/>
    <mergeCell ref="A2:M2"/>
    <mergeCell ref="K4:K11"/>
    <mergeCell ref="L4:L11"/>
  </mergeCells>
  <dataValidations count="2">
    <dataValidation type="list" allowBlank="1" showInputMessage="1" showErrorMessage="1" sqref="D4" xr:uid="{00000000-0002-0000-0100-000000000000}">
      <formula1>"CEO,MD,MANAGE,IT,EXECUTIVE,TRAINER,OTHERS,OTHERS"</formula1>
    </dataValidation>
    <dataValidation type="list" allowBlank="1" showInputMessage="1" showErrorMessage="1" sqref="B15" xr:uid="{B4E29288-E6FA-4EB6-A557-62AC01CEAB08}">
      <formula1>$A$4:$A$11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CD1C2-5EEE-4AE4-B655-304326D7B52D}">
  <dimension ref="A1:M15"/>
  <sheetViews>
    <sheetView workbookViewId="0">
      <selection activeCell="F17" sqref="F17"/>
    </sheetView>
  </sheetViews>
  <sheetFormatPr defaultRowHeight="15"/>
  <cols>
    <col min="3" max="3" width="18.28515625" customWidth="1"/>
    <col min="4" max="4" width="18.140625" customWidth="1"/>
    <col min="5" max="5" width="15.140625" customWidth="1"/>
    <col min="6" max="6" width="11" customWidth="1"/>
    <col min="7" max="7" width="14.42578125" customWidth="1"/>
    <col min="9" max="9" width="12.5703125" customWidth="1"/>
  </cols>
  <sheetData>
    <row r="1" spans="1:13" ht="22.5">
      <c r="A1" s="43" t="s">
        <v>219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1:13" s="42" customFormat="1"/>
    <row r="3" spans="1:13" s="22" customFormat="1" ht="44.25" customHeight="1">
      <c r="A3" s="21" t="s">
        <v>77</v>
      </c>
      <c r="B3" s="21" t="s">
        <v>78</v>
      </c>
      <c r="C3" s="21" t="s">
        <v>79</v>
      </c>
      <c r="D3" s="21" t="s">
        <v>80</v>
      </c>
      <c r="E3" s="21" t="s">
        <v>81</v>
      </c>
      <c r="F3" s="21" t="s">
        <v>82</v>
      </c>
      <c r="G3" s="21" t="s">
        <v>83</v>
      </c>
      <c r="H3" s="21" t="s">
        <v>84</v>
      </c>
      <c r="I3" s="21" t="s">
        <v>85</v>
      </c>
      <c r="J3" s="21" t="s">
        <v>86</v>
      </c>
      <c r="K3" s="21" t="s">
        <v>51</v>
      </c>
      <c r="L3" s="21" t="s">
        <v>87</v>
      </c>
      <c r="M3" s="21" t="s">
        <v>88</v>
      </c>
    </row>
    <row r="4" spans="1:13">
      <c r="A4" s="6">
        <v>1</v>
      </c>
      <c r="B4" s="6" t="s">
        <v>75</v>
      </c>
      <c r="C4" s="6" t="s">
        <v>220</v>
      </c>
      <c r="D4" s="23">
        <v>45444</v>
      </c>
      <c r="E4" s="6">
        <v>6525</v>
      </c>
      <c r="F4" s="6">
        <v>9865</v>
      </c>
      <c r="G4" s="6">
        <f>F4-E4</f>
        <v>3340</v>
      </c>
      <c r="H4" s="6">
        <f>IF(G4&lt;=75,(75*4.75),IF(G4&lt;=125,(75*4.75)+(G4-75)*5.2,IF(G4&lt;=150,(75*4.75)+(50*5.2)+(G4-125)*5.5,IF(G4&lt;=250,(75*4.75)+(50*5.2)+(25*5.5)+(G4-150)*6,IF(G4&lt;=400,(75*4.75)+(50*5.2)+(25*5.5)+(100*6)+(G4-250)*6.5,IF(G4&gt;=400,(75*4.75)+(50*5.2)+(25*5.5)+(100*6)+(150*6.5)+(G4-400)*7))))))</f>
        <v>22908.75</v>
      </c>
      <c r="I4" s="6">
        <v>50</v>
      </c>
      <c r="J4" s="6">
        <f>H4*5%</f>
        <v>1145.4375</v>
      </c>
      <c r="K4" s="6">
        <f>H4+I4+J4</f>
        <v>24104.1875</v>
      </c>
      <c r="L4" s="39">
        <f>MAX(K4:K11)</f>
        <v>36547.737500000003</v>
      </c>
      <c r="M4" s="39">
        <f>MIN(K4:K11)</f>
        <v>2440.5875000000001</v>
      </c>
    </row>
    <row r="5" spans="1:13">
      <c r="A5" s="6">
        <v>2</v>
      </c>
      <c r="B5" s="6" t="s">
        <v>89</v>
      </c>
      <c r="C5" s="6" t="s">
        <v>221</v>
      </c>
      <c r="D5" s="23">
        <v>45445</v>
      </c>
      <c r="E5" s="6">
        <v>5426</v>
      </c>
      <c r="F5" s="6">
        <v>7845</v>
      </c>
      <c r="G5" s="6">
        <f t="shared" ref="G5:G11" si="0">F5-E5</f>
        <v>2419</v>
      </c>
      <c r="H5" s="6">
        <f t="shared" ref="H5:H11" si="1">IF(G5&lt;=75,(75*4.75),IF(G5&lt;=125,(75*4.75)+(G5-75)*5.2,IF(G5&lt;=150,(75*4.75)+(50*5.2)+(G5-125)*5.5,IF(G5&lt;=250,(75*4.75)+(50*5.2)+(25*5.5)+(G5-150)*6,IF(G5&lt;=400,(75*4.75)+(50*5.2)+(25*5.5)+(100*6)+(G5-250)*6.5,IF(G5&gt;=400,(75*4.75)+(50*5.2)+(25*5.5)+(100*6)+(150*6.5)+(G5-400)*7))))))</f>
        <v>16461.75</v>
      </c>
      <c r="I5" s="6">
        <v>50</v>
      </c>
      <c r="J5" s="6">
        <f t="shared" ref="J5:J11" si="2">H5*5%</f>
        <v>823.08750000000009</v>
      </c>
      <c r="K5" s="6">
        <f t="shared" ref="K5:K11" si="3">H5+I5+J5</f>
        <v>17334.837500000001</v>
      </c>
      <c r="L5" s="40"/>
      <c r="M5" s="40"/>
    </row>
    <row r="6" spans="1:13">
      <c r="A6" s="6">
        <v>3</v>
      </c>
      <c r="B6" s="6" t="s">
        <v>90</v>
      </c>
      <c r="C6" s="6" t="s">
        <v>222</v>
      </c>
      <c r="D6" s="23">
        <v>45446</v>
      </c>
      <c r="E6" s="6">
        <v>6156</v>
      </c>
      <c r="F6" s="6">
        <v>6548</v>
      </c>
      <c r="G6" s="6">
        <f t="shared" si="0"/>
        <v>392</v>
      </c>
      <c r="H6" s="6">
        <f t="shared" si="1"/>
        <v>2276.75</v>
      </c>
      <c r="I6" s="6">
        <v>50</v>
      </c>
      <c r="J6" s="6">
        <f t="shared" si="2"/>
        <v>113.83750000000001</v>
      </c>
      <c r="K6" s="6">
        <f t="shared" si="3"/>
        <v>2440.5875000000001</v>
      </c>
      <c r="L6" s="40"/>
      <c r="M6" s="40"/>
    </row>
    <row r="7" spans="1:13">
      <c r="A7" s="6">
        <v>4</v>
      </c>
      <c r="B7" s="6" t="s">
        <v>91</v>
      </c>
      <c r="C7" s="6" t="s">
        <v>223</v>
      </c>
      <c r="D7" s="23">
        <v>45447</v>
      </c>
      <c r="E7" s="6">
        <v>5321</v>
      </c>
      <c r="F7" s="6">
        <v>8574</v>
      </c>
      <c r="G7" s="6">
        <f t="shared" si="0"/>
        <v>3253</v>
      </c>
      <c r="H7" s="6">
        <f t="shared" si="1"/>
        <v>22299.75</v>
      </c>
      <c r="I7" s="6">
        <v>50</v>
      </c>
      <c r="J7" s="6">
        <f t="shared" si="2"/>
        <v>1114.9875</v>
      </c>
      <c r="K7" s="6">
        <f t="shared" si="3"/>
        <v>23464.737499999999</v>
      </c>
      <c r="L7" s="40"/>
      <c r="M7" s="40"/>
    </row>
    <row r="8" spans="1:13">
      <c r="A8" s="6">
        <v>5</v>
      </c>
      <c r="B8" s="6" t="s">
        <v>92</v>
      </c>
      <c r="C8" s="6" t="s">
        <v>224</v>
      </c>
      <c r="D8" s="23">
        <v>45448</v>
      </c>
      <c r="E8" s="6">
        <v>5412</v>
      </c>
      <c r="F8" s="6">
        <v>8956</v>
      </c>
      <c r="G8" s="6">
        <f t="shared" si="0"/>
        <v>3544</v>
      </c>
      <c r="H8" s="6">
        <f t="shared" si="1"/>
        <v>24336.75</v>
      </c>
      <c r="I8" s="6">
        <v>50</v>
      </c>
      <c r="J8" s="6">
        <f t="shared" si="2"/>
        <v>1216.8375000000001</v>
      </c>
      <c r="K8" s="6">
        <f t="shared" si="3"/>
        <v>25603.587500000001</v>
      </c>
      <c r="L8" s="40"/>
      <c r="M8" s="40"/>
    </row>
    <row r="9" spans="1:13">
      <c r="A9" s="6">
        <v>6</v>
      </c>
      <c r="B9" s="6" t="s">
        <v>93</v>
      </c>
      <c r="C9" s="6" t="s">
        <v>225</v>
      </c>
      <c r="D9" s="23">
        <v>45449</v>
      </c>
      <c r="E9" s="6">
        <v>4156</v>
      </c>
      <c r="F9" s="6">
        <v>8510</v>
      </c>
      <c r="G9" s="6">
        <f t="shared" si="0"/>
        <v>4354</v>
      </c>
      <c r="H9" s="6">
        <f t="shared" si="1"/>
        <v>30006.75</v>
      </c>
      <c r="I9" s="6">
        <v>50</v>
      </c>
      <c r="J9" s="6">
        <f t="shared" si="2"/>
        <v>1500.3375000000001</v>
      </c>
      <c r="K9" s="6">
        <f t="shared" si="3"/>
        <v>31557.087500000001</v>
      </c>
      <c r="L9" s="40"/>
      <c r="M9" s="40"/>
    </row>
    <row r="10" spans="1:13">
      <c r="A10" s="6">
        <v>7</v>
      </c>
      <c r="B10" s="6" t="s">
        <v>94</v>
      </c>
      <c r="C10" s="6" t="s">
        <v>226</v>
      </c>
      <c r="D10" s="23">
        <v>45450</v>
      </c>
      <c r="E10" s="6">
        <v>6213</v>
      </c>
      <c r="F10" s="6">
        <v>8912</v>
      </c>
      <c r="G10" s="6">
        <f t="shared" si="0"/>
        <v>2699</v>
      </c>
      <c r="H10" s="6">
        <f t="shared" si="1"/>
        <v>18421.75</v>
      </c>
      <c r="I10" s="6">
        <v>50</v>
      </c>
      <c r="J10" s="6">
        <f t="shared" si="2"/>
        <v>921.08750000000009</v>
      </c>
      <c r="K10" s="6">
        <f t="shared" si="3"/>
        <v>19392.837500000001</v>
      </c>
      <c r="L10" s="40"/>
      <c r="M10" s="40"/>
    </row>
    <row r="11" spans="1:13">
      <c r="A11" s="6">
        <v>8</v>
      </c>
      <c r="B11" s="6" t="s">
        <v>95</v>
      </c>
      <c r="C11" s="6" t="s">
        <v>227</v>
      </c>
      <c r="D11" s="23">
        <v>45451</v>
      </c>
      <c r="E11" s="6">
        <v>3452</v>
      </c>
      <c r="F11" s="6">
        <v>8485</v>
      </c>
      <c r="G11" s="6">
        <f t="shared" si="0"/>
        <v>5033</v>
      </c>
      <c r="H11" s="6">
        <f t="shared" si="1"/>
        <v>34759.75</v>
      </c>
      <c r="I11" s="6">
        <v>50</v>
      </c>
      <c r="J11" s="6">
        <f t="shared" si="2"/>
        <v>1737.9875000000002</v>
      </c>
      <c r="K11" s="6">
        <f t="shared" si="3"/>
        <v>36547.737500000003</v>
      </c>
      <c r="L11" s="41"/>
      <c r="M11" s="41"/>
    </row>
    <row r="14" spans="1:13">
      <c r="B14" s="1" t="s">
        <v>96</v>
      </c>
      <c r="C14" s="1" t="s">
        <v>97</v>
      </c>
    </row>
    <row r="15" spans="1:13">
      <c r="B15" s="1" t="s">
        <v>89</v>
      </c>
      <c r="C15" s="1">
        <f>VLOOKUP(B15,B4:K11,10,FALSE)</f>
        <v>17334.837500000001</v>
      </c>
    </row>
  </sheetData>
  <mergeCells count="4">
    <mergeCell ref="A2:XFD2"/>
    <mergeCell ref="A1:M1"/>
    <mergeCell ref="L4:L11"/>
    <mergeCell ref="M4:M11"/>
  </mergeCells>
  <dataValidations count="1">
    <dataValidation type="list" allowBlank="1" showInputMessage="1" showErrorMessage="1" sqref="B15" xr:uid="{73814A48-B08A-4746-BAC4-B5D454739933}">
      <formula1>$B$4:$B$11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2"/>
  <sheetViews>
    <sheetView zoomScale="140" zoomScaleNormal="140" workbookViewId="0">
      <selection activeCell="C14" sqref="C14"/>
    </sheetView>
  </sheetViews>
  <sheetFormatPr defaultRowHeight="15"/>
  <cols>
    <col min="9" max="9" width="11.5703125" customWidth="1"/>
  </cols>
  <sheetData>
    <row r="1" spans="1:9">
      <c r="A1" s="47" t="s">
        <v>98</v>
      </c>
      <c r="B1" s="47"/>
      <c r="C1" s="47"/>
      <c r="D1" s="47"/>
      <c r="E1" s="47"/>
      <c r="F1" s="47"/>
      <c r="G1" s="47"/>
      <c r="H1" s="47"/>
      <c r="I1" s="47"/>
    </row>
    <row r="2" spans="1:9">
      <c r="A2" s="31"/>
      <c r="B2" s="31"/>
      <c r="C2" s="31"/>
      <c r="D2" s="31"/>
      <c r="E2" s="31"/>
      <c r="F2" s="31"/>
      <c r="G2" s="31"/>
      <c r="H2" s="31"/>
      <c r="I2" s="31"/>
    </row>
    <row r="3" spans="1:9" ht="30">
      <c r="A3" s="6" t="s">
        <v>99</v>
      </c>
      <c r="B3" s="6" t="s">
        <v>2</v>
      </c>
      <c r="C3" s="6" t="s">
        <v>98</v>
      </c>
      <c r="D3" s="6" t="s">
        <v>100</v>
      </c>
      <c r="E3" s="6" t="s">
        <v>101</v>
      </c>
      <c r="F3" s="6" t="s">
        <v>102</v>
      </c>
      <c r="G3" s="6" t="s">
        <v>103</v>
      </c>
      <c r="H3" s="6" t="s">
        <v>104</v>
      </c>
      <c r="I3" s="4" t="s">
        <v>105</v>
      </c>
    </row>
    <row r="4" spans="1:9">
      <c r="A4" s="1">
        <v>1</v>
      </c>
      <c r="B4" s="1" t="s">
        <v>106</v>
      </c>
      <c r="C4" s="1">
        <v>30</v>
      </c>
      <c r="D4" s="39">
        <f>SUM(C4:C9)</f>
        <v>169</v>
      </c>
      <c r="E4" s="39">
        <f>AVERAGE(C4:C9)</f>
        <v>28.166666666666668</v>
      </c>
      <c r="F4" s="39">
        <f>COUNT(C4:C9)</f>
        <v>6</v>
      </c>
      <c r="G4" s="39">
        <f>MAX(C4:C9)</f>
        <v>44</v>
      </c>
      <c r="H4" s="39">
        <f>MIN(C4:C9)</f>
        <v>12</v>
      </c>
      <c r="I4" s="1" t="str">
        <f>IF(C4&lt;=12,"Chidren",IF(C4&lt;=25,"Youth",IF(C4&lt;=44,"Adult")))</f>
        <v>Adult</v>
      </c>
    </row>
    <row r="5" spans="1:9">
      <c r="A5" s="1">
        <v>2</v>
      </c>
      <c r="B5" s="1" t="s">
        <v>107</v>
      </c>
      <c r="C5" s="1">
        <v>25</v>
      </c>
      <c r="D5" s="40"/>
      <c r="E5" s="40"/>
      <c r="F5" s="40"/>
      <c r="G5" s="40"/>
      <c r="H5" s="40"/>
      <c r="I5" s="1" t="str">
        <f t="shared" ref="I5:I9" si="0">IF(C5&lt;=12,"Chidren",IF(C5&lt;=25,"Youth",IF(C5&lt;=44,"Adult")))</f>
        <v>Youth</v>
      </c>
    </row>
    <row r="6" spans="1:9">
      <c r="A6" s="1">
        <v>3</v>
      </c>
      <c r="B6" s="1" t="s">
        <v>108</v>
      </c>
      <c r="C6" s="1">
        <v>30</v>
      </c>
      <c r="D6" s="40"/>
      <c r="E6" s="40"/>
      <c r="F6" s="40"/>
      <c r="G6" s="40"/>
      <c r="H6" s="40"/>
      <c r="I6" s="1" t="str">
        <f t="shared" si="0"/>
        <v>Adult</v>
      </c>
    </row>
    <row r="7" spans="1:9">
      <c r="A7" s="1">
        <v>4</v>
      </c>
      <c r="B7" s="1" t="s">
        <v>109</v>
      </c>
      <c r="C7" s="1">
        <v>28</v>
      </c>
      <c r="D7" s="40"/>
      <c r="E7" s="40"/>
      <c r="F7" s="40"/>
      <c r="G7" s="40"/>
      <c r="H7" s="40"/>
      <c r="I7" s="1" t="str">
        <f t="shared" si="0"/>
        <v>Adult</v>
      </c>
    </row>
    <row r="8" spans="1:9">
      <c r="A8" s="1">
        <v>5</v>
      </c>
      <c r="B8" s="1" t="s">
        <v>110</v>
      </c>
      <c r="C8" s="1">
        <v>12</v>
      </c>
      <c r="D8" s="40"/>
      <c r="E8" s="40"/>
      <c r="F8" s="40"/>
      <c r="G8" s="40"/>
      <c r="H8" s="40"/>
      <c r="I8" s="1" t="str">
        <f t="shared" si="0"/>
        <v>Chidren</v>
      </c>
    </row>
    <row r="9" spans="1:9">
      <c r="A9" s="1">
        <v>6</v>
      </c>
      <c r="B9" s="1" t="s">
        <v>111</v>
      </c>
      <c r="C9" s="1">
        <v>44</v>
      </c>
      <c r="D9" s="41"/>
      <c r="E9" s="41"/>
      <c r="F9" s="41"/>
      <c r="G9" s="41"/>
      <c r="H9" s="41"/>
      <c r="I9" s="1" t="str">
        <f t="shared" si="0"/>
        <v>Adult</v>
      </c>
    </row>
    <row r="11" spans="1:9">
      <c r="A11" s="45" t="s">
        <v>112</v>
      </c>
      <c r="B11" s="46"/>
    </row>
    <row r="12" spans="1:9">
      <c r="A12" s="1" t="s">
        <v>109</v>
      </c>
      <c r="B12" s="1" t="str">
        <f>VLOOKUP(A12,B4:I9,8,FALSE)</f>
        <v>Adult</v>
      </c>
    </row>
  </sheetData>
  <mergeCells count="8">
    <mergeCell ref="A11:B11"/>
    <mergeCell ref="A1:I1"/>
    <mergeCell ref="A2:I2"/>
    <mergeCell ref="D4:D9"/>
    <mergeCell ref="F4:F9"/>
    <mergeCell ref="E4:E9"/>
    <mergeCell ref="G4:G9"/>
    <mergeCell ref="H4:H9"/>
  </mergeCells>
  <conditionalFormatting sqref="I4:I9">
    <cfRule type="cellIs" dxfId="5" priority="4" operator="equal">
      <formula>"Adult"</formula>
    </cfRule>
  </conditionalFormatting>
  <conditionalFormatting sqref="I5">
    <cfRule type="cellIs" dxfId="4" priority="3" operator="equal">
      <formula>"Youth"</formula>
    </cfRule>
  </conditionalFormatting>
  <conditionalFormatting sqref="I8">
    <cfRule type="cellIs" dxfId="3" priority="1" operator="equal">
      <formula>"Chidren"</formula>
    </cfRule>
    <cfRule type="cellIs" dxfId="2" priority="2" operator="equal">
      <formula>"Children"</formula>
    </cfRule>
  </conditionalFormatting>
  <dataValidations count="1">
    <dataValidation type="list" allowBlank="1" showInputMessage="1" showErrorMessage="1" sqref="A12" xr:uid="{00000000-0002-0000-0300-000000000000}">
      <formula1>$B$4:$B$9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9"/>
  <sheetViews>
    <sheetView workbookViewId="0">
      <selection activeCell="J19" sqref="J19"/>
    </sheetView>
  </sheetViews>
  <sheetFormatPr defaultRowHeight="15"/>
  <sheetData>
    <row r="1" spans="1:22" ht="26.25">
      <c r="A1" s="50" t="s">
        <v>113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</row>
    <row r="2" spans="1:22">
      <c r="A2" s="39" t="s">
        <v>114</v>
      </c>
      <c r="B2" s="39" t="s">
        <v>2</v>
      </c>
      <c r="C2" s="52" t="s">
        <v>115</v>
      </c>
      <c r="D2" s="53"/>
      <c r="E2" s="54"/>
      <c r="F2" s="55" t="s">
        <v>116</v>
      </c>
      <c r="G2" s="56"/>
      <c r="H2" s="57"/>
      <c r="I2" s="55" t="s">
        <v>117</v>
      </c>
      <c r="J2" s="56"/>
      <c r="K2" s="57"/>
      <c r="L2" s="58" t="s">
        <v>118</v>
      </c>
      <c r="M2" s="59"/>
      <c r="N2" s="60"/>
      <c r="O2" s="61" t="s">
        <v>119</v>
      </c>
      <c r="P2" s="62"/>
      <c r="Q2" s="63"/>
      <c r="R2" s="64" t="s">
        <v>120</v>
      </c>
      <c r="S2" s="65"/>
      <c r="T2" s="66"/>
      <c r="U2" s="48" t="s">
        <v>121</v>
      </c>
      <c r="V2" s="48" t="s">
        <v>122</v>
      </c>
    </row>
    <row r="3" spans="1:22">
      <c r="A3" s="41"/>
      <c r="B3" s="41"/>
      <c r="C3" s="6" t="s">
        <v>123</v>
      </c>
      <c r="D3" s="6" t="s">
        <v>124</v>
      </c>
      <c r="E3" s="6" t="s">
        <v>125</v>
      </c>
      <c r="F3" s="6" t="s">
        <v>123</v>
      </c>
      <c r="G3" s="6" t="s">
        <v>124</v>
      </c>
      <c r="H3" s="6" t="s">
        <v>125</v>
      </c>
      <c r="I3" s="6" t="s">
        <v>123</v>
      </c>
      <c r="J3" s="6" t="s">
        <v>124</v>
      </c>
      <c r="K3" s="6" t="s">
        <v>125</v>
      </c>
      <c r="L3" s="6" t="s">
        <v>123</v>
      </c>
      <c r="M3" s="6" t="s">
        <v>124</v>
      </c>
      <c r="N3" s="6" t="s">
        <v>125</v>
      </c>
      <c r="O3" s="6" t="s">
        <v>123</v>
      </c>
      <c r="P3" s="6" t="s">
        <v>124</v>
      </c>
      <c r="Q3" s="6" t="s">
        <v>125</v>
      </c>
      <c r="R3" s="6" t="s">
        <v>123</v>
      </c>
      <c r="S3" s="6" t="s">
        <v>124</v>
      </c>
      <c r="T3" s="6" t="s">
        <v>125</v>
      </c>
      <c r="U3" s="49"/>
      <c r="V3" s="49"/>
    </row>
    <row r="4" spans="1:22">
      <c r="A4" s="6" t="s">
        <v>126</v>
      </c>
      <c r="B4" s="6" t="s">
        <v>62</v>
      </c>
      <c r="C4" s="6">
        <v>80</v>
      </c>
      <c r="D4" s="6">
        <f t="shared" ref="D4:D9" si="0">IF(C4&gt;=80,5,IF(C4&gt;=70,4,IF(C4&gt;=60,3.5,IF(C4&gt;=50,3,IF(C4&gt;=40,2,IF(C4&gt;=33,1,0))))))</f>
        <v>5</v>
      </c>
      <c r="E4" s="6" t="str">
        <f>IF(C4&gt;=80,"A+",IF(C4&gt;=70,"A",IF(C4&gt;=60,"A-",IF(C4&gt;=50,"B",IF(C4&gt;=40,"C",IF(C4&gt;=33,"D","Fail"))))))</f>
        <v>A+</v>
      </c>
      <c r="F4" s="6">
        <v>85</v>
      </c>
      <c r="G4" s="6">
        <f>IF(F4&gt;=80,5,IF(F4&gt;=70,4,IF(F4&gt;=60,3.5,IF(F4&gt;=50,3,IF(F4&gt;=40,2,IF(F4&gt;=33,1,0))))))</f>
        <v>5</v>
      </c>
      <c r="H4" s="6" t="str">
        <f t="shared" ref="H4:H9" si="1">IF(F4&gt;=80,"A+",IF(F4&gt;=70,"A",IF(F4&gt;=60,"A-",IF(F4&gt;=50,"B",IF(F4&gt;=40,"C",IF(F4&gt;=33,"D","Fail"))))))</f>
        <v>A+</v>
      </c>
      <c r="I4" s="6">
        <v>81</v>
      </c>
      <c r="J4" s="6">
        <f>IF(I4&gt;=80,5,IF(I4&gt;=70,4,IF(I4&gt;=60,3.5,IF(I4&gt;=50,3,IF(I4&gt;=40,2,IF(I4&gt;=33,1,0))))))</f>
        <v>5</v>
      </c>
      <c r="K4" s="6" t="str">
        <f>IF(I4&gt;=80,"A+",IF(I4&gt;=70,"A",IF(I4&gt;=60,"A-",IF(I4&gt;=50,"B",IF(I4&gt;=40,"C",IF(I4&gt;=33,"D","Fail"))))))</f>
        <v>A+</v>
      </c>
      <c r="L4" s="6">
        <v>80</v>
      </c>
      <c r="M4" s="6">
        <f t="shared" ref="M4:M9" si="2">IF(L4&gt;=80,5,IF(L4&gt;=70,4,IF(L4&gt;=60,3.5,IF(L4&gt;=50,3,IF(L4&gt;=40,2,IF(L4&gt;=33,1,0))))))</f>
        <v>5</v>
      </c>
      <c r="N4" s="6" t="str">
        <f>IF(L4&gt;=80,"A+",IF(L4&gt;=70,"A",IF(L4&gt;=60,"A-",IF(L4&gt;=50,"B",IF(L4&gt;=40,"C",IF(L4&gt;=33,"D","Fail"))))))</f>
        <v>A+</v>
      </c>
      <c r="O4" s="6">
        <v>81</v>
      </c>
      <c r="P4" s="6">
        <f t="shared" ref="P4:P9" si="3">IF(O4&gt;=80,5,IF(O4&gt;=70,4,IF(O4&gt;=60,3.5,IF(O4&gt;=50,3,IF(O4&gt;=40,2,IF(O4&gt;=33,1,0))))))</f>
        <v>5</v>
      </c>
      <c r="Q4" s="6" t="str">
        <f>IF(O4&gt;=80,"A+",IF(O4&gt;=70,"A",IF(O4&gt;=60,"A-",IF(O4&gt;=50,"B",IF(O4&gt;=40,"C",IF(O4&gt;=33,"D","Fail"))))))</f>
        <v>A+</v>
      </c>
      <c r="R4" s="6">
        <v>80</v>
      </c>
      <c r="S4" s="6">
        <f t="shared" ref="S4:S9" si="4">IF(R4&gt;=80,5,IF(R4&gt;=70,4,IF(R4&gt;=60,3.5,IF(R4&gt;=50,3,IF(R4&gt;=40,2,IF(R4&gt;=33,1,0))))))</f>
        <v>5</v>
      </c>
      <c r="T4" s="6" t="str">
        <f>IF(R4&gt;=80,"A+",IF(R4&gt;=70,"A",IF(R4&gt;=60,"A-",IF(R4&gt;=50,"B",IF(R4&gt;=40,"C",IF(R4&gt;=33,"D","Fail"))))))</f>
        <v>A+</v>
      </c>
      <c r="U4" s="6">
        <f>IF(OR(D4=0,G4=0,J4=0,M4=0,P4=0,S4=0),0,AVERAGE(D4,G4,J4,M4,P4,S4))</f>
        <v>5</v>
      </c>
      <c r="V4" s="6" t="str">
        <f>IF(U4&gt;=5,"A+",IF(U4&gt;=4,"A",IF(U4&gt;=3.5,"A-",IF(U4&gt;=3,"B",IF(U4&gt;=2,"C",IF(U4&gt;=1,"D","F"))))))</f>
        <v>A+</v>
      </c>
    </row>
    <row r="5" spans="1:22">
      <c r="A5" s="6" t="s">
        <v>127</v>
      </c>
      <c r="B5" s="6" t="s">
        <v>128</v>
      </c>
      <c r="C5" s="6">
        <v>55</v>
      </c>
      <c r="D5" s="6">
        <f t="shared" si="0"/>
        <v>3</v>
      </c>
      <c r="E5" s="6" t="str">
        <f t="shared" ref="E5:E9" si="5">IF(C5&gt;=80,"A+",IF(C5&gt;=70,"A",IF(C5&gt;=60,"A-",IF(C5&gt;=50,"B",IF(C5&gt;=40,"C",IF(C5&gt;=33,"D","Fail"))))))</f>
        <v>B</v>
      </c>
      <c r="F5" s="6">
        <v>50</v>
      </c>
      <c r="G5" s="6">
        <f t="shared" ref="G5:G9" si="6">IF(F5&gt;=80,5,IF(F5&gt;=70,4,IF(F5&gt;=60,3.5,IF(F5&gt;=50,3,IF(F5&gt;=40,2,IF(F5&gt;=33,1,0))))))</f>
        <v>3</v>
      </c>
      <c r="H5" s="6" t="str">
        <f t="shared" si="1"/>
        <v>B</v>
      </c>
      <c r="I5" s="6">
        <v>45</v>
      </c>
      <c r="J5" s="6">
        <f t="shared" ref="J5:J9" si="7">IF(I5&gt;=80,5,IF(I5&gt;=70,4,IF(I5&gt;=60,3.5,IF(I5&gt;=50,3,IF(I5&gt;=40,2,IF(I5&gt;=33,1,0))))))</f>
        <v>2</v>
      </c>
      <c r="K5" s="6" t="str">
        <f t="shared" ref="K5:K9" si="8">IF(I5&gt;=80,"A+",IF(I5&gt;=70,"A",IF(I5&gt;=60,"A-",IF(I5&gt;=50,"B",IF(I5&gt;=40,"C",IF(I5&gt;=33,"D","Fail"))))))</f>
        <v>C</v>
      </c>
      <c r="L5" s="6">
        <v>70</v>
      </c>
      <c r="M5" s="6">
        <f t="shared" si="2"/>
        <v>4</v>
      </c>
      <c r="N5" s="6" t="str">
        <f t="shared" ref="N5:N9" si="9">IF(L5&gt;=80,"A+",IF(L5&gt;=70,"A",IF(L5&gt;=60,"A-",IF(L5&gt;=50,"B",IF(L5&gt;=40,"C",IF(L5&gt;=33,"D","Fail"))))))</f>
        <v>A</v>
      </c>
      <c r="O5" s="6">
        <v>55</v>
      </c>
      <c r="P5" s="6">
        <f t="shared" si="3"/>
        <v>3</v>
      </c>
      <c r="Q5" s="6" t="str">
        <f t="shared" ref="Q5:Q9" si="10">IF(O5&gt;=80,"A+",IF(O5&gt;=70,"A",IF(O5&gt;=60,"A-",IF(O5&gt;=50,"B",IF(O5&gt;=40,"C",IF(O5&gt;=33,"D","Fail"))))))</f>
        <v>B</v>
      </c>
      <c r="R5" s="6">
        <v>55</v>
      </c>
      <c r="S5" s="6">
        <f t="shared" si="4"/>
        <v>3</v>
      </c>
      <c r="T5" s="6" t="str">
        <f t="shared" ref="T5:T9" si="11">IF(R5&gt;=80,"A+",IF(R5&gt;=70,"A",IF(R5&gt;=60,"A-",IF(R5&gt;=50,"B",IF(R5&gt;=40,"C",IF(R5&gt;=33,"D","Fail"))))))</f>
        <v>B</v>
      </c>
      <c r="U5" s="6">
        <f t="shared" ref="U5:U9" si="12">IF(OR(D5=0,G5=0,J5=0,M5=0,P5=0,S5=0),0,AVERAGE(D5,G5,J5,M5,P5,S5))</f>
        <v>3</v>
      </c>
      <c r="V5" s="6" t="str">
        <f t="shared" ref="V5:V9" si="13">IF(U5&gt;=5,"A+",IF(U5&gt;=4,"A",IF(U5&gt;=3.5,"A-",IF(U5&gt;=3,"B",IF(U5&gt;=2,"C",IF(U5&gt;=1,"D","F"))))))</f>
        <v>B</v>
      </c>
    </row>
    <row r="6" spans="1:22">
      <c r="A6" s="6" t="s">
        <v>129</v>
      </c>
      <c r="B6" s="6" t="s">
        <v>130</v>
      </c>
      <c r="C6" s="6">
        <v>80</v>
      </c>
      <c r="D6" s="6">
        <f t="shared" si="0"/>
        <v>5</v>
      </c>
      <c r="E6" s="6" t="str">
        <f t="shared" si="5"/>
        <v>A+</v>
      </c>
      <c r="F6" s="6">
        <v>86</v>
      </c>
      <c r="G6" s="6">
        <f t="shared" si="6"/>
        <v>5</v>
      </c>
      <c r="H6" s="6" t="str">
        <f t="shared" si="1"/>
        <v>A+</v>
      </c>
      <c r="I6" s="6">
        <v>68</v>
      </c>
      <c r="J6" s="6">
        <f t="shared" si="7"/>
        <v>3.5</v>
      </c>
      <c r="K6" s="6" t="str">
        <f t="shared" si="8"/>
        <v>A-</v>
      </c>
      <c r="L6" s="6">
        <v>80</v>
      </c>
      <c r="M6" s="6">
        <f t="shared" si="2"/>
        <v>5</v>
      </c>
      <c r="N6" s="6" t="str">
        <f t="shared" si="9"/>
        <v>A+</v>
      </c>
      <c r="O6" s="6">
        <v>86</v>
      </c>
      <c r="P6" s="6">
        <f t="shared" si="3"/>
        <v>5</v>
      </c>
      <c r="Q6" s="6" t="str">
        <f t="shared" si="10"/>
        <v>A+</v>
      </c>
      <c r="R6" s="6">
        <v>88</v>
      </c>
      <c r="S6" s="6">
        <f t="shared" si="4"/>
        <v>5</v>
      </c>
      <c r="T6" s="6" t="str">
        <f t="shared" si="11"/>
        <v>A+</v>
      </c>
      <c r="U6" s="6">
        <f>IF(OR(D6=0,G6=0,J6=0,M6=0,P6=0,S6=0),0,AVERAGE(D6,G6,J6,M6,P6,S6))</f>
        <v>4.75</v>
      </c>
      <c r="V6" s="6" t="str">
        <f t="shared" si="13"/>
        <v>A</v>
      </c>
    </row>
    <row r="7" spans="1:22">
      <c r="A7" s="6" t="s">
        <v>131</v>
      </c>
      <c r="B7" s="6" t="s">
        <v>65</v>
      </c>
      <c r="C7" s="6">
        <v>86</v>
      </c>
      <c r="D7" s="6">
        <f t="shared" si="0"/>
        <v>5</v>
      </c>
      <c r="E7" s="6" t="str">
        <f t="shared" si="5"/>
        <v>A+</v>
      </c>
      <c r="F7" s="6">
        <v>78</v>
      </c>
      <c r="G7" s="6">
        <f t="shared" si="6"/>
        <v>4</v>
      </c>
      <c r="H7" s="6" t="str">
        <f t="shared" si="1"/>
        <v>A</v>
      </c>
      <c r="I7" s="6">
        <v>35</v>
      </c>
      <c r="J7" s="6">
        <f t="shared" si="7"/>
        <v>1</v>
      </c>
      <c r="K7" s="6" t="str">
        <f t="shared" si="8"/>
        <v>D</v>
      </c>
      <c r="L7" s="6">
        <v>70</v>
      </c>
      <c r="M7" s="6">
        <f t="shared" si="2"/>
        <v>4</v>
      </c>
      <c r="N7" s="6" t="str">
        <f t="shared" si="9"/>
        <v>A</v>
      </c>
      <c r="O7" s="6">
        <v>80</v>
      </c>
      <c r="P7" s="6">
        <f t="shared" si="3"/>
        <v>5</v>
      </c>
      <c r="Q7" s="6" t="str">
        <f t="shared" si="10"/>
        <v>A+</v>
      </c>
      <c r="R7" s="6">
        <v>60</v>
      </c>
      <c r="S7" s="6">
        <f t="shared" si="4"/>
        <v>3.5</v>
      </c>
      <c r="T7" s="6" t="str">
        <f t="shared" si="11"/>
        <v>A-</v>
      </c>
      <c r="U7" s="6">
        <f t="shared" si="12"/>
        <v>3.75</v>
      </c>
      <c r="V7" s="6" t="str">
        <f t="shared" si="13"/>
        <v>A-</v>
      </c>
    </row>
    <row r="8" spans="1:22">
      <c r="A8" s="6" t="s">
        <v>132</v>
      </c>
      <c r="B8" s="6" t="s">
        <v>133</v>
      </c>
      <c r="C8" s="6">
        <v>50</v>
      </c>
      <c r="D8" s="6">
        <f t="shared" si="0"/>
        <v>3</v>
      </c>
      <c r="E8" s="6" t="str">
        <f t="shared" si="5"/>
        <v>B</v>
      </c>
      <c r="F8" s="6">
        <v>40</v>
      </c>
      <c r="G8" s="6">
        <f t="shared" si="6"/>
        <v>2</v>
      </c>
      <c r="H8" s="6" t="str">
        <f t="shared" si="1"/>
        <v>C</v>
      </c>
      <c r="I8" s="6">
        <v>35</v>
      </c>
      <c r="J8" s="6">
        <f t="shared" si="7"/>
        <v>1</v>
      </c>
      <c r="K8" s="6" t="str">
        <f t="shared" si="8"/>
        <v>D</v>
      </c>
      <c r="L8" s="6">
        <v>60</v>
      </c>
      <c r="M8" s="6">
        <f t="shared" si="2"/>
        <v>3.5</v>
      </c>
      <c r="N8" s="6" t="str">
        <f t="shared" si="9"/>
        <v>A-</v>
      </c>
      <c r="O8" s="6">
        <v>70</v>
      </c>
      <c r="P8" s="6">
        <f t="shared" si="3"/>
        <v>4</v>
      </c>
      <c r="Q8" s="6" t="str">
        <f t="shared" si="10"/>
        <v>A</v>
      </c>
      <c r="R8" s="6">
        <v>58</v>
      </c>
      <c r="S8" s="6">
        <f t="shared" si="4"/>
        <v>3</v>
      </c>
      <c r="T8" s="6" t="str">
        <f t="shared" si="11"/>
        <v>B</v>
      </c>
      <c r="U8" s="6">
        <f t="shared" si="12"/>
        <v>2.75</v>
      </c>
      <c r="V8" s="6" t="str">
        <f t="shared" si="13"/>
        <v>C</v>
      </c>
    </row>
    <row r="9" spans="1:22">
      <c r="A9" s="6" t="s">
        <v>134</v>
      </c>
      <c r="B9" s="6" t="s">
        <v>135</v>
      </c>
      <c r="C9" s="6">
        <v>30</v>
      </c>
      <c r="D9" s="6">
        <f t="shared" si="0"/>
        <v>0</v>
      </c>
      <c r="E9" s="6" t="str">
        <f t="shared" si="5"/>
        <v>Fail</v>
      </c>
      <c r="F9" s="6">
        <v>40</v>
      </c>
      <c r="G9" s="6">
        <f t="shared" si="6"/>
        <v>2</v>
      </c>
      <c r="H9" s="6" t="str">
        <f t="shared" si="1"/>
        <v>C</v>
      </c>
      <c r="I9" s="6">
        <v>35</v>
      </c>
      <c r="J9" s="6">
        <f t="shared" si="7"/>
        <v>1</v>
      </c>
      <c r="K9" s="6" t="str">
        <f t="shared" si="8"/>
        <v>D</v>
      </c>
      <c r="L9" s="6">
        <v>60</v>
      </c>
      <c r="M9" s="6">
        <f t="shared" si="2"/>
        <v>3.5</v>
      </c>
      <c r="N9" s="6" t="str">
        <f t="shared" si="9"/>
        <v>A-</v>
      </c>
      <c r="O9" s="6">
        <v>70</v>
      </c>
      <c r="P9" s="6">
        <f t="shared" si="3"/>
        <v>4</v>
      </c>
      <c r="Q9" s="6" t="str">
        <f t="shared" si="10"/>
        <v>A</v>
      </c>
      <c r="R9" s="6">
        <v>58</v>
      </c>
      <c r="S9" s="6">
        <f t="shared" si="4"/>
        <v>3</v>
      </c>
      <c r="T9" s="6" t="str">
        <f t="shared" si="11"/>
        <v>B</v>
      </c>
      <c r="U9" s="6">
        <f t="shared" si="12"/>
        <v>0</v>
      </c>
      <c r="V9" s="6" t="str">
        <f t="shared" si="13"/>
        <v>F</v>
      </c>
    </row>
  </sheetData>
  <mergeCells count="11">
    <mergeCell ref="V2:V3"/>
    <mergeCell ref="A1:V1"/>
    <mergeCell ref="A2:A3"/>
    <mergeCell ref="B2:B3"/>
    <mergeCell ref="C2:E2"/>
    <mergeCell ref="F2:H2"/>
    <mergeCell ref="I2:K2"/>
    <mergeCell ref="L2:N2"/>
    <mergeCell ref="O2:Q2"/>
    <mergeCell ref="R2:T2"/>
    <mergeCell ref="U2:U3"/>
  </mergeCells>
  <dataValidations count="1">
    <dataValidation type="custom" allowBlank="1" showInputMessage="1" showErrorMessage="1" sqref="A4:A9" xr:uid="{00000000-0002-0000-0400-000000000000}">
      <formula1>AND(LEN(A4)=7,COUNTIF($A$4:$A$9,A4)=3,LEFT(A4,4)="RICT",ISNUMBER(VALUE(RIGHT(A4,3))))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4"/>
  <sheetViews>
    <sheetView zoomScale="130" zoomScaleNormal="130" workbookViewId="0">
      <selection activeCell="N9" sqref="N9"/>
    </sheetView>
  </sheetViews>
  <sheetFormatPr defaultRowHeight="15"/>
  <cols>
    <col min="12" max="12" width="11.140625" customWidth="1"/>
  </cols>
  <sheetData>
    <row r="1" spans="1:13">
      <c r="A1" s="72" t="s">
        <v>136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4"/>
    </row>
    <row r="2" spans="1:13">
      <c r="A2" s="67" t="s">
        <v>41</v>
      </c>
      <c r="B2" s="67" t="s">
        <v>137</v>
      </c>
      <c r="C2" s="67" t="s">
        <v>2</v>
      </c>
      <c r="D2" s="75" t="s">
        <v>138</v>
      </c>
      <c r="E2" s="76"/>
      <c r="F2" s="75" t="s">
        <v>139</v>
      </c>
      <c r="G2" s="76"/>
      <c r="H2" s="75" t="s">
        <v>140</v>
      </c>
      <c r="I2" s="76"/>
      <c r="J2" s="77" t="s">
        <v>141</v>
      </c>
      <c r="K2" s="77" t="s">
        <v>142</v>
      </c>
      <c r="L2" s="77" t="s">
        <v>143</v>
      </c>
      <c r="M2" s="67" t="s">
        <v>144</v>
      </c>
    </row>
    <row r="3" spans="1:13">
      <c r="A3" s="68"/>
      <c r="B3" s="68"/>
      <c r="C3" s="68"/>
      <c r="D3" s="7" t="s">
        <v>145</v>
      </c>
      <c r="E3" s="7" t="s">
        <v>146</v>
      </c>
      <c r="F3" s="7" t="s">
        <v>145</v>
      </c>
      <c r="G3" s="7" t="s">
        <v>146</v>
      </c>
      <c r="H3" s="7" t="s">
        <v>145</v>
      </c>
      <c r="I3" s="7" t="s">
        <v>146</v>
      </c>
      <c r="J3" s="78"/>
      <c r="K3" s="78"/>
      <c r="L3" s="78"/>
      <c r="M3" s="68"/>
    </row>
    <row r="4" spans="1:13">
      <c r="A4" s="7">
        <v>1</v>
      </c>
      <c r="B4" s="7" t="s">
        <v>147</v>
      </c>
      <c r="C4" s="7" t="s">
        <v>148</v>
      </c>
      <c r="D4" s="7">
        <v>55</v>
      </c>
      <c r="E4" s="7">
        <v>0</v>
      </c>
      <c r="F4" s="7">
        <v>110</v>
      </c>
      <c r="G4" s="7">
        <v>0</v>
      </c>
      <c r="H4" s="7">
        <v>75</v>
      </c>
      <c r="I4" s="7">
        <v>0</v>
      </c>
      <c r="J4" s="7">
        <f>(D4+F4+H4)+(E4+G4+I4)*20</f>
        <v>240</v>
      </c>
      <c r="K4" s="7">
        <f>J4/3</f>
        <v>80</v>
      </c>
      <c r="L4" s="69" t="str">
        <f>INDEX(C4:C14,MATCH(MAX(J4:J14),J4:J14,0))</f>
        <v>Shakib Al Hasan</v>
      </c>
      <c r="M4" s="7" t="str">
        <f>IF(J4&lt;100,0,REPT("*",J4/100))</f>
        <v>**</v>
      </c>
    </row>
    <row r="5" spans="1:13">
      <c r="A5" s="7">
        <v>2</v>
      </c>
      <c r="B5" s="7" t="s">
        <v>149</v>
      </c>
      <c r="C5" s="7" t="s">
        <v>150</v>
      </c>
      <c r="D5" s="7">
        <v>30</v>
      </c>
      <c r="E5" s="7">
        <v>0</v>
      </c>
      <c r="F5" s="7">
        <v>40</v>
      </c>
      <c r="G5" s="7">
        <v>0</v>
      </c>
      <c r="H5" s="7">
        <v>5</v>
      </c>
      <c r="I5" s="7">
        <v>0</v>
      </c>
      <c r="J5" s="7">
        <f t="shared" ref="J5:J14" si="0">(D5+F5+H5)+(E5+G5+I5)*20</f>
        <v>75</v>
      </c>
      <c r="K5" s="7">
        <f t="shared" ref="K5:K14" si="1">J5/3</f>
        <v>25</v>
      </c>
      <c r="L5" s="70"/>
      <c r="M5" s="7">
        <f t="shared" ref="M5:M14" si="2">IF(J5&lt;100,0,REPT("*",J5/100))</f>
        <v>0</v>
      </c>
    </row>
    <row r="6" spans="1:13">
      <c r="A6" s="7">
        <v>3</v>
      </c>
      <c r="B6" s="7" t="s">
        <v>151</v>
      </c>
      <c r="C6" s="7" t="s">
        <v>152</v>
      </c>
      <c r="D6" s="7">
        <v>40</v>
      </c>
      <c r="E6" s="7">
        <v>1</v>
      </c>
      <c r="F6" s="7">
        <v>34</v>
      </c>
      <c r="G6" s="7">
        <v>2</v>
      </c>
      <c r="H6" s="7">
        <v>101</v>
      </c>
      <c r="I6" s="7">
        <v>1</v>
      </c>
      <c r="J6" s="7">
        <f t="shared" si="0"/>
        <v>255</v>
      </c>
      <c r="K6" s="7">
        <f t="shared" si="1"/>
        <v>85</v>
      </c>
      <c r="L6" s="70"/>
      <c r="M6" s="7" t="str">
        <f t="shared" si="2"/>
        <v>**</v>
      </c>
    </row>
    <row r="7" spans="1:13">
      <c r="A7" s="7">
        <v>4</v>
      </c>
      <c r="B7" s="7" t="s">
        <v>153</v>
      </c>
      <c r="C7" s="7" t="s">
        <v>154</v>
      </c>
      <c r="D7" s="7">
        <v>50</v>
      </c>
      <c r="E7" s="7">
        <v>0</v>
      </c>
      <c r="F7" s="7">
        <v>120</v>
      </c>
      <c r="G7" s="7">
        <v>0</v>
      </c>
      <c r="H7" s="7">
        <v>98</v>
      </c>
      <c r="I7" s="7">
        <v>0</v>
      </c>
      <c r="J7" s="7">
        <f t="shared" si="0"/>
        <v>268</v>
      </c>
      <c r="K7" s="7">
        <f t="shared" si="1"/>
        <v>89.333333333333329</v>
      </c>
      <c r="L7" s="70"/>
      <c r="M7" s="7" t="str">
        <f t="shared" si="2"/>
        <v>**</v>
      </c>
    </row>
    <row r="8" spans="1:13">
      <c r="A8" s="7">
        <v>5</v>
      </c>
      <c r="B8" s="7" t="s">
        <v>155</v>
      </c>
      <c r="C8" s="7" t="s">
        <v>156</v>
      </c>
      <c r="D8" s="7">
        <v>60</v>
      </c>
      <c r="E8" s="7">
        <v>0</v>
      </c>
      <c r="F8" s="7">
        <v>110</v>
      </c>
      <c r="G8" s="7">
        <v>0</v>
      </c>
      <c r="H8" s="7">
        <v>78</v>
      </c>
      <c r="I8" s="7">
        <v>0</v>
      </c>
      <c r="J8" s="7">
        <f t="shared" si="0"/>
        <v>248</v>
      </c>
      <c r="K8" s="7">
        <f t="shared" si="1"/>
        <v>82.666666666666671</v>
      </c>
      <c r="L8" s="70"/>
      <c r="M8" s="7" t="str">
        <f t="shared" si="2"/>
        <v>**</v>
      </c>
    </row>
    <row r="9" spans="1:13">
      <c r="A9" s="7">
        <v>6</v>
      </c>
      <c r="B9" s="7" t="s">
        <v>157</v>
      </c>
      <c r="C9" s="7" t="s">
        <v>158</v>
      </c>
      <c r="D9" s="7">
        <v>55</v>
      </c>
      <c r="E9" s="7">
        <v>3</v>
      </c>
      <c r="F9" s="7">
        <v>45</v>
      </c>
      <c r="G9" s="7">
        <v>4</v>
      </c>
      <c r="H9" s="7">
        <v>75</v>
      </c>
      <c r="I9" s="7">
        <v>2</v>
      </c>
      <c r="J9" s="7">
        <f t="shared" si="0"/>
        <v>355</v>
      </c>
      <c r="K9" s="7">
        <f t="shared" si="1"/>
        <v>118.33333333333333</v>
      </c>
      <c r="L9" s="70"/>
      <c r="M9" s="7" t="str">
        <f t="shared" si="2"/>
        <v>***</v>
      </c>
    </row>
    <row r="10" spans="1:13">
      <c r="A10" s="7">
        <v>7</v>
      </c>
      <c r="B10" s="7" t="s">
        <v>159</v>
      </c>
      <c r="C10" s="7" t="s">
        <v>160</v>
      </c>
      <c r="D10" s="7">
        <v>80</v>
      </c>
      <c r="E10" s="7">
        <v>2</v>
      </c>
      <c r="F10" s="7">
        <v>70</v>
      </c>
      <c r="G10" s="7">
        <v>2</v>
      </c>
      <c r="H10" s="7">
        <v>35</v>
      </c>
      <c r="I10" s="7">
        <v>2</v>
      </c>
      <c r="J10" s="7">
        <f t="shared" si="0"/>
        <v>305</v>
      </c>
      <c r="K10" s="7">
        <f t="shared" si="1"/>
        <v>101.66666666666667</v>
      </c>
      <c r="L10" s="70"/>
      <c r="M10" s="7" t="str">
        <f t="shared" si="2"/>
        <v>***</v>
      </c>
    </row>
    <row r="11" spans="1:13">
      <c r="A11" s="7">
        <v>8</v>
      </c>
      <c r="B11" s="7" t="s">
        <v>161</v>
      </c>
      <c r="C11" s="7" t="s">
        <v>162</v>
      </c>
      <c r="D11" s="7">
        <v>12</v>
      </c>
      <c r="E11" s="7">
        <v>1</v>
      </c>
      <c r="F11" s="7">
        <v>23</v>
      </c>
      <c r="G11" s="7">
        <v>1</v>
      </c>
      <c r="H11" s="7">
        <v>1</v>
      </c>
      <c r="I11" s="7">
        <v>1</v>
      </c>
      <c r="J11" s="7">
        <f t="shared" si="0"/>
        <v>96</v>
      </c>
      <c r="K11" s="7">
        <f t="shared" si="1"/>
        <v>32</v>
      </c>
      <c r="L11" s="70"/>
      <c r="M11" s="7">
        <f t="shared" si="2"/>
        <v>0</v>
      </c>
    </row>
    <row r="12" spans="1:13">
      <c r="A12" s="7">
        <v>9</v>
      </c>
      <c r="B12" s="7" t="s">
        <v>163</v>
      </c>
      <c r="C12" s="7" t="s">
        <v>164</v>
      </c>
      <c r="D12" s="7">
        <v>45</v>
      </c>
      <c r="E12" s="7">
        <v>2</v>
      </c>
      <c r="F12" s="7">
        <v>35</v>
      </c>
      <c r="G12" s="7">
        <v>1</v>
      </c>
      <c r="H12" s="7">
        <v>40</v>
      </c>
      <c r="I12" s="7">
        <v>2</v>
      </c>
      <c r="J12" s="7">
        <f t="shared" si="0"/>
        <v>220</v>
      </c>
      <c r="K12" s="7">
        <f t="shared" si="1"/>
        <v>73.333333333333329</v>
      </c>
      <c r="L12" s="70"/>
      <c r="M12" s="7" t="str">
        <f t="shared" si="2"/>
        <v>**</v>
      </c>
    </row>
    <row r="13" spans="1:13">
      <c r="A13" s="7">
        <v>10</v>
      </c>
      <c r="B13" s="7" t="s">
        <v>165</v>
      </c>
      <c r="C13" s="7" t="s">
        <v>166</v>
      </c>
      <c r="D13" s="7">
        <v>110</v>
      </c>
      <c r="E13" s="7">
        <v>1</v>
      </c>
      <c r="F13" s="7">
        <v>60</v>
      </c>
      <c r="G13" s="7">
        <v>1</v>
      </c>
      <c r="H13" s="7">
        <v>20</v>
      </c>
      <c r="I13" s="7">
        <v>2</v>
      </c>
      <c r="J13" s="7">
        <f t="shared" si="0"/>
        <v>270</v>
      </c>
      <c r="K13" s="7">
        <f t="shared" si="1"/>
        <v>90</v>
      </c>
      <c r="L13" s="70"/>
      <c r="M13" s="7" t="str">
        <f t="shared" si="2"/>
        <v>**</v>
      </c>
    </row>
    <row r="14" spans="1:13">
      <c r="A14" s="7">
        <v>11</v>
      </c>
      <c r="B14" s="7" t="s">
        <v>167</v>
      </c>
      <c r="C14" s="7" t="s">
        <v>168</v>
      </c>
      <c r="D14" s="7">
        <v>12</v>
      </c>
      <c r="E14" s="7">
        <v>1</v>
      </c>
      <c r="F14" s="7">
        <v>15</v>
      </c>
      <c r="G14" s="7">
        <v>0</v>
      </c>
      <c r="H14" s="7">
        <v>18</v>
      </c>
      <c r="I14" s="7">
        <v>1</v>
      </c>
      <c r="J14" s="7">
        <f t="shared" si="0"/>
        <v>85</v>
      </c>
      <c r="K14" s="7">
        <f t="shared" si="1"/>
        <v>28.333333333333332</v>
      </c>
      <c r="L14" s="71"/>
      <c r="M14" s="7">
        <f t="shared" si="2"/>
        <v>0</v>
      </c>
    </row>
  </sheetData>
  <mergeCells count="12">
    <mergeCell ref="M2:M3"/>
    <mergeCell ref="L4:L14"/>
    <mergeCell ref="A1:M1"/>
    <mergeCell ref="A2:A3"/>
    <mergeCell ref="B2:B3"/>
    <mergeCell ref="C2:C3"/>
    <mergeCell ref="D2:E2"/>
    <mergeCell ref="F2:G2"/>
    <mergeCell ref="H2:I2"/>
    <mergeCell ref="J2:J3"/>
    <mergeCell ref="K2:K3"/>
    <mergeCell ref="L2:L3"/>
  </mergeCells>
  <dataValidations count="1">
    <dataValidation type="custom" allowBlank="1" showInputMessage="1" showErrorMessage="1" sqref="B4:B14" xr:uid="{00000000-0002-0000-0500-000000000000}">
      <formula1>AND(LEN(B4)=4,COUNTIF($B$4:$B$14,B4)=1,LEFT(B4,2)="JN",ISNUMBER(VALUE(RIGHT(B4,2))))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59E62-3C83-4A51-8797-52390D19359E}">
  <dimension ref="A1:K28"/>
  <sheetViews>
    <sheetView topLeftCell="A10" workbookViewId="0">
      <selection activeCell="J25" sqref="J25"/>
    </sheetView>
  </sheetViews>
  <sheetFormatPr defaultRowHeight="15"/>
  <cols>
    <col min="1" max="1" width="15.42578125" customWidth="1"/>
    <col min="2" max="2" width="15.7109375" customWidth="1"/>
    <col min="3" max="3" width="15.42578125" customWidth="1"/>
    <col min="4" max="4" width="13.5703125" customWidth="1"/>
    <col min="5" max="5" width="13.85546875" customWidth="1"/>
    <col min="6" max="6" width="18.140625" customWidth="1"/>
    <col min="9" max="9" width="15.140625" customWidth="1"/>
    <col min="10" max="10" width="14" customWidth="1"/>
  </cols>
  <sheetData>
    <row r="1" spans="1:11">
      <c r="A1" s="42" t="s">
        <v>169</v>
      </c>
      <c r="B1" s="42"/>
      <c r="C1" s="42"/>
      <c r="D1" s="42"/>
      <c r="E1" s="42"/>
      <c r="F1" s="42"/>
    </row>
    <row r="3" spans="1:11" ht="23.25">
      <c r="A3" s="96" t="s">
        <v>170</v>
      </c>
      <c r="B3" s="97"/>
      <c r="C3" s="97"/>
      <c r="D3" s="8"/>
      <c r="E3" s="8"/>
      <c r="F3" s="9"/>
      <c r="G3" s="10"/>
      <c r="H3" s="10"/>
      <c r="I3" s="10"/>
      <c r="J3" s="10"/>
    </row>
    <row r="4" spans="1:11">
      <c r="A4" s="98" t="s">
        <v>171</v>
      </c>
      <c r="B4" s="99"/>
      <c r="C4" s="99"/>
      <c r="D4" s="10"/>
      <c r="E4" s="10"/>
      <c r="F4" s="12"/>
      <c r="G4" s="10"/>
      <c r="H4" s="10"/>
      <c r="I4" s="10"/>
      <c r="J4" s="10"/>
    </row>
    <row r="5" spans="1:11">
      <c r="A5" s="98" t="s">
        <v>172</v>
      </c>
      <c r="B5" s="99"/>
      <c r="C5" s="99"/>
      <c r="D5" s="10"/>
      <c r="E5" s="10"/>
      <c r="F5" s="12"/>
      <c r="G5" s="10"/>
      <c r="H5" s="10"/>
      <c r="I5" s="10"/>
      <c r="J5" s="10"/>
    </row>
    <row r="6" spans="1:11">
      <c r="A6" s="100" t="s">
        <v>173</v>
      </c>
      <c r="B6" s="101"/>
      <c r="C6" s="101"/>
      <c r="D6" s="10"/>
      <c r="E6" s="10"/>
      <c r="F6" s="12"/>
      <c r="G6" s="10"/>
      <c r="H6" s="10"/>
      <c r="I6" s="10"/>
      <c r="J6" s="10"/>
    </row>
    <row r="7" spans="1:11">
      <c r="A7" s="11"/>
      <c r="B7" s="10"/>
      <c r="C7" s="10"/>
      <c r="D7" s="10"/>
      <c r="E7" s="10"/>
      <c r="F7" s="12"/>
      <c r="G7" s="10"/>
      <c r="H7" s="10"/>
      <c r="I7" s="10"/>
      <c r="J7" s="10"/>
    </row>
    <row r="8" spans="1:11">
      <c r="A8" s="93" t="s">
        <v>174</v>
      </c>
      <c r="B8" s="94"/>
      <c r="C8" s="94"/>
      <c r="D8" s="94"/>
      <c r="E8" s="94"/>
      <c r="F8" s="95"/>
      <c r="G8" s="10"/>
      <c r="H8" s="10"/>
      <c r="I8" s="10"/>
      <c r="J8" s="10"/>
      <c r="K8" s="10"/>
    </row>
    <row r="9" spans="1:11">
      <c r="A9" s="83" t="s">
        <v>175</v>
      </c>
      <c r="B9" s="83"/>
      <c r="C9" s="83"/>
      <c r="D9" s="83"/>
      <c r="E9" s="83"/>
      <c r="F9" s="83"/>
      <c r="G9" s="10"/>
      <c r="H9" s="10"/>
      <c r="I9" s="6" t="s">
        <v>176</v>
      </c>
      <c r="J9" s="6" t="s">
        <v>177</v>
      </c>
      <c r="K9" s="6" t="s">
        <v>178</v>
      </c>
    </row>
    <row r="10" spans="1:11">
      <c r="A10" s="79" t="s">
        <v>179</v>
      </c>
      <c r="B10" s="80"/>
      <c r="C10" s="79"/>
      <c r="D10" s="80"/>
      <c r="E10" s="6" t="s">
        <v>80</v>
      </c>
      <c r="F10" s="6"/>
      <c r="G10" s="10"/>
      <c r="H10" s="10"/>
      <c r="I10" s="6" t="s">
        <v>180</v>
      </c>
      <c r="J10" s="6" t="s">
        <v>181</v>
      </c>
      <c r="K10" s="6">
        <v>150000</v>
      </c>
    </row>
    <row r="11" spans="1:11">
      <c r="A11" s="79" t="s">
        <v>182</v>
      </c>
      <c r="B11" s="80"/>
      <c r="C11" s="79"/>
      <c r="D11" s="80"/>
      <c r="E11" s="6" t="s">
        <v>183</v>
      </c>
      <c r="F11" s="13" t="s">
        <v>184</v>
      </c>
      <c r="G11" s="10"/>
      <c r="H11" s="10"/>
      <c r="I11" s="6" t="s">
        <v>185</v>
      </c>
      <c r="J11" s="6" t="s">
        <v>186</v>
      </c>
      <c r="K11" s="6">
        <v>100000</v>
      </c>
    </row>
    <row r="12" spans="1:11">
      <c r="A12" s="6" t="s">
        <v>41</v>
      </c>
      <c r="B12" s="6" t="s">
        <v>176</v>
      </c>
      <c r="C12" s="6" t="s">
        <v>177</v>
      </c>
      <c r="D12" s="6" t="s">
        <v>187</v>
      </c>
      <c r="E12" s="6" t="s">
        <v>188</v>
      </c>
      <c r="F12" s="6" t="s">
        <v>189</v>
      </c>
      <c r="G12" s="10"/>
      <c r="H12" s="10"/>
      <c r="I12" s="6" t="s">
        <v>190</v>
      </c>
      <c r="J12" s="6" t="s">
        <v>191</v>
      </c>
      <c r="K12" s="6">
        <v>1400</v>
      </c>
    </row>
    <row r="13" spans="1:11">
      <c r="A13" s="13" t="s">
        <v>13</v>
      </c>
      <c r="B13" s="6" t="s">
        <v>180</v>
      </c>
      <c r="C13" s="6" t="str">
        <f>VLOOKUP(B13,$I$10:$J$19,2,FALSE)</f>
        <v>LAPTOP</v>
      </c>
      <c r="D13" s="14">
        <v>2</v>
      </c>
      <c r="E13" s="15">
        <f>IF(B13="","",VLOOKUP(B13,I10:K19,3,FALSE))</f>
        <v>150000</v>
      </c>
      <c r="F13" s="16">
        <f>E13*D13</f>
        <v>300000</v>
      </c>
      <c r="G13" s="10"/>
      <c r="H13" s="10"/>
      <c r="I13" s="6" t="s">
        <v>192</v>
      </c>
      <c r="J13" s="6" t="s">
        <v>193</v>
      </c>
      <c r="K13" s="6">
        <v>1500</v>
      </c>
    </row>
    <row r="14" spans="1:11">
      <c r="A14" s="13" t="s">
        <v>14</v>
      </c>
      <c r="B14" s="6" t="s">
        <v>185</v>
      </c>
      <c r="C14" s="6" t="str">
        <f t="shared" ref="C14:C22" si="0">VLOOKUP(B14,$I$10:$J$19,2,FALSE)</f>
        <v>Monitor</v>
      </c>
      <c r="D14" s="14">
        <v>3</v>
      </c>
      <c r="E14" s="15">
        <f t="shared" ref="E14:E22" si="1">IF(B14="","",VLOOKUP(B14,I11:K20,3,FALSE))</f>
        <v>100000</v>
      </c>
      <c r="F14" s="16">
        <f t="shared" ref="F14:F22" si="2">E14*D14</f>
        <v>300000</v>
      </c>
      <c r="G14" s="10"/>
      <c r="H14" s="10"/>
      <c r="I14" s="6" t="s">
        <v>194</v>
      </c>
      <c r="J14" s="6" t="s">
        <v>195</v>
      </c>
      <c r="K14" s="6">
        <v>2400</v>
      </c>
    </row>
    <row r="15" spans="1:11">
      <c r="A15" s="13" t="s">
        <v>15</v>
      </c>
      <c r="B15" s="6" t="s">
        <v>190</v>
      </c>
      <c r="C15" s="6" t="str">
        <f t="shared" si="0"/>
        <v>Mouse</v>
      </c>
      <c r="D15" s="14">
        <v>2</v>
      </c>
      <c r="E15" s="15">
        <f t="shared" si="1"/>
        <v>1400</v>
      </c>
      <c r="F15" s="16">
        <f t="shared" si="2"/>
        <v>2800</v>
      </c>
      <c r="G15" s="10"/>
      <c r="H15" s="10"/>
      <c r="I15" s="6" t="s">
        <v>196</v>
      </c>
      <c r="J15" s="6" t="s">
        <v>197</v>
      </c>
      <c r="K15" s="6">
        <v>5000</v>
      </c>
    </row>
    <row r="16" spans="1:11">
      <c r="A16" s="13" t="s">
        <v>16</v>
      </c>
      <c r="B16" s="6" t="s">
        <v>192</v>
      </c>
      <c r="C16" s="6" t="str">
        <f t="shared" si="0"/>
        <v>Key Board</v>
      </c>
      <c r="D16" s="14">
        <v>1</v>
      </c>
      <c r="E16" s="15">
        <f t="shared" si="1"/>
        <v>1500</v>
      </c>
      <c r="F16" s="16">
        <f t="shared" si="2"/>
        <v>1500</v>
      </c>
      <c r="G16" s="10"/>
      <c r="H16" s="10"/>
      <c r="I16" s="6" t="s">
        <v>198</v>
      </c>
      <c r="J16" s="6" t="s">
        <v>199</v>
      </c>
      <c r="K16" s="6">
        <v>7000</v>
      </c>
    </row>
    <row r="17" spans="1:11">
      <c r="A17" s="13" t="s">
        <v>17</v>
      </c>
      <c r="B17" s="6" t="s">
        <v>194</v>
      </c>
      <c r="C17" s="6" t="str">
        <f t="shared" si="0"/>
        <v>Speaker</v>
      </c>
      <c r="D17" s="14">
        <v>2</v>
      </c>
      <c r="E17" s="15">
        <f t="shared" si="1"/>
        <v>2400</v>
      </c>
      <c r="F17" s="16">
        <f t="shared" si="2"/>
        <v>4800</v>
      </c>
      <c r="G17" s="10"/>
      <c r="H17" s="10"/>
      <c r="I17" s="6" t="s">
        <v>200</v>
      </c>
      <c r="J17" s="6" t="s">
        <v>201</v>
      </c>
      <c r="K17" s="6">
        <v>20000</v>
      </c>
    </row>
    <row r="18" spans="1:11">
      <c r="A18" s="13" t="s">
        <v>18</v>
      </c>
      <c r="B18" s="6" t="s">
        <v>196</v>
      </c>
      <c r="C18" s="6" t="str">
        <f t="shared" si="0"/>
        <v>Printer</v>
      </c>
      <c r="D18" s="14">
        <v>1</v>
      </c>
      <c r="E18" s="15">
        <f t="shared" si="1"/>
        <v>5000</v>
      </c>
      <c r="F18" s="16">
        <f t="shared" si="2"/>
        <v>5000</v>
      </c>
      <c r="G18" s="10"/>
      <c r="H18" s="10"/>
      <c r="I18" s="6" t="s">
        <v>202</v>
      </c>
      <c r="J18" s="6" t="s">
        <v>203</v>
      </c>
      <c r="K18" s="6">
        <v>34000</v>
      </c>
    </row>
    <row r="19" spans="1:11">
      <c r="A19" s="13" t="s">
        <v>19</v>
      </c>
      <c r="B19" s="6" t="s">
        <v>198</v>
      </c>
      <c r="C19" s="6" t="str">
        <f t="shared" si="0"/>
        <v>RAM</v>
      </c>
      <c r="D19" s="14">
        <v>3</v>
      </c>
      <c r="E19" s="15">
        <f t="shared" si="1"/>
        <v>7000</v>
      </c>
      <c r="F19" s="16">
        <f t="shared" si="2"/>
        <v>21000</v>
      </c>
      <c r="G19" s="10"/>
      <c r="H19" s="10"/>
      <c r="I19" s="6" t="s">
        <v>204</v>
      </c>
      <c r="J19" s="6" t="s">
        <v>205</v>
      </c>
      <c r="K19" s="6">
        <v>3600</v>
      </c>
    </row>
    <row r="20" spans="1:11">
      <c r="A20" s="13" t="s">
        <v>20</v>
      </c>
      <c r="B20" s="6" t="s">
        <v>200</v>
      </c>
      <c r="C20" s="6" t="str">
        <f t="shared" si="0"/>
        <v>Processor</v>
      </c>
      <c r="D20" s="14">
        <v>5</v>
      </c>
      <c r="E20" s="15">
        <f t="shared" si="1"/>
        <v>20000</v>
      </c>
      <c r="F20" s="16">
        <f t="shared" si="2"/>
        <v>100000</v>
      </c>
      <c r="G20" s="10"/>
      <c r="H20" s="10"/>
      <c r="I20" s="10"/>
      <c r="J20" s="10"/>
      <c r="K20" s="10"/>
    </row>
    <row r="21" spans="1:11">
      <c r="A21" s="13" t="s">
        <v>206</v>
      </c>
      <c r="B21" s="6" t="s">
        <v>202</v>
      </c>
      <c r="C21" s="6" t="str">
        <f t="shared" si="0"/>
        <v>CPU</v>
      </c>
      <c r="D21" s="14">
        <v>6</v>
      </c>
      <c r="E21" s="15">
        <f t="shared" si="1"/>
        <v>34000</v>
      </c>
      <c r="F21" s="16">
        <f t="shared" si="2"/>
        <v>204000</v>
      </c>
      <c r="G21" s="10"/>
      <c r="H21" s="10"/>
      <c r="I21" s="10"/>
      <c r="J21" s="10"/>
      <c r="K21" s="10"/>
    </row>
    <row r="22" spans="1:11">
      <c r="A22" s="13" t="s">
        <v>207</v>
      </c>
      <c r="B22" s="6" t="s">
        <v>204</v>
      </c>
      <c r="C22" s="6" t="str">
        <f t="shared" si="0"/>
        <v>Cassin</v>
      </c>
      <c r="D22" s="14">
        <v>2</v>
      </c>
      <c r="E22" s="15">
        <f t="shared" si="1"/>
        <v>3600</v>
      </c>
      <c r="F22" s="16">
        <f t="shared" si="2"/>
        <v>7200</v>
      </c>
      <c r="G22" s="10"/>
      <c r="H22" s="10"/>
      <c r="I22" s="10"/>
      <c r="J22" s="10"/>
      <c r="K22" s="10"/>
    </row>
    <row r="23" spans="1:11">
      <c r="A23" s="84" t="str">
        <f>IF(F28&gt;=0,"PAID","DUE")</f>
        <v>PAID</v>
      </c>
      <c r="B23" s="85"/>
      <c r="C23" s="86"/>
      <c r="D23" s="79" t="s">
        <v>208</v>
      </c>
      <c r="E23" s="80"/>
      <c r="F23" s="16">
        <f>SUM(F13:F22)</f>
        <v>946300</v>
      </c>
      <c r="G23" s="10"/>
      <c r="H23" s="10"/>
      <c r="I23" s="10"/>
      <c r="J23" s="10"/>
      <c r="K23" s="10"/>
    </row>
    <row r="24" spans="1:11">
      <c r="A24" s="87"/>
      <c r="B24" s="88"/>
      <c r="C24" s="89"/>
      <c r="D24" s="79" t="s">
        <v>209</v>
      </c>
      <c r="E24" s="80"/>
      <c r="F24" s="6">
        <f>IF(F23&gt;=500000,F23*9%,IF(F23&gt;=300000,F23*3%,IF(F23&lt;300000,F23*1%)))</f>
        <v>85167</v>
      </c>
      <c r="G24" s="10"/>
      <c r="H24" s="10"/>
      <c r="I24" s="10"/>
      <c r="J24" s="10"/>
      <c r="K24" s="10"/>
    </row>
    <row r="25" spans="1:11">
      <c r="A25" s="87"/>
      <c r="B25" s="88"/>
      <c r="C25" s="89"/>
      <c r="D25" s="79" t="s">
        <v>210</v>
      </c>
      <c r="E25" s="80"/>
      <c r="F25" s="6">
        <f>F23*3.5%</f>
        <v>33120.5</v>
      </c>
      <c r="G25" s="10"/>
      <c r="H25" s="10"/>
      <c r="I25" s="10"/>
      <c r="J25" s="10"/>
      <c r="K25" s="10"/>
    </row>
    <row r="26" spans="1:11">
      <c r="A26" s="90"/>
      <c r="B26" s="91"/>
      <c r="C26" s="92"/>
      <c r="D26" s="79" t="s">
        <v>51</v>
      </c>
      <c r="E26" s="80"/>
      <c r="F26" s="17">
        <f>SUM(F23+F25)-F24</f>
        <v>894253.5</v>
      </c>
      <c r="G26" s="10"/>
      <c r="H26" s="10"/>
      <c r="I26" s="10"/>
      <c r="J26" s="10"/>
      <c r="K26" s="10"/>
    </row>
    <row r="27" spans="1:11">
      <c r="A27" s="6" t="s">
        <v>211</v>
      </c>
      <c r="B27" s="18"/>
      <c r="C27" s="19"/>
      <c r="D27" s="79" t="s">
        <v>212</v>
      </c>
      <c r="E27" s="80"/>
      <c r="F27" s="17">
        <v>894253.5</v>
      </c>
      <c r="G27" s="10"/>
      <c r="H27" s="10"/>
      <c r="I27" s="10"/>
      <c r="J27" s="10"/>
    </row>
    <row r="28" spans="1:11">
      <c r="D28" s="81" t="s">
        <v>218</v>
      </c>
      <c r="E28" s="82"/>
      <c r="F28" s="20">
        <f>F27-F26</f>
        <v>0</v>
      </c>
    </row>
  </sheetData>
  <mergeCells count="18">
    <mergeCell ref="A8:F8"/>
    <mergeCell ref="A1:F1"/>
    <mergeCell ref="A3:C3"/>
    <mergeCell ref="A4:C4"/>
    <mergeCell ref="A5:C5"/>
    <mergeCell ref="A6:C6"/>
    <mergeCell ref="D27:E27"/>
    <mergeCell ref="D28:E28"/>
    <mergeCell ref="A9:F9"/>
    <mergeCell ref="A10:B10"/>
    <mergeCell ref="C10:D10"/>
    <mergeCell ref="A11:B11"/>
    <mergeCell ref="C11:D11"/>
    <mergeCell ref="A23:C26"/>
    <mergeCell ref="D23:E23"/>
    <mergeCell ref="D24:E24"/>
    <mergeCell ref="D25:E25"/>
    <mergeCell ref="D26:E26"/>
  </mergeCells>
  <dataValidations count="1">
    <dataValidation type="list" allowBlank="1" showInputMessage="1" showErrorMessage="1" sqref="B13:B22" xr:uid="{6909019F-FA7E-4BC4-A63C-A4316D9B8D78}">
      <formula1>$I$10:$I$19</formula1>
    </dataValidation>
  </dataValidations>
  <hyperlinks>
    <hyperlink ref="A6" r:id="rId1" xr:uid="{F6D45BE4-0A5B-4D54-9CCA-D441BDD652BF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BFBB3-DDEF-4464-830C-E505FA948F36}">
  <dimension ref="A1:J17"/>
  <sheetViews>
    <sheetView workbookViewId="0">
      <selection activeCell="L7" sqref="L7:M7"/>
    </sheetView>
  </sheetViews>
  <sheetFormatPr defaultRowHeight="15"/>
  <cols>
    <col min="1" max="1" width="21.5703125" customWidth="1"/>
    <col min="2" max="2" width="13.28515625" customWidth="1"/>
    <col min="3" max="3" width="14.7109375" customWidth="1"/>
    <col min="5" max="5" width="13.140625" customWidth="1"/>
    <col min="7" max="7" width="10.7109375" customWidth="1"/>
    <col min="9" max="9" width="13.28515625" customWidth="1"/>
  </cols>
  <sheetData>
    <row r="1" spans="1:10" ht="23.25">
      <c r="A1" s="102" t="s">
        <v>228</v>
      </c>
      <c r="B1" s="103"/>
      <c r="C1" s="103"/>
      <c r="D1" s="103"/>
      <c r="E1" s="103"/>
      <c r="F1" s="103"/>
      <c r="G1" s="104"/>
    </row>
    <row r="3" spans="1:10">
      <c r="A3" s="1" t="s">
        <v>229</v>
      </c>
      <c r="B3" s="1" t="s">
        <v>230</v>
      </c>
      <c r="C3" s="1" t="s">
        <v>231</v>
      </c>
      <c r="D3" s="1" t="s">
        <v>189</v>
      </c>
      <c r="E3" s="1" t="s">
        <v>232</v>
      </c>
      <c r="F3" s="1" t="s">
        <v>52</v>
      </c>
      <c r="G3" s="1" t="s">
        <v>233</v>
      </c>
      <c r="I3" s="1" t="s">
        <v>234</v>
      </c>
      <c r="J3" s="1">
        <f>SUMIF($B$4:$B$12,I3,$D$4:$D$12)</f>
        <v>30000</v>
      </c>
    </row>
    <row r="4" spans="1:10">
      <c r="A4" s="24">
        <v>45444</v>
      </c>
      <c r="B4" s="1" t="s">
        <v>234</v>
      </c>
      <c r="C4" s="1" t="s">
        <v>235</v>
      </c>
      <c r="D4" s="25">
        <v>30000</v>
      </c>
      <c r="E4" s="1" t="str">
        <f>IF(G4="INCOME","-",IF(D4&gt;$D$4*20%,"OVER BUDGET",IF(D4&lt;$D$4*20%,"IN RANGE")))</f>
        <v>-</v>
      </c>
      <c r="F4" s="1" t="str">
        <f>IF(G4="INCOME","-",RANK(D4,$D$4:$D$12,0))</f>
        <v>-</v>
      </c>
      <c r="G4" s="1" t="s">
        <v>236</v>
      </c>
      <c r="I4" s="1" t="s">
        <v>237</v>
      </c>
      <c r="J4" s="1">
        <f t="shared" ref="J4:J8" si="0">SUMIF($B$4:$B$12,I4,$D$4:$D$12)</f>
        <v>12000</v>
      </c>
    </row>
    <row r="5" spans="1:10">
      <c r="A5" s="24">
        <v>45445</v>
      </c>
      <c r="B5" s="1" t="s">
        <v>237</v>
      </c>
      <c r="C5" s="1" t="s">
        <v>238</v>
      </c>
      <c r="D5" s="25">
        <v>12000</v>
      </c>
      <c r="E5" s="1" t="str">
        <f t="shared" ref="E5:E12" si="1">IF(G5="INCOME","-",IF(D5&gt;$D$4*20%,"OVER BUDGET",IF(D5&lt;$D$4*20%,"IN RANGE")))</f>
        <v>OVER BUDGET</v>
      </c>
      <c r="F5" s="1">
        <f t="shared" ref="F5:F12" si="2">IF(G5="INCOME","-",RANK(D5,$D$4:$D$12,0))</f>
        <v>2</v>
      </c>
      <c r="G5" s="1" t="str">
        <f t="shared" ref="G5:G12" si="3">IF(B5="INCOME","INCOME","EXPENSES")</f>
        <v>EXPENSES</v>
      </c>
      <c r="I5" s="1" t="s">
        <v>239</v>
      </c>
      <c r="J5" s="1">
        <f t="shared" si="0"/>
        <v>3200</v>
      </c>
    </row>
    <row r="6" spans="1:10">
      <c r="A6" s="24">
        <v>45445</v>
      </c>
      <c r="B6" s="1" t="s">
        <v>240</v>
      </c>
      <c r="C6" s="26" t="s">
        <v>241</v>
      </c>
      <c r="D6" s="25">
        <v>1100</v>
      </c>
      <c r="E6" s="1" t="str">
        <f t="shared" si="1"/>
        <v>IN RANGE</v>
      </c>
      <c r="F6" s="1">
        <f t="shared" si="2"/>
        <v>4</v>
      </c>
      <c r="G6" s="1" t="str">
        <f t="shared" si="3"/>
        <v>EXPENSES</v>
      </c>
      <c r="I6" s="1" t="s">
        <v>242</v>
      </c>
      <c r="J6" s="1">
        <f t="shared" si="0"/>
        <v>700</v>
      </c>
    </row>
    <row r="7" spans="1:10" ht="30">
      <c r="A7" s="24">
        <v>45446</v>
      </c>
      <c r="B7" s="1" t="s">
        <v>239</v>
      </c>
      <c r="C7" s="26" t="s">
        <v>243</v>
      </c>
      <c r="D7" s="1">
        <v>600</v>
      </c>
      <c r="E7" s="1" t="str">
        <f t="shared" si="1"/>
        <v>IN RANGE</v>
      </c>
      <c r="F7" s="1">
        <f t="shared" si="2"/>
        <v>7</v>
      </c>
      <c r="G7" s="1" t="str">
        <f t="shared" si="3"/>
        <v>EXPENSES</v>
      </c>
      <c r="I7" s="1" t="s">
        <v>240</v>
      </c>
      <c r="J7" s="1">
        <f t="shared" si="0"/>
        <v>1600</v>
      </c>
    </row>
    <row r="8" spans="1:10">
      <c r="A8" s="24">
        <v>45447</v>
      </c>
      <c r="B8" s="1" t="s">
        <v>244</v>
      </c>
      <c r="C8" s="1" t="s">
        <v>245</v>
      </c>
      <c r="D8" s="25">
        <v>1800</v>
      </c>
      <c r="E8" s="1" t="str">
        <f t="shared" si="1"/>
        <v>IN RANGE</v>
      </c>
      <c r="F8" s="1">
        <f t="shared" si="2"/>
        <v>3</v>
      </c>
      <c r="G8" s="1" t="str">
        <f t="shared" si="3"/>
        <v>EXPENSES</v>
      </c>
      <c r="I8" s="1" t="s">
        <v>246</v>
      </c>
      <c r="J8" s="1">
        <f t="shared" si="0"/>
        <v>400</v>
      </c>
    </row>
    <row r="9" spans="1:10">
      <c r="A9" s="24">
        <v>45448</v>
      </c>
      <c r="B9" s="1" t="s">
        <v>240</v>
      </c>
      <c r="C9" s="1" t="s">
        <v>247</v>
      </c>
      <c r="D9" s="1">
        <v>500</v>
      </c>
      <c r="E9" s="1" t="str">
        <f t="shared" si="1"/>
        <v>IN RANGE</v>
      </c>
      <c r="F9" s="1">
        <f t="shared" si="2"/>
        <v>8</v>
      </c>
      <c r="G9" s="1" t="str">
        <f t="shared" si="3"/>
        <v>EXPENSES</v>
      </c>
    </row>
    <row r="10" spans="1:10">
      <c r="A10" s="24">
        <v>45449</v>
      </c>
      <c r="B10" s="1" t="s">
        <v>242</v>
      </c>
      <c r="C10" s="1" t="s">
        <v>248</v>
      </c>
      <c r="D10" s="1">
        <v>700</v>
      </c>
      <c r="E10" s="1" t="str">
        <f t="shared" si="1"/>
        <v>IN RANGE</v>
      </c>
      <c r="F10" s="1">
        <f t="shared" si="2"/>
        <v>6</v>
      </c>
      <c r="G10" s="1" t="str">
        <f t="shared" si="3"/>
        <v>EXPENSES</v>
      </c>
    </row>
    <row r="11" spans="1:10">
      <c r="A11" s="24">
        <v>45450</v>
      </c>
      <c r="B11" s="1" t="s">
        <v>246</v>
      </c>
      <c r="C11" s="1" t="s">
        <v>249</v>
      </c>
      <c r="D11" s="1">
        <v>400</v>
      </c>
      <c r="E11" s="1" t="str">
        <f t="shared" si="1"/>
        <v>IN RANGE</v>
      </c>
      <c r="F11" s="1">
        <f t="shared" si="2"/>
        <v>9</v>
      </c>
      <c r="G11" s="1" t="str">
        <f t="shared" si="3"/>
        <v>EXPENSES</v>
      </c>
    </row>
    <row r="12" spans="1:10" ht="30">
      <c r="A12" s="24">
        <v>45451</v>
      </c>
      <c r="B12" s="1" t="s">
        <v>239</v>
      </c>
      <c r="C12" s="26" t="s">
        <v>243</v>
      </c>
      <c r="D12" s="1">
        <v>800</v>
      </c>
      <c r="E12" s="1" t="str">
        <f t="shared" si="1"/>
        <v>IN RANGE</v>
      </c>
      <c r="F12" s="1">
        <f t="shared" si="2"/>
        <v>5</v>
      </c>
      <c r="G12" s="1" t="str">
        <f t="shared" si="3"/>
        <v>EXPENSES</v>
      </c>
    </row>
    <row r="14" spans="1:10">
      <c r="D14" s="81" t="s">
        <v>250</v>
      </c>
      <c r="E14" s="82"/>
    </row>
    <row r="15" spans="1:10">
      <c r="A15" s="1" t="s">
        <v>251</v>
      </c>
      <c r="B15" s="1">
        <f>SUMIF(G4:G12,"income",D4:D12)</f>
        <v>30000</v>
      </c>
      <c r="D15" s="1" t="s">
        <v>230</v>
      </c>
      <c r="E15" s="1" t="s">
        <v>252</v>
      </c>
    </row>
    <row r="16" spans="1:10">
      <c r="A16" s="1" t="s">
        <v>253</v>
      </c>
      <c r="B16" s="1">
        <f>SUMIF(G5:G12,"Expenses",D5:D12)</f>
        <v>17900</v>
      </c>
      <c r="D16" s="1" t="s">
        <v>240</v>
      </c>
      <c r="E16" s="1">
        <f>VLOOKUP(D16,I3:J8,2,FALSE)</f>
        <v>1600</v>
      </c>
    </row>
    <row r="17" spans="1:2">
      <c r="A17" s="1" t="s">
        <v>254</v>
      </c>
      <c r="B17" s="1">
        <f>B15-B16</f>
        <v>12100</v>
      </c>
    </row>
  </sheetData>
  <mergeCells count="2">
    <mergeCell ref="A1:G1"/>
    <mergeCell ref="D14:E14"/>
  </mergeCells>
  <conditionalFormatting sqref="G4:G12">
    <cfRule type="cellIs" dxfId="1" priority="1" operator="equal">
      <formula>"Expenses"</formula>
    </cfRule>
    <cfRule type="cellIs" dxfId="0" priority="2" operator="equal">
      <formula>"income"</formula>
    </cfRule>
  </conditionalFormatting>
  <dataValidations count="2">
    <dataValidation type="list" allowBlank="1" showInputMessage="1" showErrorMessage="1" sqref="D16" xr:uid="{7EF284FE-FE3E-4433-AEAB-7AFCB34450C0}">
      <formula1>$I$3:$I$8</formula1>
    </dataValidation>
    <dataValidation type="custom" allowBlank="1" showInputMessage="1" showErrorMessage="1" sqref="B4:B12" xr:uid="{14D0F14C-56E3-4F3A-B822-AF2345C3F3A0}">
      <formula1>OR(B4="Income",B4="Housing",B4="Utilities",B4="Food",B4="Transport",B4="Entertainment")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Wages Sheet</vt:lpstr>
      <vt:lpstr>Salary Sheet</vt:lpstr>
      <vt:lpstr>E.BILL</vt:lpstr>
      <vt:lpstr>Age</vt:lpstr>
      <vt:lpstr>Result Sheet</vt:lpstr>
      <vt:lpstr>Cricket Match (ODI Series)</vt:lpstr>
      <vt:lpstr>iNVOICE</vt:lpstr>
      <vt:lpstr>Monthly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2025-01-30T10:08:27Z</dcterms:modified>
</cp:coreProperties>
</file>