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fh1046_usnh_edu/Documents/Han lab/Amir Taherkhani/RL/CorrectedModel/"/>
    </mc:Choice>
  </mc:AlternateContent>
  <xr:revisionPtr revIDLastSave="1212" documentId="8_{C5DCD4D9-21B2-4B69-99CB-B3402A9A9AAB}" xr6:coauthVersionLast="47" xr6:coauthVersionMax="47" xr10:uidLastSave="{67DAD7B7-F904-4497-A706-18F1FB3AB01E}"/>
  <bookViews>
    <workbookView xWindow="-108" yWindow="-108" windowWidth="23256" windowHeight="12576" tabRatio="791" firstSheet="6" activeTab="13" xr2:uid="{00000000-000D-0000-FFFF-FFFF00000000}"/>
  </bookViews>
  <sheets>
    <sheet name="Ratings" sheetId="1" r:id="rId1"/>
    <sheet name="Ratings_HAZUS" sheetId="6" r:id="rId2"/>
    <sheet name="Ratings_2" sheetId="5" r:id="rId3"/>
    <sheet name="Sheet1" sheetId="2" r:id="rId4"/>
    <sheet name="Failure_prob" sheetId="3" r:id="rId5"/>
    <sheet name="Ratings_reasonable" sheetId="7" r:id="rId6"/>
    <sheet name="Ratings_Modified" sheetId="9" r:id="rId7"/>
    <sheet name="Ratings_Modified2" sheetId="10" r:id="rId8"/>
    <sheet name="Sheet7" sheetId="15" r:id="rId9"/>
    <sheet name="Ratings_Modified3" sheetId="13" r:id="rId10"/>
    <sheet name="Sheet4" sheetId="12" r:id="rId11"/>
    <sheet name="Ratings_Vulnerability" sheetId="16" r:id="rId12"/>
    <sheet name="Ratings_NoVulnerability" sheetId="17" r:id="rId13"/>
    <sheet name="Alpha0" sheetId="18" r:id="rId14"/>
    <sheet name="Alpha025" sheetId="19" r:id="rId15"/>
    <sheet name="Alpha05" sheetId="20" r:id="rId16"/>
    <sheet name="Alpha075" sheetId="21" r:id="rId17"/>
    <sheet name="Alpha1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M2" i="18" l="1"/>
  <c r="GL18" i="18"/>
  <c r="GL3" i="18"/>
  <c r="GL2" i="18"/>
  <c r="GL2" i="16"/>
  <c r="JO20" i="22"/>
  <c r="JN20" i="22"/>
  <c r="JM20" i="22"/>
  <c r="JL20" i="22"/>
  <c r="JK20" i="22"/>
  <c r="JJ20" i="22"/>
  <c r="JI20" i="22"/>
  <c r="JH20" i="22"/>
  <c r="JG20" i="22"/>
  <c r="JF20" i="22"/>
  <c r="JE20" i="22"/>
  <c r="JD20" i="22"/>
  <c r="JC20" i="22"/>
  <c r="JB20" i="22"/>
  <c r="JA20" i="22"/>
  <c r="IZ20" i="22"/>
  <c r="IY20" i="22"/>
  <c r="IX20" i="22"/>
  <c r="IW20" i="22"/>
  <c r="IV20" i="22"/>
  <c r="IU20" i="22"/>
  <c r="IT20" i="22"/>
  <c r="IS20" i="22"/>
  <c r="IR20" i="22"/>
  <c r="IQ20" i="22"/>
  <c r="IP20" i="22"/>
  <c r="IO20" i="22"/>
  <c r="IN20" i="22"/>
  <c r="IM20" i="22"/>
  <c r="IL20" i="22"/>
  <c r="IK20" i="22"/>
  <c r="JV20" i="22" s="1"/>
  <c r="IJ20" i="22"/>
  <c r="II20" i="22"/>
  <c r="IH20" i="22"/>
  <c r="IG20" i="22"/>
  <c r="IF20" i="22"/>
  <c r="GR20" i="22"/>
  <c r="GQ20" i="22"/>
  <c r="GP20" i="22"/>
  <c r="GO20" i="22"/>
  <c r="GN20" i="22"/>
  <c r="GM20" i="22"/>
  <c r="GL20" i="22"/>
  <c r="GE20" i="22"/>
  <c r="AT20" i="22"/>
  <c r="AS20" i="22"/>
  <c r="AR20" i="22"/>
  <c r="AQ20" i="22"/>
  <c r="JO19" i="22"/>
  <c r="JN19" i="22"/>
  <c r="JM19" i="22"/>
  <c r="JL19" i="22"/>
  <c r="JK19" i="22"/>
  <c r="JJ19" i="22"/>
  <c r="JI19" i="22"/>
  <c r="JH19" i="22"/>
  <c r="JG19" i="22"/>
  <c r="JF19" i="22"/>
  <c r="JE19" i="22"/>
  <c r="JD19" i="22"/>
  <c r="JC19" i="22"/>
  <c r="JB19" i="22"/>
  <c r="JA19" i="22"/>
  <c r="IZ19" i="22"/>
  <c r="IY19" i="22"/>
  <c r="IX19" i="22"/>
  <c r="IW19" i="22"/>
  <c r="IV19" i="22"/>
  <c r="IU19" i="22"/>
  <c r="IT19" i="22"/>
  <c r="IS19" i="22"/>
  <c r="IR19" i="22"/>
  <c r="IQ19" i="22"/>
  <c r="IP19" i="22"/>
  <c r="IO19" i="22"/>
  <c r="IN19" i="22"/>
  <c r="IM19" i="22"/>
  <c r="IL19" i="22"/>
  <c r="IK19" i="22"/>
  <c r="IJ19" i="22"/>
  <c r="II19" i="22"/>
  <c r="JT19" i="22" s="1"/>
  <c r="IH19" i="22"/>
  <c r="IG19" i="22"/>
  <c r="IF19" i="22"/>
  <c r="GR19" i="22"/>
  <c r="GQ19" i="22"/>
  <c r="GP19" i="22"/>
  <c r="GO19" i="22"/>
  <c r="GN19" i="22"/>
  <c r="GM19" i="22"/>
  <c r="GL19" i="22"/>
  <c r="GE19" i="22"/>
  <c r="AT19" i="22"/>
  <c r="AS19" i="22"/>
  <c r="AR19" i="22"/>
  <c r="AQ19" i="22"/>
  <c r="JO18" i="22"/>
  <c r="JN18" i="22"/>
  <c r="JM18" i="22"/>
  <c r="JL18" i="22"/>
  <c r="JK18" i="22"/>
  <c r="JJ18" i="22"/>
  <c r="JI18" i="22"/>
  <c r="JH18" i="22"/>
  <c r="JG18" i="22"/>
  <c r="JF18" i="22"/>
  <c r="JE18" i="22"/>
  <c r="JD18" i="22"/>
  <c r="JC18" i="22"/>
  <c r="JB18" i="22"/>
  <c r="JA18" i="22"/>
  <c r="IZ18" i="22"/>
  <c r="IY18" i="22"/>
  <c r="IX18" i="22"/>
  <c r="IW18" i="22"/>
  <c r="IV18" i="22"/>
  <c r="IU18" i="22"/>
  <c r="IT18" i="22"/>
  <c r="IS18" i="22"/>
  <c r="IR18" i="22"/>
  <c r="IQ18" i="22"/>
  <c r="IP18" i="22"/>
  <c r="IO18" i="22"/>
  <c r="IN18" i="22"/>
  <c r="IM18" i="22"/>
  <c r="IL18" i="22"/>
  <c r="IK18" i="22"/>
  <c r="IJ18" i="22"/>
  <c r="II18" i="22"/>
  <c r="IH18" i="22"/>
  <c r="IG18" i="22"/>
  <c r="IF18" i="22"/>
  <c r="GR18" i="22"/>
  <c r="GQ18" i="22"/>
  <c r="GP18" i="22"/>
  <c r="GO18" i="22"/>
  <c r="GN18" i="22"/>
  <c r="GM18" i="22"/>
  <c r="GL18" i="22"/>
  <c r="GE18" i="22"/>
  <c r="AT18" i="22"/>
  <c r="AS18" i="22"/>
  <c r="AR18" i="22"/>
  <c r="AQ18" i="22"/>
  <c r="JO17" i="22"/>
  <c r="JN17" i="22"/>
  <c r="JM17" i="22"/>
  <c r="JL17" i="22"/>
  <c r="JK17" i="22"/>
  <c r="JJ17" i="22"/>
  <c r="JI17" i="22"/>
  <c r="JH17" i="22"/>
  <c r="JG17" i="22"/>
  <c r="JF17" i="22"/>
  <c r="JE17" i="22"/>
  <c r="JD17" i="22"/>
  <c r="JC17" i="22"/>
  <c r="JB17" i="22"/>
  <c r="JA17" i="22"/>
  <c r="IZ17" i="22"/>
  <c r="IY17" i="22"/>
  <c r="IX17" i="22"/>
  <c r="IW17" i="22"/>
  <c r="IV17" i="22"/>
  <c r="IU17" i="22"/>
  <c r="IT17" i="22"/>
  <c r="IS17" i="22"/>
  <c r="IR17" i="22"/>
  <c r="IQ17" i="22"/>
  <c r="IP17" i="22"/>
  <c r="IO17" i="22"/>
  <c r="IN17" i="22"/>
  <c r="IM17" i="22"/>
  <c r="IL17" i="22"/>
  <c r="IK17" i="22"/>
  <c r="IJ17" i="22"/>
  <c r="II17" i="22"/>
  <c r="IH17" i="22"/>
  <c r="IG17" i="22"/>
  <c r="IF17" i="22"/>
  <c r="GR17" i="22"/>
  <c r="GQ17" i="22"/>
  <c r="GP17" i="22"/>
  <c r="GO17" i="22"/>
  <c r="GN17" i="22"/>
  <c r="GM17" i="22"/>
  <c r="GL17" i="22"/>
  <c r="GE17" i="22"/>
  <c r="AT17" i="22"/>
  <c r="AS17" i="22"/>
  <c r="AR17" i="22"/>
  <c r="AQ17" i="22"/>
  <c r="JO16" i="22"/>
  <c r="JN16" i="22"/>
  <c r="JM16" i="22"/>
  <c r="JL16" i="22"/>
  <c r="JK16" i="22"/>
  <c r="JJ16" i="22"/>
  <c r="JI16" i="22"/>
  <c r="JH16" i="22"/>
  <c r="JG16" i="22"/>
  <c r="JF16" i="22"/>
  <c r="JE16" i="22"/>
  <c r="JD16" i="22"/>
  <c r="JC16" i="22"/>
  <c r="JB16" i="22"/>
  <c r="JA16" i="22"/>
  <c r="IZ16" i="22"/>
  <c r="IY16" i="22"/>
  <c r="IX16" i="22"/>
  <c r="IW16" i="22"/>
  <c r="IV16" i="22"/>
  <c r="IU16" i="22"/>
  <c r="IT16" i="22"/>
  <c r="IS16" i="22"/>
  <c r="IR16" i="22"/>
  <c r="IQ16" i="22"/>
  <c r="IP16" i="22"/>
  <c r="IO16" i="22"/>
  <c r="IN16" i="22"/>
  <c r="IM16" i="22"/>
  <c r="IL16" i="22"/>
  <c r="IK16" i="22"/>
  <c r="IJ16" i="22"/>
  <c r="II16" i="22"/>
  <c r="JT16" i="22" s="1"/>
  <c r="IH16" i="22"/>
  <c r="IG16" i="22"/>
  <c r="IF16" i="22"/>
  <c r="GR16" i="22"/>
  <c r="GQ16" i="22"/>
  <c r="GP16" i="22"/>
  <c r="GO16" i="22"/>
  <c r="GN16" i="22"/>
  <c r="GM16" i="22"/>
  <c r="GL16" i="22"/>
  <c r="GE16" i="22"/>
  <c r="AT16" i="22"/>
  <c r="AS16" i="22"/>
  <c r="AR16" i="22"/>
  <c r="AQ16" i="22"/>
  <c r="JO15" i="22"/>
  <c r="JN15" i="22"/>
  <c r="JM15" i="22"/>
  <c r="JL15" i="22"/>
  <c r="JK15" i="22"/>
  <c r="JJ15" i="22"/>
  <c r="JI15" i="22"/>
  <c r="JH15" i="22"/>
  <c r="JG15" i="22"/>
  <c r="JF15" i="22"/>
  <c r="JE15" i="22"/>
  <c r="JD15" i="22"/>
  <c r="JC15" i="22"/>
  <c r="JB15" i="22"/>
  <c r="JA15" i="22"/>
  <c r="IZ15" i="22"/>
  <c r="IY15" i="22"/>
  <c r="IX15" i="22"/>
  <c r="IW15" i="22"/>
  <c r="IV15" i="22"/>
  <c r="IU15" i="22"/>
  <c r="IT15" i="22"/>
  <c r="IS15" i="22"/>
  <c r="IR15" i="22"/>
  <c r="IQ15" i="22"/>
  <c r="IP15" i="22"/>
  <c r="IO15" i="22"/>
  <c r="IN15" i="22"/>
  <c r="IM15" i="22"/>
  <c r="IL15" i="22"/>
  <c r="IK15" i="22"/>
  <c r="IJ15" i="22"/>
  <c r="II15" i="22"/>
  <c r="JT15" i="22" s="1"/>
  <c r="IH15" i="22"/>
  <c r="IG15" i="22"/>
  <c r="IF15" i="22"/>
  <c r="GR15" i="22"/>
  <c r="GQ15" i="22"/>
  <c r="GP15" i="22"/>
  <c r="GO15" i="22"/>
  <c r="GN15" i="22"/>
  <c r="GM15" i="22"/>
  <c r="GL15" i="22"/>
  <c r="GE15" i="22"/>
  <c r="AT15" i="22"/>
  <c r="AS15" i="22"/>
  <c r="AR15" i="22"/>
  <c r="AQ15" i="22"/>
  <c r="JO14" i="22"/>
  <c r="JN14" i="22"/>
  <c r="JM14" i="22"/>
  <c r="JL14" i="22"/>
  <c r="JK14" i="22"/>
  <c r="JJ14" i="22"/>
  <c r="JI14" i="22"/>
  <c r="JH14" i="22"/>
  <c r="JG14" i="22"/>
  <c r="JF14" i="22"/>
  <c r="JE14" i="22"/>
  <c r="JD14" i="22"/>
  <c r="JC14" i="22"/>
  <c r="JB14" i="22"/>
  <c r="JA14" i="22"/>
  <c r="IZ14" i="22"/>
  <c r="IY14" i="22"/>
  <c r="IX14" i="22"/>
  <c r="IW14" i="22"/>
  <c r="IV14" i="22"/>
  <c r="IU14" i="22"/>
  <c r="IT14" i="22"/>
  <c r="IS14" i="22"/>
  <c r="IR14" i="22"/>
  <c r="IQ14" i="22"/>
  <c r="IP14" i="22"/>
  <c r="IO14" i="22"/>
  <c r="IN14" i="22"/>
  <c r="IM14" i="22"/>
  <c r="IL14" i="22"/>
  <c r="IK14" i="22"/>
  <c r="IJ14" i="22"/>
  <c r="JU14" i="22" s="1"/>
  <c r="II14" i="22"/>
  <c r="JT14" i="22" s="1"/>
  <c r="IH14" i="22"/>
  <c r="IG14" i="22"/>
  <c r="IF14" i="22"/>
  <c r="GR14" i="22"/>
  <c r="GQ14" i="22"/>
  <c r="GP14" i="22"/>
  <c r="GO14" i="22"/>
  <c r="GN14" i="22"/>
  <c r="GM14" i="22"/>
  <c r="GL14" i="22"/>
  <c r="GE14" i="22"/>
  <c r="AT14" i="22"/>
  <c r="AS14" i="22"/>
  <c r="AR14" i="22"/>
  <c r="AQ14" i="22"/>
  <c r="JX13" i="22"/>
  <c r="JO13" i="22"/>
  <c r="JN13" i="22"/>
  <c r="JM13" i="22"/>
  <c r="JL13" i="22"/>
  <c r="JK13" i="22"/>
  <c r="JJ13" i="22"/>
  <c r="JI13" i="22"/>
  <c r="JH13" i="22"/>
  <c r="JG13" i="22"/>
  <c r="JF13" i="22"/>
  <c r="JE13" i="22"/>
  <c r="JD13" i="22"/>
  <c r="JC13" i="22"/>
  <c r="JB13" i="22"/>
  <c r="JA13" i="22"/>
  <c r="IZ13" i="22"/>
  <c r="IY13" i="22"/>
  <c r="IX13" i="22"/>
  <c r="IW13" i="22"/>
  <c r="IV13" i="22"/>
  <c r="IU13" i="22"/>
  <c r="IT13" i="22"/>
  <c r="IS13" i="22"/>
  <c r="IR13" i="22"/>
  <c r="IQ13" i="22"/>
  <c r="IP13" i="22"/>
  <c r="IO13" i="22"/>
  <c r="IN13" i="22"/>
  <c r="IM13" i="22"/>
  <c r="IL13" i="22"/>
  <c r="IK13" i="22"/>
  <c r="IJ13" i="22"/>
  <c r="JU13" i="22" s="1"/>
  <c r="II13" i="22"/>
  <c r="IH13" i="22"/>
  <c r="IG13" i="22"/>
  <c r="IF13" i="22"/>
  <c r="GR13" i="22"/>
  <c r="GQ13" i="22"/>
  <c r="GP13" i="22"/>
  <c r="GO13" i="22"/>
  <c r="GN13" i="22"/>
  <c r="GM13" i="22"/>
  <c r="GL13" i="22"/>
  <c r="GE13" i="22"/>
  <c r="AT13" i="22"/>
  <c r="AS13" i="22"/>
  <c r="AR13" i="22"/>
  <c r="AQ13" i="22"/>
  <c r="JO12" i="22"/>
  <c r="JN12" i="22"/>
  <c r="JM12" i="22"/>
  <c r="JL12" i="22"/>
  <c r="JK12" i="22"/>
  <c r="JJ12" i="22"/>
  <c r="JI12" i="22"/>
  <c r="JH12" i="22"/>
  <c r="JG12" i="22"/>
  <c r="JF12" i="22"/>
  <c r="JE12" i="22"/>
  <c r="JD12" i="22"/>
  <c r="JC12" i="22"/>
  <c r="JB12" i="22"/>
  <c r="JA12" i="22"/>
  <c r="IZ12" i="22"/>
  <c r="IY12" i="22"/>
  <c r="IX12" i="22"/>
  <c r="IW12" i="22"/>
  <c r="IV12" i="22"/>
  <c r="IU12" i="22"/>
  <c r="IT12" i="22"/>
  <c r="IS12" i="22"/>
  <c r="IR12" i="22"/>
  <c r="IQ12" i="22"/>
  <c r="IP12" i="22"/>
  <c r="IO12" i="22"/>
  <c r="IN12" i="22"/>
  <c r="IM12" i="22"/>
  <c r="IL12" i="22"/>
  <c r="IK12" i="22"/>
  <c r="JV12" i="22" s="1"/>
  <c r="IJ12" i="22"/>
  <c r="II12" i="22"/>
  <c r="IH12" i="22"/>
  <c r="IG12" i="22"/>
  <c r="IF12" i="22"/>
  <c r="GR12" i="22"/>
  <c r="GQ12" i="22"/>
  <c r="GP12" i="22"/>
  <c r="GO12" i="22"/>
  <c r="GN12" i="22"/>
  <c r="GM12" i="22"/>
  <c r="GL12" i="22"/>
  <c r="GE12" i="22"/>
  <c r="AT12" i="22"/>
  <c r="AS12" i="22"/>
  <c r="AR12" i="22"/>
  <c r="AQ12" i="22"/>
  <c r="JO11" i="22"/>
  <c r="JN11" i="22"/>
  <c r="JM11" i="22"/>
  <c r="JL11" i="22"/>
  <c r="JK11" i="22"/>
  <c r="JJ11" i="22"/>
  <c r="JI11" i="22"/>
  <c r="JH11" i="22"/>
  <c r="JG11" i="22"/>
  <c r="JF11" i="22"/>
  <c r="JE11" i="22"/>
  <c r="JD11" i="22"/>
  <c r="JC11" i="22"/>
  <c r="JB11" i="22"/>
  <c r="JA11" i="22"/>
  <c r="IZ11" i="22"/>
  <c r="IY11" i="22"/>
  <c r="IX11" i="22"/>
  <c r="IW11" i="22"/>
  <c r="IV11" i="22"/>
  <c r="IU11" i="22"/>
  <c r="IT11" i="22"/>
  <c r="IS11" i="22"/>
  <c r="IR11" i="22"/>
  <c r="IQ11" i="22"/>
  <c r="IP11" i="22"/>
  <c r="IO11" i="22"/>
  <c r="IN11" i="22"/>
  <c r="IM11" i="22"/>
  <c r="IL11" i="22"/>
  <c r="IK11" i="22"/>
  <c r="IJ11" i="22"/>
  <c r="II11" i="22"/>
  <c r="IH11" i="22"/>
  <c r="IG11" i="22"/>
  <c r="IF11" i="22"/>
  <c r="GR11" i="22"/>
  <c r="GQ11" i="22"/>
  <c r="GP11" i="22"/>
  <c r="GO11" i="22"/>
  <c r="GN11" i="22"/>
  <c r="GM11" i="22"/>
  <c r="GL11" i="22"/>
  <c r="GE11" i="22"/>
  <c r="AT11" i="22"/>
  <c r="AS11" i="22"/>
  <c r="AR11" i="22"/>
  <c r="AQ11" i="22"/>
  <c r="JO10" i="22"/>
  <c r="JN10" i="22"/>
  <c r="JM10" i="22"/>
  <c r="JL10" i="22"/>
  <c r="JK10" i="22"/>
  <c r="JJ10" i="22"/>
  <c r="JI10" i="22"/>
  <c r="JH10" i="22"/>
  <c r="JG10" i="22"/>
  <c r="JF10" i="22"/>
  <c r="JE10" i="22"/>
  <c r="JD10" i="22"/>
  <c r="JC10" i="22"/>
  <c r="JB10" i="22"/>
  <c r="JA10" i="22"/>
  <c r="IZ10" i="22"/>
  <c r="IY10" i="22"/>
  <c r="IX10" i="22"/>
  <c r="IW10" i="22"/>
  <c r="IV10" i="22"/>
  <c r="IU10" i="22"/>
  <c r="IT10" i="22"/>
  <c r="IS10" i="22"/>
  <c r="IR10" i="22"/>
  <c r="IQ10" i="22"/>
  <c r="IP10" i="22"/>
  <c r="IO10" i="22"/>
  <c r="IN10" i="22"/>
  <c r="IM10" i="22"/>
  <c r="IL10" i="22"/>
  <c r="IK10" i="22"/>
  <c r="JV10" i="22" s="1"/>
  <c r="IJ10" i="22"/>
  <c r="II10" i="22"/>
  <c r="IH10" i="22"/>
  <c r="IG10" i="22"/>
  <c r="IF10" i="22"/>
  <c r="GR10" i="22"/>
  <c r="GQ10" i="22"/>
  <c r="GP10" i="22"/>
  <c r="GO10" i="22"/>
  <c r="GN10" i="22"/>
  <c r="GM10" i="22"/>
  <c r="GL10" i="22"/>
  <c r="GE10" i="22"/>
  <c r="AT10" i="22"/>
  <c r="AS10" i="22"/>
  <c r="AR10" i="22"/>
  <c r="AQ10" i="22"/>
  <c r="JO9" i="22"/>
  <c r="JN9" i="22"/>
  <c r="JM9" i="22"/>
  <c r="JL9" i="22"/>
  <c r="JK9" i="22"/>
  <c r="JJ9" i="22"/>
  <c r="JI9" i="22"/>
  <c r="JH9" i="22"/>
  <c r="JG9" i="22"/>
  <c r="JF9" i="22"/>
  <c r="JE9" i="22"/>
  <c r="JD9" i="22"/>
  <c r="JC9" i="22"/>
  <c r="JB9" i="22"/>
  <c r="JA9" i="22"/>
  <c r="IZ9" i="22"/>
  <c r="IY9" i="22"/>
  <c r="IX9" i="22"/>
  <c r="IW9" i="22"/>
  <c r="IV9" i="22"/>
  <c r="IU9" i="22"/>
  <c r="IT9" i="22"/>
  <c r="IS9" i="22"/>
  <c r="IR9" i="22"/>
  <c r="IQ9" i="22"/>
  <c r="IP9" i="22"/>
  <c r="IO9" i="22"/>
  <c r="IN9" i="22"/>
  <c r="IM9" i="22"/>
  <c r="IL9" i="22"/>
  <c r="IK9" i="22"/>
  <c r="IJ9" i="22"/>
  <c r="II9" i="22"/>
  <c r="IH9" i="22"/>
  <c r="IG9" i="22"/>
  <c r="IF9" i="22"/>
  <c r="GR9" i="22"/>
  <c r="GQ9" i="22"/>
  <c r="GP9" i="22"/>
  <c r="GO9" i="22"/>
  <c r="GN9" i="22"/>
  <c r="GM9" i="22"/>
  <c r="GL9" i="22"/>
  <c r="GE9" i="22"/>
  <c r="AT9" i="22"/>
  <c r="AS9" i="22"/>
  <c r="AR9" i="22"/>
  <c r="AQ9" i="22"/>
  <c r="JO8" i="22"/>
  <c r="JN8" i="22"/>
  <c r="JM8" i="22"/>
  <c r="JL8" i="22"/>
  <c r="JK8" i="22"/>
  <c r="JJ8" i="22"/>
  <c r="JI8" i="22"/>
  <c r="JH8" i="22"/>
  <c r="JG8" i="22"/>
  <c r="JF8" i="22"/>
  <c r="JE8" i="22"/>
  <c r="JD8" i="22"/>
  <c r="JC8" i="22"/>
  <c r="JB8" i="22"/>
  <c r="JA8" i="22"/>
  <c r="IZ8" i="22"/>
  <c r="IY8" i="22"/>
  <c r="IX8" i="22"/>
  <c r="IW8" i="22"/>
  <c r="IV8" i="22"/>
  <c r="IU8" i="22"/>
  <c r="IT8" i="22"/>
  <c r="IS8" i="22"/>
  <c r="IR8" i="22"/>
  <c r="IQ8" i="22"/>
  <c r="IP8" i="22"/>
  <c r="IO8" i="22"/>
  <c r="IN8" i="22"/>
  <c r="IM8" i="22"/>
  <c r="IL8" i="22"/>
  <c r="IK8" i="22"/>
  <c r="JV8" i="22" s="1"/>
  <c r="IJ8" i="22"/>
  <c r="II8" i="22"/>
  <c r="IH8" i="22"/>
  <c r="IG8" i="22"/>
  <c r="IF8" i="22"/>
  <c r="GR8" i="22"/>
  <c r="GQ8" i="22"/>
  <c r="GP8" i="22"/>
  <c r="GO8" i="22"/>
  <c r="GN8" i="22"/>
  <c r="GM8" i="22"/>
  <c r="GL8" i="22"/>
  <c r="GE8" i="22"/>
  <c r="AT8" i="22"/>
  <c r="AS8" i="22"/>
  <c r="AR8" i="22"/>
  <c r="AQ8" i="22"/>
  <c r="JO7" i="22"/>
  <c r="JN7" i="22"/>
  <c r="JM7" i="22"/>
  <c r="JL7" i="22"/>
  <c r="JK7" i="22"/>
  <c r="JJ7" i="22"/>
  <c r="JI7" i="22"/>
  <c r="JH7" i="22"/>
  <c r="JG7" i="22"/>
  <c r="JF7" i="22"/>
  <c r="JE7" i="22"/>
  <c r="JD7" i="22"/>
  <c r="JC7" i="22"/>
  <c r="JB7" i="22"/>
  <c r="JA7" i="22"/>
  <c r="IZ7" i="22"/>
  <c r="IY7" i="22"/>
  <c r="IX7" i="22"/>
  <c r="IW7" i="22"/>
  <c r="IV7" i="22"/>
  <c r="IU7" i="22"/>
  <c r="IT7" i="22"/>
  <c r="IS7" i="22"/>
  <c r="IR7" i="22"/>
  <c r="IQ7" i="22"/>
  <c r="IP7" i="22"/>
  <c r="IO7" i="22"/>
  <c r="IN7" i="22"/>
  <c r="IM7" i="22"/>
  <c r="IL7" i="22"/>
  <c r="IK7" i="22"/>
  <c r="JV7" i="22" s="1"/>
  <c r="IJ7" i="22"/>
  <c r="JU7" i="22" s="1"/>
  <c r="II7" i="22"/>
  <c r="IH7" i="22"/>
  <c r="IG7" i="22"/>
  <c r="IF7" i="22"/>
  <c r="GR7" i="22"/>
  <c r="GQ7" i="22"/>
  <c r="GP7" i="22"/>
  <c r="GO7" i="22"/>
  <c r="GN7" i="22"/>
  <c r="GM7" i="22"/>
  <c r="GL7" i="22"/>
  <c r="GE7" i="22"/>
  <c r="AT7" i="22"/>
  <c r="AS7" i="22"/>
  <c r="AR7" i="22"/>
  <c r="AQ7" i="22"/>
  <c r="JO6" i="22"/>
  <c r="JN6" i="22"/>
  <c r="JM6" i="22"/>
  <c r="JL6" i="22"/>
  <c r="JK6" i="22"/>
  <c r="JJ6" i="22"/>
  <c r="JI6" i="22"/>
  <c r="JH6" i="22"/>
  <c r="JG6" i="22"/>
  <c r="JF6" i="22"/>
  <c r="JE6" i="22"/>
  <c r="JD6" i="22"/>
  <c r="JC6" i="22"/>
  <c r="JB6" i="22"/>
  <c r="JA6" i="22"/>
  <c r="IZ6" i="22"/>
  <c r="IY6" i="22"/>
  <c r="IX6" i="22"/>
  <c r="IW6" i="22"/>
  <c r="IV6" i="22"/>
  <c r="IU6" i="22"/>
  <c r="IT6" i="22"/>
  <c r="IS6" i="22"/>
  <c r="IR6" i="22"/>
  <c r="IQ6" i="22"/>
  <c r="IP6" i="22"/>
  <c r="IO6" i="22"/>
  <c r="IN6" i="22"/>
  <c r="IM6" i="22"/>
  <c r="IL6" i="22"/>
  <c r="IK6" i="22"/>
  <c r="JV6" i="22" s="1"/>
  <c r="IJ6" i="22"/>
  <c r="JU6" i="22" s="1"/>
  <c r="II6" i="22"/>
  <c r="IH6" i="22"/>
  <c r="IG6" i="22"/>
  <c r="IF6" i="22"/>
  <c r="GR6" i="22"/>
  <c r="GQ6" i="22"/>
  <c r="GP6" i="22"/>
  <c r="GO6" i="22"/>
  <c r="GN6" i="22"/>
  <c r="GM6" i="22"/>
  <c r="GL6" i="22"/>
  <c r="GE6" i="22"/>
  <c r="AT6" i="22"/>
  <c r="AS6" i="22"/>
  <c r="AR6" i="22"/>
  <c r="AQ6" i="22"/>
  <c r="JO5" i="22"/>
  <c r="JN5" i="22"/>
  <c r="JM5" i="22"/>
  <c r="JL5" i="22"/>
  <c r="JK5" i="22"/>
  <c r="JJ5" i="22"/>
  <c r="JI5" i="22"/>
  <c r="JH5" i="22"/>
  <c r="JG5" i="22"/>
  <c r="JF5" i="22"/>
  <c r="JE5" i="22"/>
  <c r="JD5" i="22"/>
  <c r="JC5" i="22"/>
  <c r="JB5" i="22"/>
  <c r="JA5" i="22"/>
  <c r="IZ5" i="22"/>
  <c r="IY5" i="22"/>
  <c r="IX5" i="22"/>
  <c r="IW5" i="22"/>
  <c r="IV5" i="22"/>
  <c r="IU5" i="22"/>
  <c r="IT5" i="22"/>
  <c r="IS5" i="22"/>
  <c r="IR5" i="22"/>
  <c r="IQ5" i="22"/>
  <c r="IP5" i="22"/>
  <c r="IO5" i="22"/>
  <c r="IN5" i="22"/>
  <c r="IM5" i="22"/>
  <c r="JX5" i="22" s="1"/>
  <c r="IL5" i="22"/>
  <c r="JW5" i="22" s="1"/>
  <c r="IK5" i="22"/>
  <c r="JV5" i="22" s="1"/>
  <c r="IJ5" i="22"/>
  <c r="II5" i="22"/>
  <c r="IH5" i="22"/>
  <c r="IG5" i="22"/>
  <c r="IF5" i="22"/>
  <c r="GR5" i="22"/>
  <c r="GQ5" i="22"/>
  <c r="GP5" i="22"/>
  <c r="GO5" i="22"/>
  <c r="GN5" i="22"/>
  <c r="GM5" i="22"/>
  <c r="GL5" i="22"/>
  <c r="GE5" i="22"/>
  <c r="AT5" i="22"/>
  <c r="AS5" i="22"/>
  <c r="AR5" i="22"/>
  <c r="AQ5" i="22"/>
  <c r="JO4" i="22"/>
  <c r="JN4" i="22"/>
  <c r="JM4" i="22"/>
  <c r="JL4" i="22"/>
  <c r="JK4" i="22"/>
  <c r="JJ4" i="22"/>
  <c r="JI4" i="22"/>
  <c r="JH4" i="22"/>
  <c r="JG4" i="22"/>
  <c r="JF4" i="22"/>
  <c r="JE4" i="22"/>
  <c r="JD4" i="22"/>
  <c r="JC4" i="22"/>
  <c r="JB4" i="22"/>
  <c r="JA4" i="22"/>
  <c r="IZ4" i="22"/>
  <c r="IY4" i="22"/>
  <c r="IX4" i="22"/>
  <c r="IW4" i="22"/>
  <c r="IV4" i="22"/>
  <c r="IU4" i="22"/>
  <c r="IT4" i="22"/>
  <c r="IS4" i="22"/>
  <c r="IR4" i="22"/>
  <c r="IQ4" i="22"/>
  <c r="IP4" i="22"/>
  <c r="IO4" i="22"/>
  <c r="IN4" i="22"/>
  <c r="IM4" i="22"/>
  <c r="IL4" i="22"/>
  <c r="JW4" i="22" s="1"/>
  <c r="IK4" i="22"/>
  <c r="JV4" i="22" s="1"/>
  <c r="IJ4" i="22"/>
  <c r="II4" i="22"/>
  <c r="IH4" i="22"/>
  <c r="IG4" i="22"/>
  <c r="IF4" i="22"/>
  <c r="GR4" i="22"/>
  <c r="GQ4" i="22"/>
  <c r="GP4" i="22"/>
  <c r="GO4" i="22"/>
  <c r="GN4" i="22"/>
  <c r="GM4" i="22"/>
  <c r="GL4" i="22"/>
  <c r="GE4" i="22"/>
  <c r="AT4" i="22"/>
  <c r="AS4" i="22"/>
  <c r="AR4" i="22"/>
  <c r="AQ4" i="22"/>
  <c r="JO3" i="22"/>
  <c r="JN3" i="22"/>
  <c r="JM3" i="22"/>
  <c r="JL3" i="22"/>
  <c r="JK3" i="22"/>
  <c r="JJ3" i="22"/>
  <c r="JI3" i="22"/>
  <c r="JH3" i="22"/>
  <c r="JG3" i="22"/>
  <c r="JF3" i="22"/>
  <c r="JE3" i="22"/>
  <c r="JD3" i="22"/>
  <c r="JC3" i="22"/>
  <c r="JB3" i="22"/>
  <c r="JA3" i="22"/>
  <c r="IZ3" i="22"/>
  <c r="IY3" i="22"/>
  <c r="IX3" i="22"/>
  <c r="IW3" i="22"/>
  <c r="IV3" i="22"/>
  <c r="IU3" i="22"/>
  <c r="IT3" i="22"/>
  <c r="IS3" i="22"/>
  <c r="IR3" i="22"/>
  <c r="IQ3" i="22"/>
  <c r="IP3" i="22"/>
  <c r="IO3" i="22"/>
  <c r="IN3" i="22"/>
  <c r="IM3" i="22"/>
  <c r="IL3" i="22"/>
  <c r="IK3" i="22"/>
  <c r="IJ3" i="22"/>
  <c r="II3" i="22"/>
  <c r="IH3" i="22"/>
  <c r="IG3" i="22"/>
  <c r="IF3" i="22"/>
  <c r="GR3" i="22"/>
  <c r="GQ3" i="22"/>
  <c r="GP3" i="22"/>
  <c r="GO3" i="22"/>
  <c r="GN3" i="22"/>
  <c r="GM3" i="22"/>
  <c r="GL3" i="22"/>
  <c r="GE3" i="22"/>
  <c r="AT3" i="22"/>
  <c r="AS3" i="22"/>
  <c r="AR3" i="22"/>
  <c r="AQ3" i="22"/>
  <c r="JO2" i="22"/>
  <c r="JN2" i="22"/>
  <c r="JM2" i="22"/>
  <c r="JL2" i="22"/>
  <c r="JK2" i="22"/>
  <c r="JJ2" i="22"/>
  <c r="JI2" i="22"/>
  <c r="JH2" i="22"/>
  <c r="JG2" i="22"/>
  <c r="JF2" i="22"/>
  <c r="JE2" i="22"/>
  <c r="JD2" i="22"/>
  <c r="JC2" i="22"/>
  <c r="JB2" i="22"/>
  <c r="JA2" i="22"/>
  <c r="IZ2" i="22"/>
  <c r="IY2" i="22"/>
  <c r="IX2" i="22"/>
  <c r="IW2" i="22"/>
  <c r="IV2" i="22"/>
  <c r="IU2" i="22"/>
  <c r="IT2" i="22"/>
  <c r="IS2" i="22"/>
  <c r="IR2" i="22"/>
  <c r="IQ2" i="22"/>
  <c r="IP2" i="22"/>
  <c r="IO2" i="22"/>
  <c r="IN2" i="22"/>
  <c r="IM2" i="22"/>
  <c r="IL2" i="22"/>
  <c r="IK2" i="22"/>
  <c r="JV2" i="22" s="1"/>
  <c r="IJ2" i="22"/>
  <c r="II2" i="22"/>
  <c r="IH2" i="22"/>
  <c r="IG2" i="22"/>
  <c r="IF2" i="22"/>
  <c r="GR2" i="22"/>
  <c r="GQ2" i="22"/>
  <c r="GP2" i="22"/>
  <c r="GO2" i="22"/>
  <c r="GN2" i="22"/>
  <c r="GM2" i="22"/>
  <c r="GL2" i="22"/>
  <c r="GE2" i="22"/>
  <c r="AT2" i="22"/>
  <c r="AS2" i="22"/>
  <c r="AR2" i="22"/>
  <c r="AQ2" i="22"/>
  <c r="JO20" i="21"/>
  <c r="JN20" i="21"/>
  <c r="JM20" i="21"/>
  <c r="JL20" i="21"/>
  <c r="JK20" i="21"/>
  <c r="JJ20" i="21"/>
  <c r="JI20" i="21"/>
  <c r="JH20" i="21"/>
  <c r="JG20" i="21"/>
  <c r="JF20" i="21"/>
  <c r="JE20" i="21"/>
  <c r="JD20" i="21"/>
  <c r="JC20" i="21"/>
  <c r="JB20" i="21"/>
  <c r="JA20" i="21"/>
  <c r="IZ20" i="21"/>
  <c r="IY20" i="21"/>
  <c r="IX20" i="21"/>
  <c r="IW20" i="21"/>
  <c r="IV20" i="21"/>
  <c r="IU20" i="21"/>
  <c r="IT20" i="21"/>
  <c r="IS20" i="21"/>
  <c r="IR20" i="21"/>
  <c r="IQ20" i="21"/>
  <c r="IP20" i="21"/>
  <c r="IO20" i="21"/>
  <c r="IN20" i="21"/>
  <c r="IM20" i="21"/>
  <c r="JX20" i="21" s="1"/>
  <c r="IL20" i="21"/>
  <c r="IK20" i="21"/>
  <c r="JV20" i="21" s="1"/>
  <c r="IJ20" i="21"/>
  <c r="II20" i="21"/>
  <c r="IH20" i="21"/>
  <c r="IG20" i="21"/>
  <c r="IF20" i="21"/>
  <c r="GR20" i="21"/>
  <c r="GQ20" i="21"/>
  <c r="GP20" i="21"/>
  <c r="GO20" i="21"/>
  <c r="GN20" i="21"/>
  <c r="GM20" i="21"/>
  <c r="GL20" i="21"/>
  <c r="GE20" i="21"/>
  <c r="AT20" i="21"/>
  <c r="AS20" i="21"/>
  <c r="AR20" i="21"/>
  <c r="AQ20" i="21"/>
  <c r="JO19" i="21"/>
  <c r="JN19" i="21"/>
  <c r="JM19" i="21"/>
  <c r="JL19" i="21"/>
  <c r="JK19" i="21"/>
  <c r="JJ19" i="21"/>
  <c r="JI19" i="21"/>
  <c r="JH19" i="21"/>
  <c r="JG19" i="21"/>
  <c r="JF19" i="21"/>
  <c r="JE19" i="21"/>
  <c r="JD19" i="21"/>
  <c r="JC19" i="21"/>
  <c r="JB19" i="21"/>
  <c r="JA19" i="21"/>
  <c r="IZ19" i="21"/>
  <c r="IY19" i="21"/>
  <c r="IX19" i="21"/>
  <c r="IW19" i="21"/>
  <c r="IV19" i="21"/>
  <c r="IU19" i="21"/>
  <c r="IT19" i="21"/>
  <c r="IS19" i="21"/>
  <c r="IR19" i="21"/>
  <c r="IQ19" i="21"/>
  <c r="IP19" i="21"/>
  <c r="IO19" i="21"/>
  <c r="IN19" i="21"/>
  <c r="IM19" i="21"/>
  <c r="IL19" i="21"/>
  <c r="IK19" i="21"/>
  <c r="IJ19" i="21"/>
  <c r="II19" i="21"/>
  <c r="IH19" i="21"/>
  <c r="IG19" i="21"/>
  <c r="IF19" i="21"/>
  <c r="GR19" i="21"/>
  <c r="GQ19" i="21"/>
  <c r="GP19" i="21"/>
  <c r="GO19" i="21"/>
  <c r="GN19" i="21"/>
  <c r="GM19" i="21"/>
  <c r="GL19" i="21"/>
  <c r="GE19" i="21"/>
  <c r="AT19" i="21"/>
  <c r="AS19" i="21"/>
  <c r="AR19" i="21"/>
  <c r="AQ19" i="21"/>
  <c r="JO18" i="21"/>
  <c r="JN18" i="21"/>
  <c r="JM18" i="21"/>
  <c r="JL18" i="21"/>
  <c r="JK18" i="21"/>
  <c r="JJ18" i="21"/>
  <c r="JI18" i="21"/>
  <c r="JH18" i="21"/>
  <c r="JG18" i="21"/>
  <c r="JF18" i="21"/>
  <c r="JE18" i="21"/>
  <c r="JD18" i="21"/>
  <c r="JC18" i="21"/>
  <c r="JB18" i="21"/>
  <c r="JA18" i="21"/>
  <c r="IZ18" i="21"/>
  <c r="IY18" i="21"/>
  <c r="IX18" i="21"/>
  <c r="IW18" i="21"/>
  <c r="IV18" i="21"/>
  <c r="IU18" i="21"/>
  <c r="IT18" i="21"/>
  <c r="IS18" i="21"/>
  <c r="IR18" i="21"/>
  <c r="IQ18" i="21"/>
  <c r="IP18" i="21"/>
  <c r="IO18" i="21"/>
  <c r="IN18" i="21"/>
  <c r="IM18" i="21"/>
  <c r="IL18" i="21"/>
  <c r="IK18" i="21"/>
  <c r="JV18" i="21" s="1"/>
  <c r="IJ18" i="21"/>
  <c r="II18" i="21"/>
  <c r="IH18" i="21"/>
  <c r="IG18" i="21"/>
  <c r="IF18" i="21"/>
  <c r="GR18" i="21"/>
  <c r="GQ18" i="21"/>
  <c r="GP18" i="21"/>
  <c r="GO18" i="21"/>
  <c r="GN18" i="21"/>
  <c r="GM18" i="21"/>
  <c r="GL18" i="21"/>
  <c r="GE18" i="21"/>
  <c r="AT18" i="21"/>
  <c r="AS18" i="21"/>
  <c r="AR18" i="21"/>
  <c r="AQ18" i="21"/>
  <c r="JO17" i="21"/>
  <c r="JN17" i="21"/>
  <c r="JM17" i="21"/>
  <c r="JL17" i="21"/>
  <c r="JK17" i="21"/>
  <c r="JJ17" i="21"/>
  <c r="JI17" i="21"/>
  <c r="JH17" i="21"/>
  <c r="JG17" i="21"/>
  <c r="JF17" i="21"/>
  <c r="JE17" i="21"/>
  <c r="JD17" i="21"/>
  <c r="JC17" i="21"/>
  <c r="JB17" i="21"/>
  <c r="JA17" i="21"/>
  <c r="IZ17" i="21"/>
  <c r="IY17" i="21"/>
  <c r="IX17" i="21"/>
  <c r="IW17" i="21"/>
  <c r="IV17" i="21"/>
  <c r="IU17" i="21"/>
  <c r="IT17" i="21"/>
  <c r="IS17" i="21"/>
  <c r="IR17" i="21"/>
  <c r="IQ17" i="21"/>
  <c r="IP17" i="21"/>
  <c r="IO17" i="21"/>
  <c r="IN17" i="21"/>
  <c r="IM17" i="21"/>
  <c r="IL17" i="21"/>
  <c r="IK17" i="21"/>
  <c r="IJ17" i="21"/>
  <c r="II17" i="21"/>
  <c r="IH17" i="21"/>
  <c r="IG17" i="21"/>
  <c r="IF17" i="21"/>
  <c r="GR17" i="21"/>
  <c r="GQ17" i="21"/>
  <c r="GP17" i="21"/>
  <c r="GO17" i="21"/>
  <c r="GN17" i="21"/>
  <c r="GM17" i="21"/>
  <c r="GL17" i="21"/>
  <c r="GE17" i="21"/>
  <c r="AT17" i="21"/>
  <c r="AS17" i="21"/>
  <c r="AR17" i="21"/>
  <c r="AQ17" i="21"/>
  <c r="JO16" i="21"/>
  <c r="JN16" i="21"/>
  <c r="JM16" i="21"/>
  <c r="JL16" i="21"/>
  <c r="JK16" i="21"/>
  <c r="JJ16" i="21"/>
  <c r="JI16" i="21"/>
  <c r="JH16" i="21"/>
  <c r="JG16" i="21"/>
  <c r="JF16" i="21"/>
  <c r="JE16" i="21"/>
  <c r="JD16" i="21"/>
  <c r="JC16" i="21"/>
  <c r="JB16" i="21"/>
  <c r="JA16" i="21"/>
  <c r="IZ16" i="21"/>
  <c r="IY16" i="21"/>
  <c r="IX16" i="21"/>
  <c r="IW16" i="21"/>
  <c r="IV16" i="21"/>
  <c r="IU16" i="21"/>
  <c r="IT16" i="21"/>
  <c r="IS16" i="21"/>
  <c r="IR16" i="21"/>
  <c r="IQ16" i="21"/>
  <c r="IP16" i="21"/>
  <c r="IO16" i="21"/>
  <c r="IN16" i="21"/>
  <c r="IM16" i="21"/>
  <c r="IL16" i="21"/>
  <c r="IK16" i="21"/>
  <c r="IJ16" i="21"/>
  <c r="II16" i="21"/>
  <c r="JT16" i="21" s="1"/>
  <c r="IH16" i="21"/>
  <c r="IG16" i="21"/>
  <c r="IF16" i="21"/>
  <c r="GR16" i="21"/>
  <c r="GQ16" i="21"/>
  <c r="GP16" i="21"/>
  <c r="GO16" i="21"/>
  <c r="GN16" i="21"/>
  <c r="GM16" i="21"/>
  <c r="GL16" i="21"/>
  <c r="GE16" i="21"/>
  <c r="AT16" i="21"/>
  <c r="AS16" i="21"/>
  <c r="AR16" i="21"/>
  <c r="AQ16" i="21"/>
  <c r="JO15" i="21"/>
  <c r="JN15" i="21"/>
  <c r="JM15" i="21"/>
  <c r="JL15" i="21"/>
  <c r="JK15" i="21"/>
  <c r="JJ15" i="21"/>
  <c r="JI15" i="21"/>
  <c r="JH15" i="21"/>
  <c r="JG15" i="21"/>
  <c r="JF15" i="21"/>
  <c r="JE15" i="21"/>
  <c r="JD15" i="21"/>
  <c r="JC15" i="21"/>
  <c r="JB15" i="21"/>
  <c r="JA15" i="21"/>
  <c r="IZ15" i="21"/>
  <c r="IY15" i="21"/>
  <c r="IX15" i="21"/>
  <c r="IW15" i="21"/>
  <c r="IV15" i="21"/>
  <c r="IU15" i="21"/>
  <c r="IT15" i="21"/>
  <c r="IS15" i="21"/>
  <c r="IR15" i="21"/>
  <c r="IQ15" i="21"/>
  <c r="IP15" i="21"/>
  <c r="IO15" i="21"/>
  <c r="IN15" i="21"/>
  <c r="IM15" i="21"/>
  <c r="IL15" i="21"/>
  <c r="IK15" i="21"/>
  <c r="IJ15" i="21"/>
  <c r="JU15" i="21" s="1"/>
  <c r="II15" i="21"/>
  <c r="IH15" i="21"/>
  <c r="IG15" i="21"/>
  <c r="IF15" i="21"/>
  <c r="GR15" i="21"/>
  <c r="GQ15" i="21"/>
  <c r="GP15" i="21"/>
  <c r="GO15" i="21"/>
  <c r="GN15" i="21"/>
  <c r="GM15" i="21"/>
  <c r="GL15" i="21"/>
  <c r="GE15" i="21"/>
  <c r="AT15" i="21"/>
  <c r="AS15" i="21"/>
  <c r="AR15" i="21"/>
  <c r="AQ15" i="21"/>
  <c r="JO14" i="21"/>
  <c r="JN14" i="21"/>
  <c r="JM14" i="21"/>
  <c r="JL14" i="21"/>
  <c r="JK14" i="21"/>
  <c r="JJ14" i="21"/>
  <c r="JI14" i="21"/>
  <c r="JH14" i="21"/>
  <c r="JG14" i="21"/>
  <c r="JF14" i="21"/>
  <c r="JE14" i="21"/>
  <c r="JD14" i="21"/>
  <c r="JC14" i="21"/>
  <c r="JB14" i="21"/>
  <c r="JA14" i="21"/>
  <c r="IZ14" i="21"/>
  <c r="IY14" i="21"/>
  <c r="IX14" i="21"/>
  <c r="IW14" i="21"/>
  <c r="IV14" i="21"/>
  <c r="IU14" i="21"/>
  <c r="IT14" i="21"/>
  <c r="IS14" i="21"/>
  <c r="IR14" i="21"/>
  <c r="IQ14" i="21"/>
  <c r="IP14" i="21"/>
  <c r="IO14" i="21"/>
  <c r="IN14" i="21"/>
  <c r="IM14" i="21"/>
  <c r="IL14" i="21"/>
  <c r="IK14" i="21"/>
  <c r="JV14" i="21" s="1"/>
  <c r="IJ14" i="21"/>
  <c r="II14" i="21"/>
  <c r="JT14" i="21" s="1"/>
  <c r="IH14" i="21"/>
  <c r="IG14" i="21"/>
  <c r="IF14" i="21"/>
  <c r="GR14" i="21"/>
  <c r="GQ14" i="21"/>
  <c r="GP14" i="21"/>
  <c r="GO14" i="21"/>
  <c r="GN14" i="21"/>
  <c r="GM14" i="21"/>
  <c r="GL14" i="21"/>
  <c r="GE14" i="21"/>
  <c r="AT14" i="21"/>
  <c r="AS14" i="21"/>
  <c r="AR14" i="21"/>
  <c r="AQ14" i="21"/>
  <c r="JX13" i="21"/>
  <c r="JO13" i="21"/>
  <c r="JN13" i="21"/>
  <c r="JM13" i="21"/>
  <c r="JL13" i="21"/>
  <c r="JK13" i="21"/>
  <c r="JJ13" i="21"/>
  <c r="JI13" i="21"/>
  <c r="JH13" i="21"/>
  <c r="JG13" i="21"/>
  <c r="JF13" i="21"/>
  <c r="JE13" i="21"/>
  <c r="JD13" i="21"/>
  <c r="JC13" i="21"/>
  <c r="JB13" i="21"/>
  <c r="JA13" i="21"/>
  <c r="IZ13" i="21"/>
  <c r="IY13" i="21"/>
  <c r="IX13" i="21"/>
  <c r="IW13" i="21"/>
  <c r="IV13" i="21"/>
  <c r="IU13" i="21"/>
  <c r="IT13" i="21"/>
  <c r="IS13" i="21"/>
  <c r="IR13" i="21"/>
  <c r="IQ13" i="21"/>
  <c r="IP13" i="21"/>
  <c r="IO13" i="21"/>
  <c r="IN13" i="21"/>
  <c r="IM13" i="21"/>
  <c r="IL13" i="21"/>
  <c r="JW13" i="21" s="1"/>
  <c r="IK13" i="21"/>
  <c r="IJ13" i="21"/>
  <c r="JU13" i="21" s="1"/>
  <c r="II13" i="21"/>
  <c r="IH13" i="21"/>
  <c r="IG13" i="21"/>
  <c r="IF13" i="21"/>
  <c r="GR13" i="21"/>
  <c r="GQ13" i="21"/>
  <c r="GP13" i="21"/>
  <c r="GO13" i="21"/>
  <c r="GN13" i="21"/>
  <c r="GM13" i="21"/>
  <c r="GL13" i="21"/>
  <c r="GE13" i="21"/>
  <c r="AT13" i="21"/>
  <c r="AS13" i="21"/>
  <c r="AR13" i="21"/>
  <c r="AQ13" i="21"/>
  <c r="JO12" i="21"/>
  <c r="JN12" i="21"/>
  <c r="JM12" i="21"/>
  <c r="JL12" i="21"/>
  <c r="JK12" i="21"/>
  <c r="JJ12" i="21"/>
  <c r="JI12" i="21"/>
  <c r="JH12" i="21"/>
  <c r="JG12" i="21"/>
  <c r="JF12" i="21"/>
  <c r="JE12" i="21"/>
  <c r="JD12" i="21"/>
  <c r="JC12" i="21"/>
  <c r="JB12" i="21"/>
  <c r="JA12" i="21"/>
  <c r="IZ12" i="21"/>
  <c r="IY12" i="21"/>
  <c r="IX12" i="21"/>
  <c r="IW12" i="21"/>
  <c r="IV12" i="21"/>
  <c r="IU12" i="21"/>
  <c r="IT12" i="21"/>
  <c r="IS12" i="21"/>
  <c r="IR12" i="21"/>
  <c r="IQ12" i="21"/>
  <c r="IP12" i="21"/>
  <c r="IO12" i="21"/>
  <c r="IN12" i="21"/>
  <c r="IM12" i="21"/>
  <c r="IL12" i="21"/>
  <c r="IK12" i="21"/>
  <c r="JV12" i="21" s="1"/>
  <c r="IJ12" i="21"/>
  <c r="II12" i="21"/>
  <c r="IH12" i="21"/>
  <c r="IG12" i="21"/>
  <c r="IF12" i="21"/>
  <c r="GR12" i="21"/>
  <c r="GQ12" i="21"/>
  <c r="GP12" i="21"/>
  <c r="GO12" i="21"/>
  <c r="GN12" i="21"/>
  <c r="GM12" i="21"/>
  <c r="GL12" i="21"/>
  <c r="GE12" i="21"/>
  <c r="AT12" i="21"/>
  <c r="AS12" i="21"/>
  <c r="AR12" i="21"/>
  <c r="AQ12" i="21"/>
  <c r="JO11" i="21"/>
  <c r="JN11" i="21"/>
  <c r="JM11" i="21"/>
  <c r="JL11" i="21"/>
  <c r="JK11" i="21"/>
  <c r="JJ11" i="21"/>
  <c r="JI11" i="21"/>
  <c r="JH11" i="21"/>
  <c r="JG11" i="21"/>
  <c r="JF11" i="21"/>
  <c r="JE11" i="21"/>
  <c r="JD11" i="21"/>
  <c r="JC11" i="21"/>
  <c r="JB11" i="21"/>
  <c r="JA11" i="21"/>
  <c r="IZ11" i="21"/>
  <c r="IY11" i="21"/>
  <c r="IX11" i="21"/>
  <c r="IW11" i="21"/>
  <c r="IV11" i="21"/>
  <c r="IU11" i="21"/>
  <c r="IT11" i="21"/>
  <c r="IS11" i="21"/>
  <c r="IR11" i="21"/>
  <c r="JT11" i="21" s="1"/>
  <c r="IQ11" i="21"/>
  <c r="IP11" i="21"/>
  <c r="IO11" i="21"/>
  <c r="IN11" i="21"/>
  <c r="IM11" i="21"/>
  <c r="IL11" i="21"/>
  <c r="IK11" i="21"/>
  <c r="IJ11" i="21"/>
  <c r="II11" i="21"/>
  <c r="IH11" i="21"/>
  <c r="IG11" i="21"/>
  <c r="IF11" i="21"/>
  <c r="GR11" i="21"/>
  <c r="GQ11" i="21"/>
  <c r="GP11" i="21"/>
  <c r="GO11" i="21"/>
  <c r="GN11" i="21"/>
  <c r="GM11" i="21"/>
  <c r="GL11" i="21"/>
  <c r="GE11" i="21"/>
  <c r="AT11" i="21"/>
  <c r="AS11" i="21"/>
  <c r="AR11" i="21"/>
  <c r="AQ11" i="21"/>
  <c r="JO10" i="21"/>
  <c r="JN10" i="21"/>
  <c r="JM10" i="21"/>
  <c r="JL10" i="21"/>
  <c r="JK10" i="21"/>
  <c r="JJ10" i="21"/>
  <c r="JI10" i="21"/>
  <c r="JH10" i="21"/>
  <c r="JG10" i="21"/>
  <c r="JF10" i="21"/>
  <c r="JE10" i="21"/>
  <c r="JD10" i="21"/>
  <c r="JC10" i="21"/>
  <c r="JB10" i="21"/>
  <c r="JA10" i="21"/>
  <c r="IZ10" i="21"/>
  <c r="IY10" i="21"/>
  <c r="IX10" i="21"/>
  <c r="IW10" i="21"/>
  <c r="IV10" i="21"/>
  <c r="IU10" i="21"/>
  <c r="IT10" i="21"/>
  <c r="IS10" i="21"/>
  <c r="IR10" i="21"/>
  <c r="IQ10" i="21"/>
  <c r="IP10" i="21"/>
  <c r="IO10" i="21"/>
  <c r="IN10" i="21"/>
  <c r="IM10" i="21"/>
  <c r="IL10" i="21"/>
  <c r="IK10" i="21"/>
  <c r="IJ10" i="21"/>
  <c r="II10" i="21"/>
  <c r="IH10" i="21"/>
  <c r="IG10" i="21"/>
  <c r="IF10" i="21"/>
  <c r="GR10" i="21"/>
  <c r="GQ10" i="21"/>
  <c r="GP10" i="21"/>
  <c r="GO10" i="21"/>
  <c r="GN10" i="21"/>
  <c r="GM10" i="21"/>
  <c r="GL10" i="21"/>
  <c r="GE10" i="21"/>
  <c r="AT10" i="21"/>
  <c r="AS10" i="21"/>
  <c r="AR10" i="21"/>
  <c r="AQ10" i="21"/>
  <c r="JO9" i="21"/>
  <c r="JN9" i="21"/>
  <c r="JM9" i="21"/>
  <c r="JL9" i="21"/>
  <c r="JK9" i="21"/>
  <c r="JJ9" i="21"/>
  <c r="JI9" i="21"/>
  <c r="JH9" i="21"/>
  <c r="JG9" i="21"/>
  <c r="JF9" i="21"/>
  <c r="JE9" i="21"/>
  <c r="JD9" i="21"/>
  <c r="JC9" i="21"/>
  <c r="JB9" i="21"/>
  <c r="JA9" i="21"/>
  <c r="IZ9" i="21"/>
  <c r="IY9" i="21"/>
  <c r="IX9" i="21"/>
  <c r="IW9" i="21"/>
  <c r="IV9" i="21"/>
  <c r="IU9" i="21"/>
  <c r="IT9" i="21"/>
  <c r="IS9" i="21"/>
  <c r="IR9" i="21"/>
  <c r="IQ9" i="21"/>
  <c r="IP9" i="21"/>
  <c r="IO9" i="21"/>
  <c r="IN9" i="21"/>
  <c r="IM9" i="21"/>
  <c r="IL9" i="21"/>
  <c r="IK9" i="21"/>
  <c r="IJ9" i="21"/>
  <c r="II9" i="21"/>
  <c r="IH9" i="21"/>
  <c r="IG9" i="21"/>
  <c r="IF9" i="21"/>
  <c r="GR9" i="21"/>
  <c r="GQ9" i="21"/>
  <c r="GP9" i="21"/>
  <c r="GO9" i="21"/>
  <c r="GN9" i="21"/>
  <c r="GM9" i="21"/>
  <c r="GL9" i="21"/>
  <c r="GE9" i="21"/>
  <c r="AT9" i="21"/>
  <c r="AS9" i="21"/>
  <c r="AR9" i="21"/>
  <c r="AQ9" i="21"/>
  <c r="JO8" i="21"/>
  <c r="JN8" i="21"/>
  <c r="JM8" i="21"/>
  <c r="JL8" i="21"/>
  <c r="JK8" i="21"/>
  <c r="JJ8" i="21"/>
  <c r="JI8" i="21"/>
  <c r="JH8" i="21"/>
  <c r="JG8" i="21"/>
  <c r="JF8" i="21"/>
  <c r="JE8" i="21"/>
  <c r="JX8" i="21" s="1"/>
  <c r="JD8" i="21"/>
  <c r="JC8" i="21"/>
  <c r="JB8" i="21"/>
  <c r="JA8" i="21"/>
  <c r="IZ8" i="21"/>
  <c r="IY8" i="21"/>
  <c r="IX8" i="21"/>
  <c r="IW8" i="21"/>
  <c r="IV8" i="21"/>
  <c r="IU8" i="21"/>
  <c r="IT8" i="21"/>
  <c r="IS8" i="21"/>
  <c r="IR8" i="21"/>
  <c r="IQ8" i="21"/>
  <c r="IP8" i="21"/>
  <c r="IO8" i="21"/>
  <c r="IN8" i="21"/>
  <c r="IM8" i="21"/>
  <c r="IL8" i="21"/>
  <c r="IK8" i="21"/>
  <c r="IJ8" i="21"/>
  <c r="II8" i="21"/>
  <c r="IH8" i="21"/>
  <c r="IG8" i="21"/>
  <c r="IF8" i="21"/>
  <c r="GR8" i="21"/>
  <c r="GQ8" i="21"/>
  <c r="GP8" i="21"/>
  <c r="GO8" i="21"/>
  <c r="GN8" i="21"/>
  <c r="GM8" i="21"/>
  <c r="GL8" i="21"/>
  <c r="GE8" i="21"/>
  <c r="AT8" i="21"/>
  <c r="AS8" i="21"/>
  <c r="AR8" i="21"/>
  <c r="AQ8" i="21"/>
  <c r="JO7" i="21"/>
  <c r="JN7" i="21"/>
  <c r="JM7" i="21"/>
  <c r="JL7" i="21"/>
  <c r="JK7" i="21"/>
  <c r="JJ7" i="21"/>
  <c r="JI7" i="21"/>
  <c r="JH7" i="21"/>
  <c r="JG7" i="21"/>
  <c r="JF7" i="21"/>
  <c r="JE7" i="21"/>
  <c r="JD7" i="21"/>
  <c r="JC7" i="21"/>
  <c r="JB7" i="21"/>
  <c r="JA7" i="21"/>
  <c r="IZ7" i="21"/>
  <c r="IY7" i="21"/>
  <c r="IX7" i="21"/>
  <c r="IW7" i="21"/>
  <c r="IV7" i="21"/>
  <c r="IU7" i="21"/>
  <c r="IT7" i="21"/>
  <c r="IS7" i="21"/>
  <c r="IR7" i="21"/>
  <c r="JT7" i="21" s="1"/>
  <c r="IQ7" i="21"/>
  <c r="IP7" i="21"/>
  <c r="IO7" i="21"/>
  <c r="IN7" i="21"/>
  <c r="IM7" i="21"/>
  <c r="IL7" i="21"/>
  <c r="IK7" i="21"/>
  <c r="IJ7" i="21"/>
  <c r="JU7" i="21" s="1"/>
  <c r="II7" i="21"/>
  <c r="IH7" i="21"/>
  <c r="IG7" i="21"/>
  <c r="IF7" i="21"/>
  <c r="GR7" i="21"/>
  <c r="GQ7" i="21"/>
  <c r="GP7" i="21"/>
  <c r="GO7" i="21"/>
  <c r="GN7" i="21"/>
  <c r="GM7" i="21"/>
  <c r="GL7" i="21"/>
  <c r="GE7" i="21"/>
  <c r="AT7" i="21"/>
  <c r="AS7" i="21"/>
  <c r="AR7" i="21"/>
  <c r="AQ7" i="21"/>
  <c r="JO6" i="21"/>
  <c r="JN6" i="21"/>
  <c r="JM6" i="21"/>
  <c r="JL6" i="21"/>
  <c r="JK6" i="21"/>
  <c r="JJ6" i="21"/>
  <c r="JI6" i="21"/>
  <c r="JH6" i="21"/>
  <c r="JG6" i="21"/>
  <c r="JF6" i="21"/>
  <c r="JE6" i="21"/>
  <c r="JD6" i="21"/>
  <c r="JC6" i="21"/>
  <c r="JB6" i="21"/>
  <c r="JA6" i="21"/>
  <c r="IZ6" i="21"/>
  <c r="IY6" i="21"/>
  <c r="IX6" i="21"/>
  <c r="IW6" i="21"/>
  <c r="IV6" i="21"/>
  <c r="IU6" i="21"/>
  <c r="IT6" i="21"/>
  <c r="IS6" i="21"/>
  <c r="IR6" i="21"/>
  <c r="IQ6" i="21"/>
  <c r="IP6" i="21"/>
  <c r="IO6" i="21"/>
  <c r="IN6" i="21"/>
  <c r="IM6" i="21"/>
  <c r="IL6" i="21"/>
  <c r="IK6" i="21"/>
  <c r="IJ6" i="21"/>
  <c r="II6" i="21"/>
  <c r="IH6" i="21"/>
  <c r="IG6" i="21"/>
  <c r="IF6" i="21"/>
  <c r="GR6" i="21"/>
  <c r="GQ6" i="21"/>
  <c r="GP6" i="21"/>
  <c r="GO6" i="21"/>
  <c r="GN6" i="21"/>
  <c r="GM6" i="21"/>
  <c r="GL6" i="21"/>
  <c r="GE6" i="21"/>
  <c r="AT6" i="21"/>
  <c r="AS6" i="21"/>
  <c r="AR6" i="21"/>
  <c r="AQ6" i="21"/>
  <c r="JO5" i="21"/>
  <c r="JN5" i="21"/>
  <c r="JM5" i="21"/>
  <c r="JL5" i="21"/>
  <c r="JK5" i="21"/>
  <c r="JJ5" i="21"/>
  <c r="JI5" i="21"/>
  <c r="JH5" i="21"/>
  <c r="JG5" i="21"/>
  <c r="JF5" i="21"/>
  <c r="JE5" i="21"/>
  <c r="JD5" i="21"/>
  <c r="JC5" i="21"/>
  <c r="JB5" i="21"/>
  <c r="JA5" i="21"/>
  <c r="IZ5" i="21"/>
  <c r="IY5" i="21"/>
  <c r="IX5" i="21"/>
  <c r="IW5" i="21"/>
  <c r="IV5" i="21"/>
  <c r="IU5" i="21"/>
  <c r="IT5" i="21"/>
  <c r="IS5" i="21"/>
  <c r="IR5" i="21"/>
  <c r="IQ5" i="21"/>
  <c r="IP5" i="21"/>
  <c r="IO5" i="21"/>
  <c r="IN5" i="21"/>
  <c r="IM5" i="21"/>
  <c r="JX5" i="21" s="1"/>
  <c r="IL5" i="21"/>
  <c r="IK5" i="21"/>
  <c r="IJ5" i="21"/>
  <c r="II5" i="21"/>
  <c r="IH5" i="21"/>
  <c r="IG5" i="21"/>
  <c r="IF5" i="21"/>
  <c r="GR5" i="21"/>
  <c r="GQ5" i="21"/>
  <c r="GP5" i="21"/>
  <c r="GO5" i="21"/>
  <c r="GN5" i="21"/>
  <c r="GM5" i="21"/>
  <c r="GL5" i="21"/>
  <c r="GE5" i="21"/>
  <c r="AT5" i="21"/>
  <c r="AS5" i="21"/>
  <c r="AR5" i="21"/>
  <c r="AQ5" i="21"/>
  <c r="JO4" i="21"/>
  <c r="JN4" i="21"/>
  <c r="JM4" i="21"/>
  <c r="JL4" i="21"/>
  <c r="JK4" i="21"/>
  <c r="JJ4" i="21"/>
  <c r="JI4" i="21"/>
  <c r="JH4" i="21"/>
  <c r="JG4" i="21"/>
  <c r="JF4" i="21"/>
  <c r="JE4" i="21"/>
  <c r="JD4" i="21"/>
  <c r="JC4" i="21"/>
  <c r="JB4" i="21"/>
  <c r="JA4" i="21"/>
  <c r="IZ4" i="21"/>
  <c r="IY4" i="21"/>
  <c r="IX4" i="21"/>
  <c r="IW4" i="21"/>
  <c r="IV4" i="21"/>
  <c r="IU4" i="21"/>
  <c r="IT4" i="21"/>
  <c r="IS4" i="21"/>
  <c r="IR4" i="21"/>
  <c r="IQ4" i="21"/>
  <c r="IP4" i="21"/>
  <c r="IO4" i="21"/>
  <c r="IN4" i="21"/>
  <c r="IM4" i="21"/>
  <c r="IL4" i="21"/>
  <c r="IK4" i="21"/>
  <c r="JV4" i="21" s="1"/>
  <c r="IJ4" i="21"/>
  <c r="II4" i="21"/>
  <c r="IH4" i="21"/>
  <c r="IG4" i="21"/>
  <c r="JR4" i="21" s="1"/>
  <c r="JQ4" i="21" s="1"/>
  <c r="JP4" i="21" s="1"/>
  <c r="IF4" i="21"/>
  <c r="GR4" i="21"/>
  <c r="GQ4" i="21"/>
  <c r="GP4" i="21"/>
  <c r="GO4" i="21"/>
  <c r="GN4" i="21"/>
  <c r="GM4" i="21"/>
  <c r="GL4" i="21"/>
  <c r="GE4" i="21"/>
  <c r="AT4" i="21"/>
  <c r="AS4" i="21"/>
  <c r="AR4" i="21"/>
  <c r="AQ4" i="21"/>
  <c r="JO3" i="21"/>
  <c r="JN3" i="21"/>
  <c r="JM3" i="21"/>
  <c r="JL3" i="21"/>
  <c r="JK3" i="21"/>
  <c r="JJ3" i="21"/>
  <c r="JI3" i="21"/>
  <c r="JH3" i="21"/>
  <c r="JG3" i="21"/>
  <c r="JF3" i="21"/>
  <c r="JE3" i="21"/>
  <c r="JD3" i="21"/>
  <c r="JC3" i="21"/>
  <c r="JB3" i="21"/>
  <c r="JA3" i="21"/>
  <c r="IZ3" i="21"/>
  <c r="IY3" i="21"/>
  <c r="IX3" i="21"/>
  <c r="IW3" i="21"/>
  <c r="IV3" i="21"/>
  <c r="IU3" i="21"/>
  <c r="IT3" i="21"/>
  <c r="IS3" i="21"/>
  <c r="IR3" i="21"/>
  <c r="IQ3" i="21"/>
  <c r="IP3" i="21"/>
  <c r="IO3" i="21"/>
  <c r="IN3" i="21"/>
  <c r="IM3" i="21"/>
  <c r="IL3" i="21"/>
  <c r="IK3" i="21"/>
  <c r="IJ3" i="21"/>
  <c r="II3" i="21"/>
  <c r="IH3" i="21"/>
  <c r="IG3" i="21"/>
  <c r="IF3" i="21"/>
  <c r="GR3" i="21"/>
  <c r="GQ3" i="21"/>
  <c r="GP3" i="21"/>
  <c r="GO3" i="21"/>
  <c r="GN3" i="21"/>
  <c r="GM3" i="21"/>
  <c r="GL3" i="21"/>
  <c r="GE3" i="21"/>
  <c r="AT3" i="21"/>
  <c r="AS3" i="21"/>
  <c r="AR3" i="21"/>
  <c r="AQ3" i="21"/>
  <c r="JO2" i="21"/>
  <c r="JN2" i="21"/>
  <c r="JM2" i="21"/>
  <c r="JL2" i="21"/>
  <c r="JK2" i="21"/>
  <c r="JJ2" i="21"/>
  <c r="JI2" i="21"/>
  <c r="JH2" i="21"/>
  <c r="JG2" i="21"/>
  <c r="JF2" i="21"/>
  <c r="JE2" i="21"/>
  <c r="JD2" i="21"/>
  <c r="JC2" i="21"/>
  <c r="JB2" i="21"/>
  <c r="JA2" i="21"/>
  <c r="JT2" i="21" s="1"/>
  <c r="IZ2" i="21"/>
  <c r="IY2" i="21"/>
  <c r="IX2" i="21"/>
  <c r="IW2" i="21"/>
  <c r="IV2" i="21"/>
  <c r="IU2" i="21"/>
  <c r="IT2" i="21"/>
  <c r="IS2" i="21"/>
  <c r="IR2" i="21"/>
  <c r="IQ2" i="21"/>
  <c r="IP2" i="21"/>
  <c r="IO2" i="21"/>
  <c r="IN2" i="21"/>
  <c r="IM2" i="21"/>
  <c r="IL2" i="21"/>
  <c r="IK2" i="21"/>
  <c r="JV2" i="21" s="1"/>
  <c r="IJ2" i="21"/>
  <c r="II2" i="21"/>
  <c r="IH2" i="21"/>
  <c r="IG2" i="21"/>
  <c r="JR2" i="21" s="1"/>
  <c r="JQ2" i="21" s="1"/>
  <c r="JP2" i="21" s="1"/>
  <c r="IF2" i="21"/>
  <c r="GR2" i="21"/>
  <c r="GQ2" i="21"/>
  <c r="GP2" i="21"/>
  <c r="GO2" i="21"/>
  <c r="GN2" i="21"/>
  <c r="GM2" i="21"/>
  <c r="GL2" i="21"/>
  <c r="GE2" i="21"/>
  <c r="AT2" i="21"/>
  <c r="AS2" i="21"/>
  <c r="AR2" i="21"/>
  <c r="AQ2" i="21"/>
  <c r="JO20" i="20"/>
  <c r="JN20" i="20"/>
  <c r="JM20" i="20"/>
  <c r="JL20" i="20"/>
  <c r="JK20" i="20"/>
  <c r="JJ20" i="20"/>
  <c r="JI20" i="20"/>
  <c r="JH20" i="20"/>
  <c r="JG20" i="20"/>
  <c r="JF20" i="20"/>
  <c r="JE20" i="20"/>
  <c r="JD20" i="20"/>
  <c r="JC20" i="20"/>
  <c r="JB20" i="20"/>
  <c r="JA20" i="20"/>
  <c r="IZ20" i="20"/>
  <c r="IY20" i="20"/>
  <c r="IX20" i="20"/>
  <c r="IW20" i="20"/>
  <c r="IV20" i="20"/>
  <c r="IU20" i="20"/>
  <c r="IT20" i="20"/>
  <c r="IS20" i="20"/>
  <c r="IR20" i="20"/>
  <c r="IQ20" i="20"/>
  <c r="IP20" i="20"/>
  <c r="IO20" i="20"/>
  <c r="IN20" i="20"/>
  <c r="JY20" i="20" s="1"/>
  <c r="IM20" i="20"/>
  <c r="IL20" i="20"/>
  <c r="IK20" i="20"/>
  <c r="IJ20" i="20"/>
  <c r="II20" i="20"/>
  <c r="IH20" i="20"/>
  <c r="IG20" i="20"/>
  <c r="JR20" i="20" s="1"/>
  <c r="JQ20" i="20" s="1"/>
  <c r="JP20" i="20" s="1"/>
  <c r="IF20" i="20"/>
  <c r="GR20" i="20"/>
  <c r="GQ20" i="20"/>
  <c r="GP20" i="20"/>
  <c r="GO20" i="20"/>
  <c r="GN20" i="20"/>
  <c r="GM20" i="20"/>
  <c r="GL20" i="20"/>
  <c r="GE20" i="20"/>
  <c r="AT20" i="20"/>
  <c r="AS20" i="20"/>
  <c r="AR20" i="20"/>
  <c r="AQ20" i="20"/>
  <c r="JO19" i="20"/>
  <c r="JN19" i="20"/>
  <c r="JM19" i="20"/>
  <c r="JL19" i="20"/>
  <c r="JK19" i="20"/>
  <c r="JJ19" i="20"/>
  <c r="JI19" i="20"/>
  <c r="JH19" i="20"/>
  <c r="JG19" i="20"/>
  <c r="JF19" i="20"/>
  <c r="JE19" i="20"/>
  <c r="JD19" i="20"/>
  <c r="JC19" i="20"/>
  <c r="JB19" i="20"/>
  <c r="JA19" i="20"/>
  <c r="IZ19" i="20"/>
  <c r="IY19" i="20"/>
  <c r="IX19" i="20"/>
  <c r="IW19" i="20"/>
  <c r="IV19" i="20"/>
  <c r="IU19" i="20"/>
  <c r="IT19" i="20"/>
  <c r="IS19" i="20"/>
  <c r="IR19" i="20"/>
  <c r="IQ19" i="20"/>
  <c r="IP19" i="20"/>
  <c r="IO19" i="20"/>
  <c r="IN19" i="20"/>
  <c r="JY19" i="20" s="1"/>
  <c r="IM19" i="20"/>
  <c r="JX19" i="20" s="1"/>
  <c r="IL19" i="20"/>
  <c r="IK19" i="20"/>
  <c r="IJ19" i="20"/>
  <c r="II19" i="20"/>
  <c r="IH19" i="20"/>
  <c r="IG19" i="20"/>
  <c r="IF19" i="20"/>
  <c r="GR19" i="20"/>
  <c r="GQ19" i="20"/>
  <c r="GP19" i="20"/>
  <c r="GO19" i="20"/>
  <c r="GN19" i="20"/>
  <c r="GM19" i="20"/>
  <c r="GL19" i="20"/>
  <c r="GE19" i="20"/>
  <c r="AT19" i="20"/>
  <c r="AS19" i="20"/>
  <c r="AR19" i="20"/>
  <c r="AQ19" i="20"/>
  <c r="JO18" i="20"/>
  <c r="JN18" i="20"/>
  <c r="JM18" i="20"/>
  <c r="JL18" i="20"/>
  <c r="JK18" i="20"/>
  <c r="JJ18" i="20"/>
  <c r="JI18" i="20"/>
  <c r="JH18" i="20"/>
  <c r="JG18" i="20"/>
  <c r="JF18" i="20"/>
  <c r="JE18" i="20"/>
  <c r="JD18" i="20"/>
  <c r="JC18" i="20"/>
  <c r="JB18" i="20"/>
  <c r="JA18" i="20"/>
  <c r="IZ18" i="20"/>
  <c r="IY18" i="20"/>
  <c r="IX18" i="20"/>
  <c r="IW18" i="20"/>
  <c r="IV18" i="20"/>
  <c r="IU18" i="20"/>
  <c r="IT18" i="20"/>
  <c r="IS18" i="20"/>
  <c r="IR18" i="20"/>
  <c r="IQ18" i="20"/>
  <c r="IP18" i="20"/>
  <c r="IO18" i="20"/>
  <c r="IN18" i="20"/>
  <c r="JY18" i="20" s="1"/>
  <c r="IM18" i="20"/>
  <c r="IL18" i="20"/>
  <c r="IK18" i="20"/>
  <c r="IJ18" i="20"/>
  <c r="II18" i="20"/>
  <c r="IH18" i="20"/>
  <c r="IG18" i="20"/>
  <c r="IF18" i="20"/>
  <c r="GR18" i="20"/>
  <c r="GQ18" i="20"/>
  <c r="GP18" i="20"/>
  <c r="GO18" i="20"/>
  <c r="GN18" i="20"/>
  <c r="GM18" i="20"/>
  <c r="GL18" i="20"/>
  <c r="GE18" i="20"/>
  <c r="AT18" i="20"/>
  <c r="AS18" i="20"/>
  <c r="AR18" i="20"/>
  <c r="AQ18" i="20"/>
  <c r="JO17" i="20"/>
  <c r="JN17" i="20"/>
  <c r="JM17" i="20"/>
  <c r="JL17" i="20"/>
  <c r="JK17" i="20"/>
  <c r="JJ17" i="20"/>
  <c r="JI17" i="20"/>
  <c r="JH17" i="20"/>
  <c r="JG17" i="20"/>
  <c r="JF17" i="20"/>
  <c r="JE17" i="20"/>
  <c r="JD17" i="20"/>
  <c r="JC17" i="20"/>
  <c r="JB17" i="20"/>
  <c r="JA17" i="20"/>
  <c r="IZ17" i="20"/>
  <c r="IY17" i="20"/>
  <c r="IX17" i="20"/>
  <c r="IW17" i="20"/>
  <c r="IV17" i="20"/>
  <c r="IU17" i="20"/>
  <c r="IT17" i="20"/>
  <c r="IS17" i="20"/>
  <c r="IR17" i="20"/>
  <c r="IQ17" i="20"/>
  <c r="IP17" i="20"/>
  <c r="IO17" i="20"/>
  <c r="IN17" i="20"/>
  <c r="JY17" i="20" s="1"/>
  <c r="IM17" i="20"/>
  <c r="JX17" i="20" s="1"/>
  <c r="IL17" i="20"/>
  <c r="IK17" i="20"/>
  <c r="IJ17" i="20"/>
  <c r="II17" i="20"/>
  <c r="IH17" i="20"/>
  <c r="IG17" i="20"/>
  <c r="IF17" i="20"/>
  <c r="GR17" i="20"/>
  <c r="GQ17" i="20"/>
  <c r="GP17" i="20"/>
  <c r="GO17" i="20"/>
  <c r="GN17" i="20"/>
  <c r="GM17" i="20"/>
  <c r="GL17" i="20"/>
  <c r="GE17" i="20"/>
  <c r="AT17" i="20"/>
  <c r="AS17" i="20"/>
  <c r="AR17" i="20"/>
  <c r="AQ17" i="20"/>
  <c r="JO16" i="20"/>
  <c r="JN16" i="20"/>
  <c r="JM16" i="20"/>
  <c r="JL16" i="20"/>
  <c r="JK16" i="20"/>
  <c r="JJ16" i="20"/>
  <c r="JI16" i="20"/>
  <c r="JH16" i="20"/>
  <c r="JG16" i="20"/>
  <c r="JF16" i="20"/>
  <c r="JE16" i="20"/>
  <c r="JD16" i="20"/>
  <c r="JC16" i="20"/>
  <c r="JB16" i="20"/>
  <c r="JA16" i="20"/>
  <c r="IZ16" i="20"/>
  <c r="IY16" i="20"/>
  <c r="IX16" i="20"/>
  <c r="IW16" i="20"/>
  <c r="IV16" i="20"/>
  <c r="IU16" i="20"/>
  <c r="IT16" i="20"/>
  <c r="IS16" i="20"/>
  <c r="IR16" i="20"/>
  <c r="IQ16" i="20"/>
  <c r="IP16" i="20"/>
  <c r="IO16" i="20"/>
  <c r="IN16" i="20"/>
  <c r="IM16" i="20"/>
  <c r="IL16" i="20"/>
  <c r="IK16" i="20"/>
  <c r="IJ16" i="20"/>
  <c r="II16" i="20"/>
  <c r="IH16" i="20"/>
  <c r="IG16" i="20"/>
  <c r="IF16" i="20"/>
  <c r="GR16" i="20"/>
  <c r="GQ16" i="20"/>
  <c r="GP16" i="20"/>
  <c r="GO16" i="20"/>
  <c r="GN16" i="20"/>
  <c r="GM16" i="20"/>
  <c r="GL16" i="20"/>
  <c r="GE16" i="20"/>
  <c r="AT16" i="20"/>
  <c r="AS16" i="20"/>
  <c r="AR16" i="20"/>
  <c r="AQ16" i="20"/>
  <c r="JO15" i="20"/>
  <c r="JN15" i="20"/>
  <c r="JM15" i="20"/>
  <c r="JL15" i="20"/>
  <c r="JK15" i="20"/>
  <c r="JJ15" i="20"/>
  <c r="JI15" i="20"/>
  <c r="JH15" i="20"/>
  <c r="JG15" i="20"/>
  <c r="JF15" i="20"/>
  <c r="JE15" i="20"/>
  <c r="JD15" i="20"/>
  <c r="JC15" i="20"/>
  <c r="JB15" i="20"/>
  <c r="JA15" i="20"/>
  <c r="IZ15" i="20"/>
  <c r="IY15" i="20"/>
  <c r="IX15" i="20"/>
  <c r="IW15" i="20"/>
  <c r="IV15" i="20"/>
  <c r="IU15" i="20"/>
  <c r="IT15" i="20"/>
  <c r="IS15" i="20"/>
  <c r="IR15" i="20"/>
  <c r="IQ15" i="20"/>
  <c r="IP15" i="20"/>
  <c r="JR15" i="20" s="1"/>
  <c r="JQ15" i="20" s="1"/>
  <c r="JP15" i="20" s="1"/>
  <c r="IO15" i="20"/>
  <c r="IN15" i="20"/>
  <c r="IM15" i="20"/>
  <c r="IL15" i="20"/>
  <c r="IK15" i="20"/>
  <c r="IJ15" i="20"/>
  <c r="II15" i="20"/>
  <c r="IH15" i="20"/>
  <c r="IG15" i="20"/>
  <c r="IF15" i="20"/>
  <c r="GR15" i="20"/>
  <c r="GQ15" i="20"/>
  <c r="GP15" i="20"/>
  <c r="GO15" i="20"/>
  <c r="GN15" i="20"/>
  <c r="GM15" i="20"/>
  <c r="GL15" i="20"/>
  <c r="GE15" i="20"/>
  <c r="AT15" i="20"/>
  <c r="AS15" i="20"/>
  <c r="AR15" i="20"/>
  <c r="AQ15" i="20"/>
  <c r="JO14" i="20"/>
  <c r="JN14" i="20"/>
  <c r="JM14" i="20"/>
  <c r="JL14" i="20"/>
  <c r="JK14" i="20"/>
  <c r="JJ14" i="20"/>
  <c r="JI14" i="20"/>
  <c r="JH14" i="20"/>
  <c r="JG14" i="20"/>
  <c r="JF14" i="20"/>
  <c r="JE14" i="20"/>
  <c r="JD14" i="20"/>
  <c r="JC14" i="20"/>
  <c r="JB14" i="20"/>
  <c r="JA14" i="20"/>
  <c r="IZ14" i="20"/>
  <c r="IY14" i="20"/>
  <c r="IX14" i="20"/>
  <c r="IW14" i="20"/>
  <c r="IV14" i="20"/>
  <c r="IU14" i="20"/>
  <c r="IT14" i="20"/>
  <c r="IS14" i="20"/>
  <c r="IR14" i="20"/>
  <c r="IQ14" i="20"/>
  <c r="IP14" i="20"/>
  <c r="IO14" i="20"/>
  <c r="IN14" i="20"/>
  <c r="IM14" i="20"/>
  <c r="IL14" i="20"/>
  <c r="IK14" i="20"/>
  <c r="IJ14" i="20"/>
  <c r="II14" i="20"/>
  <c r="IH14" i="20"/>
  <c r="IG14" i="20"/>
  <c r="IF14" i="20"/>
  <c r="GR14" i="20"/>
  <c r="GQ14" i="20"/>
  <c r="GP14" i="20"/>
  <c r="GO14" i="20"/>
  <c r="GN14" i="20"/>
  <c r="GM14" i="20"/>
  <c r="GL14" i="20"/>
  <c r="GE14" i="20"/>
  <c r="AT14" i="20"/>
  <c r="AS14" i="20"/>
  <c r="AR14" i="20"/>
  <c r="AQ14" i="20"/>
  <c r="JO13" i="20"/>
  <c r="JN13" i="20"/>
  <c r="JM13" i="20"/>
  <c r="JL13" i="20"/>
  <c r="JK13" i="20"/>
  <c r="JJ13" i="20"/>
  <c r="JI13" i="20"/>
  <c r="JH13" i="20"/>
  <c r="JG13" i="20"/>
  <c r="JF13" i="20"/>
  <c r="JE13" i="20"/>
  <c r="JD13" i="20"/>
  <c r="JC13" i="20"/>
  <c r="JB13" i="20"/>
  <c r="JA13" i="20"/>
  <c r="IZ13" i="20"/>
  <c r="IY13" i="20"/>
  <c r="IX13" i="20"/>
  <c r="IW13" i="20"/>
  <c r="IV13" i="20"/>
  <c r="JX13" i="20" s="1"/>
  <c r="IU13" i="20"/>
  <c r="IT13" i="20"/>
  <c r="IS13" i="20"/>
  <c r="IR13" i="20"/>
  <c r="IQ13" i="20"/>
  <c r="IP13" i="20"/>
  <c r="IO13" i="20"/>
  <c r="IN13" i="20"/>
  <c r="JY13" i="20" s="1"/>
  <c r="IM13" i="20"/>
  <c r="IL13" i="20"/>
  <c r="IK13" i="20"/>
  <c r="IJ13" i="20"/>
  <c r="II13" i="20"/>
  <c r="IH13" i="20"/>
  <c r="IG13" i="20"/>
  <c r="IF13" i="20"/>
  <c r="GR13" i="20"/>
  <c r="GQ13" i="20"/>
  <c r="GP13" i="20"/>
  <c r="GO13" i="20"/>
  <c r="GN13" i="20"/>
  <c r="GM13" i="20"/>
  <c r="GL13" i="20"/>
  <c r="GE13" i="20"/>
  <c r="AT13" i="20"/>
  <c r="AS13" i="20"/>
  <c r="AR13" i="20"/>
  <c r="AQ13" i="20"/>
  <c r="JO12" i="20"/>
  <c r="JN12" i="20"/>
  <c r="JM12" i="20"/>
  <c r="JL12" i="20"/>
  <c r="JK12" i="20"/>
  <c r="JJ12" i="20"/>
  <c r="JI12" i="20"/>
  <c r="JH12" i="20"/>
  <c r="JG12" i="20"/>
  <c r="JF12" i="20"/>
  <c r="JE12" i="20"/>
  <c r="JD12" i="20"/>
  <c r="JC12" i="20"/>
  <c r="JB12" i="20"/>
  <c r="JA12" i="20"/>
  <c r="IZ12" i="20"/>
  <c r="IY12" i="20"/>
  <c r="IX12" i="20"/>
  <c r="IW12" i="20"/>
  <c r="IV12" i="20"/>
  <c r="IU12" i="20"/>
  <c r="IT12" i="20"/>
  <c r="IS12" i="20"/>
  <c r="IR12" i="20"/>
  <c r="IQ12" i="20"/>
  <c r="IP12" i="20"/>
  <c r="IO12" i="20"/>
  <c r="IN12" i="20"/>
  <c r="JY12" i="20" s="1"/>
  <c r="IM12" i="20"/>
  <c r="IL12" i="20"/>
  <c r="IK12" i="20"/>
  <c r="IJ12" i="20"/>
  <c r="II12" i="20"/>
  <c r="IH12" i="20"/>
  <c r="IG12" i="20"/>
  <c r="JR12" i="20" s="1"/>
  <c r="JQ12" i="20" s="1"/>
  <c r="JP12" i="20" s="1"/>
  <c r="IF12" i="20"/>
  <c r="GR12" i="20"/>
  <c r="GQ12" i="20"/>
  <c r="GP12" i="20"/>
  <c r="GO12" i="20"/>
  <c r="GN12" i="20"/>
  <c r="GM12" i="20"/>
  <c r="GL12" i="20"/>
  <c r="GE12" i="20"/>
  <c r="AT12" i="20"/>
  <c r="AS12" i="20"/>
  <c r="AR12" i="20"/>
  <c r="AQ12" i="20"/>
  <c r="JO11" i="20"/>
  <c r="JN11" i="20"/>
  <c r="JM11" i="20"/>
  <c r="JL11" i="20"/>
  <c r="JK11" i="20"/>
  <c r="JJ11" i="20"/>
  <c r="JI11" i="20"/>
  <c r="JH11" i="20"/>
  <c r="JG11" i="20"/>
  <c r="JF11" i="20"/>
  <c r="JE11" i="20"/>
  <c r="JD11" i="20"/>
  <c r="JC11" i="20"/>
  <c r="JB11" i="20"/>
  <c r="JA11" i="20"/>
  <c r="IZ11" i="20"/>
  <c r="IY11" i="20"/>
  <c r="IX11" i="20"/>
  <c r="IW11" i="20"/>
  <c r="IV11" i="20"/>
  <c r="IU11" i="20"/>
  <c r="IT11" i="20"/>
  <c r="IS11" i="20"/>
  <c r="IR11" i="20"/>
  <c r="IQ11" i="20"/>
  <c r="IP11" i="20"/>
  <c r="IO11" i="20"/>
  <c r="IN11" i="20"/>
  <c r="JY11" i="20" s="1"/>
  <c r="IM11" i="20"/>
  <c r="IL11" i="20"/>
  <c r="IK11" i="20"/>
  <c r="IJ11" i="20"/>
  <c r="II11" i="20"/>
  <c r="IH11" i="20"/>
  <c r="IG11" i="20"/>
  <c r="IF11" i="20"/>
  <c r="GR11" i="20"/>
  <c r="GQ11" i="20"/>
  <c r="GP11" i="20"/>
  <c r="GO11" i="20"/>
  <c r="GN11" i="20"/>
  <c r="GM11" i="20"/>
  <c r="GL11" i="20"/>
  <c r="GE11" i="20"/>
  <c r="AT11" i="20"/>
  <c r="AS11" i="20"/>
  <c r="AR11" i="20"/>
  <c r="AQ11" i="20"/>
  <c r="JO10" i="20"/>
  <c r="JN10" i="20"/>
  <c r="JM10" i="20"/>
  <c r="JL10" i="20"/>
  <c r="JK10" i="20"/>
  <c r="JJ10" i="20"/>
  <c r="JI10" i="20"/>
  <c r="JH10" i="20"/>
  <c r="JG10" i="20"/>
  <c r="JF10" i="20"/>
  <c r="JE10" i="20"/>
  <c r="JD10" i="20"/>
  <c r="JC10" i="20"/>
  <c r="JB10" i="20"/>
  <c r="JA10" i="20"/>
  <c r="IZ10" i="20"/>
  <c r="IY10" i="20"/>
  <c r="IX10" i="20"/>
  <c r="IW10" i="20"/>
  <c r="IV10" i="20"/>
  <c r="IU10" i="20"/>
  <c r="IT10" i="20"/>
  <c r="IS10" i="20"/>
  <c r="IR10" i="20"/>
  <c r="IQ10" i="20"/>
  <c r="IP10" i="20"/>
  <c r="IO10" i="20"/>
  <c r="IN10" i="20"/>
  <c r="JY10" i="20" s="1"/>
  <c r="IM10" i="20"/>
  <c r="IL10" i="20"/>
  <c r="IK10" i="20"/>
  <c r="IJ10" i="20"/>
  <c r="II10" i="20"/>
  <c r="IH10" i="20"/>
  <c r="IG10" i="20"/>
  <c r="JR10" i="20" s="1"/>
  <c r="JQ10" i="20" s="1"/>
  <c r="JP10" i="20" s="1"/>
  <c r="IF10" i="20"/>
  <c r="GR10" i="20"/>
  <c r="GQ10" i="20"/>
  <c r="GP10" i="20"/>
  <c r="GO10" i="20"/>
  <c r="GN10" i="20"/>
  <c r="GM10" i="20"/>
  <c r="GL10" i="20"/>
  <c r="GE10" i="20"/>
  <c r="AT10" i="20"/>
  <c r="AS10" i="20"/>
  <c r="AR10" i="20"/>
  <c r="AQ10" i="20"/>
  <c r="JO9" i="20"/>
  <c r="JN9" i="20"/>
  <c r="JM9" i="20"/>
  <c r="JL9" i="20"/>
  <c r="JK9" i="20"/>
  <c r="JJ9" i="20"/>
  <c r="JI9" i="20"/>
  <c r="JH9" i="20"/>
  <c r="JG9" i="20"/>
  <c r="JF9" i="20"/>
  <c r="JE9" i="20"/>
  <c r="JD9" i="20"/>
  <c r="JC9" i="20"/>
  <c r="JB9" i="20"/>
  <c r="JA9" i="20"/>
  <c r="IZ9" i="20"/>
  <c r="IY9" i="20"/>
  <c r="IX9" i="20"/>
  <c r="IW9" i="20"/>
  <c r="IV9" i="20"/>
  <c r="IU9" i="20"/>
  <c r="IT9" i="20"/>
  <c r="IS9" i="20"/>
  <c r="IR9" i="20"/>
  <c r="IQ9" i="20"/>
  <c r="IP9" i="20"/>
  <c r="IO9" i="20"/>
  <c r="IN9" i="20"/>
  <c r="JY9" i="20" s="1"/>
  <c r="IM9" i="20"/>
  <c r="IL9" i="20"/>
  <c r="IK9" i="20"/>
  <c r="IJ9" i="20"/>
  <c r="II9" i="20"/>
  <c r="IH9" i="20"/>
  <c r="IG9" i="20"/>
  <c r="IF9" i="20"/>
  <c r="GR9" i="20"/>
  <c r="GQ9" i="20"/>
  <c r="GP9" i="20"/>
  <c r="GO9" i="20"/>
  <c r="GN9" i="20"/>
  <c r="GM9" i="20"/>
  <c r="GL9" i="20"/>
  <c r="GE9" i="20"/>
  <c r="AT9" i="20"/>
  <c r="AS9" i="20"/>
  <c r="AR9" i="20"/>
  <c r="AQ9" i="20"/>
  <c r="JO8" i="20"/>
  <c r="JN8" i="20"/>
  <c r="JM8" i="20"/>
  <c r="JL8" i="20"/>
  <c r="JK8" i="20"/>
  <c r="JJ8" i="20"/>
  <c r="JI8" i="20"/>
  <c r="JH8" i="20"/>
  <c r="JG8" i="20"/>
  <c r="JF8" i="20"/>
  <c r="JE8" i="20"/>
  <c r="JD8" i="20"/>
  <c r="JC8" i="20"/>
  <c r="JB8" i="20"/>
  <c r="JA8" i="20"/>
  <c r="IZ8" i="20"/>
  <c r="IY8" i="20"/>
  <c r="IX8" i="20"/>
  <c r="IW8" i="20"/>
  <c r="IV8" i="20"/>
  <c r="IU8" i="20"/>
  <c r="IT8" i="20"/>
  <c r="IS8" i="20"/>
  <c r="IR8" i="20"/>
  <c r="IQ8" i="20"/>
  <c r="IP8" i="20"/>
  <c r="IO8" i="20"/>
  <c r="IN8" i="20"/>
  <c r="IM8" i="20"/>
  <c r="IL8" i="20"/>
  <c r="IK8" i="20"/>
  <c r="IJ8" i="20"/>
  <c r="II8" i="20"/>
  <c r="IH8" i="20"/>
  <c r="IG8" i="20"/>
  <c r="JR8" i="20" s="1"/>
  <c r="JQ8" i="20" s="1"/>
  <c r="JP8" i="20" s="1"/>
  <c r="IF8" i="20"/>
  <c r="GR8" i="20"/>
  <c r="GQ8" i="20"/>
  <c r="GP8" i="20"/>
  <c r="GO8" i="20"/>
  <c r="GN8" i="20"/>
  <c r="GM8" i="20"/>
  <c r="GL8" i="20"/>
  <c r="GE8" i="20"/>
  <c r="AT8" i="20"/>
  <c r="AS8" i="20"/>
  <c r="AR8" i="20"/>
  <c r="AQ8" i="20"/>
  <c r="JO7" i="20"/>
  <c r="JN7" i="20"/>
  <c r="JM7" i="20"/>
  <c r="JL7" i="20"/>
  <c r="JK7" i="20"/>
  <c r="JJ7" i="20"/>
  <c r="JI7" i="20"/>
  <c r="JH7" i="20"/>
  <c r="JG7" i="20"/>
  <c r="JF7" i="20"/>
  <c r="JE7" i="20"/>
  <c r="JD7" i="20"/>
  <c r="JC7" i="20"/>
  <c r="JB7" i="20"/>
  <c r="JA7" i="20"/>
  <c r="IZ7" i="20"/>
  <c r="IY7" i="20"/>
  <c r="IX7" i="20"/>
  <c r="IW7" i="20"/>
  <c r="IV7" i="20"/>
  <c r="IU7" i="20"/>
  <c r="IT7" i="20"/>
  <c r="IS7" i="20"/>
  <c r="IR7" i="20"/>
  <c r="IQ7" i="20"/>
  <c r="IP7" i="20"/>
  <c r="IO7" i="20"/>
  <c r="IN7" i="20"/>
  <c r="IM7" i="20"/>
  <c r="IL7" i="20"/>
  <c r="IK7" i="20"/>
  <c r="IJ7" i="20"/>
  <c r="II7" i="20"/>
  <c r="IH7" i="20"/>
  <c r="IG7" i="20"/>
  <c r="IF7" i="20"/>
  <c r="GR7" i="20"/>
  <c r="GQ7" i="20"/>
  <c r="GP7" i="20"/>
  <c r="GO7" i="20"/>
  <c r="GN7" i="20"/>
  <c r="GM7" i="20"/>
  <c r="GL7" i="20"/>
  <c r="GE7" i="20"/>
  <c r="AT7" i="20"/>
  <c r="AS7" i="20"/>
  <c r="AR7" i="20"/>
  <c r="AQ7" i="20"/>
  <c r="JO6" i="20"/>
  <c r="JN6" i="20"/>
  <c r="JM6" i="20"/>
  <c r="JL6" i="20"/>
  <c r="JK6" i="20"/>
  <c r="JJ6" i="20"/>
  <c r="JI6" i="20"/>
  <c r="JH6" i="20"/>
  <c r="JG6" i="20"/>
  <c r="JF6" i="20"/>
  <c r="JE6" i="20"/>
  <c r="JD6" i="20"/>
  <c r="JC6" i="20"/>
  <c r="JB6" i="20"/>
  <c r="JA6" i="20"/>
  <c r="IZ6" i="20"/>
  <c r="IY6" i="20"/>
  <c r="IX6" i="20"/>
  <c r="IW6" i="20"/>
  <c r="IV6" i="20"/>
  <c r="IU6" i="20"/>
  <c r="IT6" i="20"/>
  <c r="IS6" i="20"/>
  <c r="IR6" i="20"/>
  <c r="IQ6" i="20"/>
  <c r="IP6" i="20"/>
  <c r="IO6" i="20"/>
  <c r="IN6" i="20"/>
  <c r="IM6" i="20"/>
  <c r="IL6" i="20"/>
  <c r="IK6" i="20"/>
  <c r="IJ6" i="20"/>
  <c r="II6" i="20"/>
  <c r="IH6" i="20"/>
  <c r="IG6" i="20"/>
  <c r="IF6" i="20"/>
  <c r="GR6" i="20"/>
  <c r="GQ6" i="20"/>
  <c r="GP6" i="20"/>
  <c r="GO6" i="20"/>
  <c r="GN6" i="20"/>
  <c r="GM6" i="20"/>
  <c r="GL6" i="20"/>
  <c r="GE6" i="20"/>
  <c r="AT6" i="20"/>
  <c r="AS6" i="20"/>
  <c r="AR6" i="20"/>
  <c r="AQ6" i="20"/>
  <c r="JO5" i="20"/>
  <c r="JN5" i="20"/>
  <c r="JM5" i="20"/>
  <c r="JL5" i="20"/>
  <c r="JK5" i="20"/>
  <c r="JJ5" i="20"/>
  <c r="JI5" i="20"/>
  <c r="JH5" i="20"/>
  <c r="JG5" i="20"/>
  <c r="JF5" i="20"/>
  <c r="JE5" i="20"/>
  <c r="JD5" i="20"/>
  <c r="JC5" i="20"/>
  <c r="JB5" i="20"/>
  <c r="JA5" i="20"/>
  <c r="IZ5" i="20"/>
  <c r="IY5" i="20"/>
  <c r="IX5" i="20"/>
  <c r="IW5" i="20"/>
  <c r="IV5" i="20"/>
  <c r="IU5" i="20"/>
  <c r="IT5" i="20"/>
  <c r="IS5" i="20"/>
  <c r="IR5" i="20"/>
  <c r="IQ5" i="20"/>
  <c r="IP5" i="20"/>
  <c r="IO5" i="20"/>
  <c r="IN5" i="20"/>
  <c r="IM5" i="20"/>
  <c r="JX5" i="20" s="1"/>
  <c r="IL5" i="20"/>
  <c r="IK5" i="20"/>
  <c r="IJ5" i="20"/>
  <c r="II5" i="20"/>
  <c r="IH5" i="20"/>
  <c r="IG5" i="20"/>
  <c r="IF5" i="20"/>
  <c r="GR5" i="20"/>
  <c r="GQ5" i="20"/>
  <c r="GP5" i="20"/>
  <c r="GO5" i="20"/>
  <c r="GN5" i="20"/>
  <c r="GM5" i="20"/>
  <c r="GL5" i="20"/>
  <c r="GE5" i="20"/>
  <c r="AT5" i="20"/>
  <c r="AS5" i="20"/>
  <c r="AR5" i="20"/>
  <c r="AQ5" i="20"/>
  <c r="JO4" i="20"/>
  <c r="JN4" i="20"/>
  <c r="JM4" i="20"/>
  <c r="JL4" i="20"/>
  <c r="JK4" i="20"/>
  <c r="JJ4" i="20"/>
  <c r="JI4" i="20"/>
  <c r="JH4" i="20"/>
  <c r="JG4" i="20"/>
  <c r="JF4" i="20"/>
  <c r="JE4" i="20"/>
  <c r="JD4" i="20"/>
  <c r="JC4" i="20"/>
  <c r="JB4" i="20"/>
  <c r="JA4" i="20"/>
  <c r="IZ4" i="20"/>
  <c r="IY4" i="20"/>
  <c r="IX4" i="20"/>
  <c r="IW4" i="20"/>
  <c r="IV4" i="20"/>
  <c r="IU4" i="20"/>
  <c r="IT4" i="20"/>
  <c r="IS4" i="20"/>
  <c r="IR4" i="20"/>
  <c r="IQ4" i="20"/>
  <c r="IP4" i="20"/>
  <c r="IO4" i="20"/>
  <c r="IN4" i="20"/>
  <c r="IM4" i="20"/>
  <c r="IL4" i="20"/>
  <c r="IK4" i="20"/>
  <c r="IJ4" i="20"/>
  <c r="II4" i="20"/>
  <c r="IH4" i="20"/>
  <c r="IG4" i="20"/>
  <c r="JR4" i="20" s="1"/>
  <c r="JQ4" i="20" s="1"/>
  <c r="JP4" i="20" s="1"/>
  <c r="IF4" i="20"/>
  <c r="GR4" i="20"/>
  <c r="GQ4" i="20"/>
  <c r="GP4" i="20"/>
  <c r="GO4" i="20"/>
  <c r="GN4" i="20"/>
  <c r="GM4" i="20"/>
  <c r="GL4" i="20"/>
  <c r="GE4" i="20"/>
  <c r="AT4" i="20"/>
  <c r="AS4" i="20"/>
  <c r="AR4" i="20"/>
  <c r="AQ4" i="20"/>
  <c r="JO3" i="20"/>
  <c r="JN3" i="20"/>
  <c r="JM3" i="20"/>
  <c r="JL3" i="20"/>
  <c r="JK3" i="20"/>
  <c r="JJ3" i="20"/>
  <c r="JI3" i="20"/>
  <c r="JH3" i="20"/>
  <c r="JG3" i="20"/>
  <c r="JF3" i="20"/>
  <c r="JE3" i="20"/>
  <c r="JD3" i="20"/>
  <c r="JC3" i="20"/>
  <c r="JB3" i="20"/>
  <c r="JA3" i="20"/>
  <c r="IZ3" i="20"/>
  <c r="IY3" i="20"/>
  <c r="IX3" i="20"/>
  <c r="IW3" i="20"/>
  <c r="IV3" i="20"/>
  <c r="IU3" i="20"/>
  <c r="IT3" i="20"/>
  <c r="IS3" i="20"/>
  <c r="IR3" i="20"/>
  <c r="IQ3" i="20"/>
  <c r="IP3" i="20"/>
  <c r="IO3" i="20"/>
  <c r="IN3" i="20"/>
  <c r="IM3" i="20"/>
  <c r="IL3" i="20"/>
  <c r="IK3" i="20"/>
  <c r="IJ3" i="20"/>
  <c r="II3" i="20"/>
  <c r="IH3" i="20"/>
  <c r="JS3" i="20" s="1"/>
  <c r="IG3" i="20"/>
  <c r="IF3" i="20"/>
  <c r="GR3" i="20"/>
  <c r="GQ3" i="20"/>
  <c r="GP3" i="20"/>
  <c r="GO3" i="20"/>
  <c r="GN3" i="20"/>
  <c r="GM3" i="20"/>
  <c r="GL3" i="20"/>
  <c r="GE3" i="20"/>
  <c r="AT3" i="20"/>
  <c r="AS3" i="20"/>
  <c r="AR3" i="20"/>
  <c r="AQ3" i="20"/>
  <c r="JO2" i="20"/>
  <c r="JN2" i="20"/>
  <c r="JM2" i="20"/>
  <c r="JL2" i="20"/>
  <c r="JK2" i="20"/>
  <c r="JJ2" i="20"/>
  <c r="JI2" i="20"/>
  <c r="JH2" i="20"/>
  <c r="JG2" i="20"/>
  <c r="JF2" i="20"/>
  <c r="JE2" i="20"/>
  <c r="JD2" i="20"/>
  <c r="JC2" i="20"/>
  <c r="JB2" i="20"/>
  <c r="JA2" i="20"/>
  <c r="IZ2" i="20"/>
  <c r="IY2" i="20"/>
  <c r="IX2" i="20"/>
  <c r="IW2" i="20"/>
  <c r="IV2" i="20"/>
  <c r="IU2" i="20"/>
  <c r="IT2" i="20"/>
  <c r="IS2" i="20"/>
  <c r="IR2" i="20"/>
  <c r="IQ2" i="20"/>
  <c r="IP2" i="20"/>
  <c r="IO2" i="20"/>
  <c r="IN2" i="20"/>
  <c r="IM2" i="20"/>
  <c r="IL2" i="20"/>
  <c r="IK2" i="20"/>
  <c r="IJ2" i="20"/>
  <c r="II2" i="20"/>
  <c r="IH2" i="20"/>
  <c r="JS2" i="20" s="1"/>
  <c r="IG2" i="20"/>
  <c r="JR2" i="20" s="1"/>
  <c r="JQ2" i="20" s="1"/>
  <c r="JP2" i="20" s="1"/>
  <c r="IF2" i="20"/>
  <c r="GR2" i="20"/>
  <c r="GQ2" i="20"/>
  <c r="GP2" i="20"/>
  <c r="GO2" i="20"/>
  <c r="GN2" i="20"/>
  <c r="GM2" i="20"/>
  <c r="GL2" i="20"/>
  <c r="GE2" i="20"/>
  <c r="AT2" i="20"/>
  <c r="AS2" i="20"/>
  <c r="AR2" i="20"/>
  <c r="AQ2" i="20"/>
  <c r="JO20" i="19"/>
  <c r="JN20" i="19"/>
  <c r="JM20" i="19"/>
  <c r="JL20" i="19"/>
  <c r="JK20" i="19"/>
  <c r="JJ20" i="19"/>
  <c r="JI20" i="19"/>
  <c r="JH20" i="19"/>
  <c r="JG20" i="19"/>
  <c r="JF20" i="19"/>
  <c r="JE20" i="19"/>
  <c r="JD20" i="19"/>
  <c r="JC20" i="19"/>
  <c r="JB20" i="19"/>
  <c r="JA20" i="19"/>
  <c r="IZ20" i="19"/>
  <c r="IY20" i="19"/>
  <c r="IX20" i="19"/>
  <c r="IW20" i="19"/>
  <c r="IV20" i="19"/>
  <c r="IU20" i="19"/>
  <c r="IT20" i="19"/>
  <c r="IS20" i="19"/>
  <c r="IR20" i="19"/>
  <c r="IQ20" i="19"/>
  <c r="IP20" i="19"/>
  <c r="IO20" i="19"/>
  <c r="IN20" i="19"/>
  <c r="IM20" i="19"/>
  <c r="IL20" i="19"/>
  <c r="IK20" i="19"/>
  <c r="IJ20" i="19"/>
  <c r="II20" i="19"/>
  <c r="IH20" i="19"/>
  <c r="IG20" i="19"/>
  <c r="JR20" i="19" s="1"/>
  <c r="JQ20" i="19" s="1"/>
  <c r="JP20" i="19" s="1"/>
  <c r="IF20" i="19"/>
  <c r="GR20" i="19"/>
  <c r="GQ20" i="19"/>
  <c r="GP20" i="19"/>
  <c r="GO20" i="19"/>
  <c r="GN20" i="19"/>
  <c r="GM20" i="19"/>
  <c r="GL20" i="19"/>
  <c r="GE20" i="19"/>
  <c r="AT20" i="19"/>
  <c r="AS20" i="19"/>
  <c r="AR20" i="19"/>
  <c r="AQ20" i="19"/>
  <c r="JO19" i="19"/>
  <c r="JN19" i="19"/>
  <c r="JM19" i="19"/>
  <c r="JL19" i="19"/>
  <c r="JK19" i="19"/>
  <c r="JJ19" i="19"/>
  <c r="JI19" i="19"/>
  <c r="JH19" i="19"/>
  <c r="JG19" i="19"/>
  <c r="JF19" i="19"/>
  <c r="JE19" i="19"/>
  <c r="JD19" i="19"/>
  <c r="JC19" i="19"/>
  <c r="JB19" i="19"/>
  <c r="JA19" i="19"/>
  <c r="IZ19" i="19"/>
  <c r="IY19" i="19"/>
  <c r="IX19" i="19"/>
  <c r="IW19" i="19"/>
  <c r="IV19" i="19"/>
  <c r="IU19" i="19"/>
  <c r="IT19" i="19"/>
  <c r="IS19" i="19"/>
  <c r="IR19" i="19"/>
  <c r="IQ19" i="19"/>
  <c r="IP19" i="19"/>
  <c r="IO19" i="19"/>
  <c r="IN19" i="19"/>
  <c r="IM19" i="19"/>
  <c r="IL19" i="19"/>
  <c r="IK19" i="19"/>
  <c r="IJ19" i="19"/>
  <c r="II19" i="19"/>
  <c r="JT19" i="19" s="1"/>
  <c r="IH19" i="19"/>
  <c r="JS19" i="19" s="1"/>
  <c r="IG19" i="19"/>
  <c r="IF19" i="19"/>
  <c r="GR19" i="19"/>
  <c r="GQ19" i="19"/>
  <c r="GP19" i="19"/>
  <c r="GO19" i="19"/>
  <c r="GN19" i="19"/>
  <c r="GM19" i="19"/>
  <c r="GL19" i="19"/>
  <c r="GE19" i="19"/>
  <c r="AT19" i="19"/>
  <c r="AS19" i="19"/>
  <c r="AR19" i="19"/>
  <c r="AQ19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JT18" i="19" s="1"/>
  <c r="IH18" i="19"/>
  <c r="JS18" i="19" s="1"/>
  <c r="IG18" i="19"/>
  <c r="JR18" i="19" s="1"/>
  <c r="JQ18" i="19" s="1"/>
  <c r="JP18" i="19" s="1"/>
  <c r="IF18" i="19"/>
  <c r="GR18" i="19"/>
  <c r="GQ18" i="19"/>
  <c r="GP18" i="19"/>
  <c r="GO18" i="19"/>
  <c r="GN18" i="19"/>
  <c r="GM18" i="19"/>
  <c r="GL18" i="19"/>
  <c r="GE18" i="19"/>
  <c r="AT18" i="19"/>
  <c r="AS18" i="19"/>
  <c r="AR18" i="19"/>
  <c r="AQ18" i="19"/>
  <c r="JO17" i="19"/>
  <c r="JN17" i="19"/>
  <c r="JM17" i="19"/>
  <c r="JL17" i="19"/>
  <c r="JK17" i="19"/>
  <c r="JJ17" i="19"/>
  <c r="JI17" i="19"/>
  <c r="JH17" i="19"/>
  <c r="JG17" i="19"/>
  <c r="JF17" i="19"/>
  <c r="JE17" i="19"/>
  <c r="JD17" i="19"/>
  <c r="JC17" i="19"/>
  <c r="JB17" i="19"/>
  <c r="JA17" i="19"/>
  <c r="IZ17" i="19"/>
  <c r="IY17" i="19"/>
  <c r="IX17" i="19"/>
  <c r="IW17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JT17" i="19" s="1"/>
  <c r="IH17" i="19"/>
  <c r="JS17" i="19" s="1"/>
  <c r="IG17" i="19"/>
  <c r="IF17" i="19"/>
  <c r="GR17" i="19"/>
  <c r="GQ17" i="19"/>
  <c r="GP17" i="19"/>
  <c r="GO17" i="19"/>
  <c r="GN17" i="19"/>
  <c r="GM17" i="19"/>
  <c r="GL17" i="19"/>
  <c r="GE17" i="19"/>
  <c r="AT17" i="19"/>
  <c r="AS17" i="19"/>
  <c r="AR17" i="19"/>
  <c r="AQ17" i="19"/>
  <c r="JO16" i="19"/>
  <c r="JN16" i="19"/>
  <c r="JM16" i="19"/>
  <c r="JL16" i="19"/>
  <c r="JK16" i="19"/>
  <c r="JJ16" i="19"/>
  <c r="JI16" i="19"/>
  <c r="JH16" i="19"/>
  <c r="JG16" i="19"/>
  <c r="JF16" i="19"/>
  <c r="JE16" i="19"/>
  <c r="JD16" i="19"/>
  <c r="JC16" i="19"/>
  <c r="JB16" i="19"/>
  <c r="JA16" i="19"/>
  <c r="IZ16" i="19"/>
  <c r="IY16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JT16" i="19" s="1"/>
  <c r="IH16" i="19"/>
  <c r="IG16" i="19"/>
  <c r="JR16" i="19" s="1"/>
  <c r="JQ16" i="19" s="1"/>
  <c r="JP16" i="19" s="1"/>
  <c r="IF16" i="19"/>
  <c r="GR16" i="19"/>
  <c r="GQ16" i="19"/>
  <c r="GP16" i="19"/>
  <c r="GO16" i="19"/>
  <c r="GN16" i="19"/>
  <c r="GM16" i="19"/>
  <c r="GL16" i="19"/>
  <c r="GE16" i="19"/>
  <c r="AT16" i="19"/>
  <c r="AS16" i="19"/>
  <c r="AR16" i="19"/>
  <c r="AQ16" i="19"/>
  <c r="JO15" i="19"/>
  <c r="JN15" i="19"/>
  <c r="JM15" i="19"/>
  <c r="JL15" i="19"/>
  <c r="JK15" i="19"/>
  <c r="JJ15" i="19"/>
  <c r="JI15" i="19"/>
  <c r="JH15" i="19"/>
  <c r="JG15" i="19"/>
  <c r="JF15" i="19"/>
  <c r="JE15" i="19"/>
  <c r="JD15" i="19"/>
  <c r="JC15" i="19"/>
  <c r="JB15" i="19"/>
  <c r="JA15" i="19"/>
  <c r="IZ15" i="19"/>
  <c r="IY15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GR15" i="19"/>
  <c r="GQ15" i="19"/>
  <c r="GP15" i="19"/>
  <c r="GO15" i="19"/>
  <c r="GN15" i="19"/>
  <c r="GM15" i="19"/>
  <c r="GL15" i="19"/>
  <c r="GE15" i="19"/>
  <c r="AT15" i="19"/>
  <c r="AS15" i="19"/>
  <c r="AR15" i="19"/>
  <c r="AQ15" i="19"/>
  <c r="JO14" i="19"/>
  <c r="JN14" i="19"/>
  <c r="JM14" i="19"/>
  <c r="JL14" i="19"/>
  <c r="JK14" i="19"/>
  <c r="JJ14" i="19"/>
  <c r="JI14" i="19"/>
  <c r="JH14" i="19"/>
  <c r="JG14" i="19"/>
  <c r="JF14" i="19"/>
  <c r="JE14" i="19"/>
  <c r="JD14" i="19"/>
  <c r="JC14" i="19"/>
  <c r="JB14" i="19"/>
  <c r="JA14" i="19"/>
  <c r="IZ14" i="19"/>
  <c r="IY14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GR14" i="19"/>
  <c r="GQ14" i="19"/>
  <c r="GP14" i="19"/>
  <c r="GO14" i="19"/>
  <c r="GN14" i="19"/>
  <c r="GM14" i="19"/>
  <c r="GL14" i="19"/>
  <c r="GE14" i="19"/>
  <c r="AT14" i="19"/>
  <c r="AS14" i="19"/>
  <c r="AR14" i="19"/>
  <c r="AQ14" i="19"/>
  <c r="JO13" i="19"/>
  <c r="JN13" i="19"/>
  <c r="JM13" i="19"/>
  <c r="JL13" i="19"/>
  <c r="JK13" i="19"/>
  <c r="JJ13" i="19"/>
  <c r="JI13" i="19"/>
  <c r="JH13" i="19"/>
  <c r="JG13" i="19"/>
  <c r="JF13" i="19"/>
  <c r="JE13" i="19"/>
  <c r="JD13" i="19"/>
  <c r="JC13" i="19"/>
  <c r="JB13" i="19"/>
  <c r="JA13" i="19"/>
  <c r="IZ13" i="19"/>
  <c r="IY13" i="19"/>
  <c r="IX13" i="19"/>
  <c r="IW13" i="19"/>
  <c r="IV13" i="19"/>
  <c r="JX13" i="19" s="1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GR13" i="19"/>
  <c r="GQ13" i="19"/>
  <c r="GP13" i="19"/>
  <c r="GO13" i="19"/>
  <c r="GN13" i="19"/>
  <c r="GM13" i="19"/>
  <c r="GL13" i="19"/>
  <c r="GE13" i="19"/>
  <c r="AT13" i="19"/>
  <c r="AS13" i="19"/>
  <c r="AR13" i="19"/>
  <c r="AQ13" i="19"/>
  <c r="JO12" i="19"/>
  <c r="JN12" i="19"/>
  <c r="JM12" i="19"/>
  <c r="JL12" i="19"/>
  <c r="JK12" i="19"/>
  <c r="JJ12" i="19"/>
  <c r="JI12" i="19"/>
  <c r="JH12" i="19"/>
  <c r="JG12" i="19"/>
  <c r="JF12" i="19"/>
  <c r="JE12" i="19"/>
  <c r="JD12" i="19"/>
  <c r="JC12" i="19"/>
  <c r="JB12" i="19"/>
  <c r="JA12" i="19"/>
  <c r="IZ12" i="19"/>
  <c r="IY12" i="19"/>
  <c r="IX12" i="19"/>
  <c r="IW12" i="19"/>
  <c r="IV12" i="19"/>
  <c r="IU12" i="19"/>
  <c r="IT12" i="19"/>
  <c r="IS12" i="19"/>
  <c r="IR12" i="19"/>
  <c r="IQ12" i="19"/>
  <c r="IP12" i="19"/>
  <c r="IO12" i="19"/>
  <c r="IN12" i="19"/>
  <c r="IM12" i="19"/>
  <c r="IL12" i="19"/>
  <c r="IK12" i="19"/>
  <c r="IJ12" i="19"/>
  <c r="II12" i="19"/>
  <c r="IH12" i="19"/>
  <c r="IG12" i="19"/>
  <c r="IF12" i="19"/>
  <c r="GR12" i="19"/>
  <c r="GQ12" i="19"/>
  <c r="GP12" i="19"/>
  <c r="GO12" i="19"/>
  <c r="GN12" i="19"/>
  <c r="GM12" i="19"/>
  <c r="GL12" i="19"/>
  <c r="GE12" i="19"/>
  <c r="AT12" i="19"/>
  <c r="AS12" i="19"/>
  <c r="AR12" i="19"/>
  <c r="AQ12" i="19"/>
  <c r="JO11" i="19"/>
  <c r="JN11" i="19"/>
  <c r="JM11" i="19"/>
  <c r="JL11" i="19"/>
  <c r="JK11" i="19"/>
  <c r="JJ11" i="19"/>
  <c r="JI11" i="19"/>
  <c r="JH11" i="19"/>
  <c r="JG11" i="19"/>
  <c r="JF11" i="19"/>
  <c r="JE11" i="19"/>
  <c r="JD11" i="19"/>
  <c r="JC11" i="19"/>
  <c r="JB11" i="19"/>
  <c r="JA11" i="19"/>
  <c r="IZ11" i="19"/>
  <c r="IY11" i="19"/>
  <c r="IX11" i="19"/>
  <c r="IW11" i="19"/>
  <c r="IV11" i="19"/>
  <c r="IU11" i="19"/>
  <c r="IT11" i="19"/>
  <c r="IS11" i="19"/>
  <c r="IR11" i="19"/>
  <c r="IQ11" i="19"/>
  <c r="IP11" i="19"/>
  <c r="IO11" i="19"/>
  <c r="IN11" i="19"/>
  <c r="IM11" i="19"/>
  <c r="IL11" i="19"/>
  <c r="IK11" i="19"/>
  <c r="IJ11" i="19"/>
  <c r="II11" i="19"/>
  <c r="JT11" i="19" s="1"/>
  <c r="IH11" i="19"/>
  <c r="JS11" i="19" s="1"/>
  <c r="IG11" i="19"/>
  <c r="IF11" i="19"/>
  <c r="GR11" i="19"/>
  <c r="GQ11" i="19"/>
  <c r="GP11" i="19"/>
  <c r="GO11" i="19"/>
  <c r="GN11" i="19"/>
  <c r="GM11" i="19"/>
  <c r="GL11" i="19"/>
  <c r="GE11" i="19"/>
  <c r="AT11" i="19"/>
  <c r="AS11" i="19"/>
  <c r="AR11" i="19"/>
  <c r="AQ11" i="19"/>
  <c r="JO10" i="19"/>
  <c r="JN10" i="19"/>
  <c r="JM10" i="19"/>
  <c r="JL10" i="19"/>
  <c r="JK10" i="19"/>
  <c r="JJ10" i="19"/>
  <c r="JI10" i="19"/>
  <c r="JH10" i="19"/>
  <c r="JG10" i="19"/>
  <c r="JF10" i="19"/>
  <c r="JE10" i="19"/>
  <c r="JD10" i="19"/>
  <c r="JC10" i="19"/>
  <c r="JB10" i="19"/>
  <c r="JA10" i="19"/>
  <c r="IZ10" i="19"/>
  <c r="IY10" i="19"/>
  <c r="IX10" i="19"/>
  <c r="IW10" i="19"/>
  <c r="IV10" i="19"/>
  <c r="IU10" i="19"/>
  <c r="IT10" i="19"/>
  <c r="IS10" i="19"/>
  <c r="IR10" i="19"/>
  <c r="IQ10" i="19"/>
  <c r="IP10" i="19"/>
  <c r="IO10" i="19"/>
  <c r="IN10" i="19"/>
  <c r="IM10" i="19"/>
  <c r="IL10" i="19"/>
  <c r="IK10" i="19"/>
  <c r="IJ10" i="19"/>
  <c r="II10" i="19"/>
  <c r="JT10" i="19" s="1"/>
  <c r="IH10" i="19"/>
  <c r="JS10" i="19" s="1"/>
  <c r="IG10" i="19"/>
  <c r="IF10" i="19"/>
  <c r="GR10" i="19"/>
  <c r="GQ10" i="19"/>
  <c r="GP10" i="19"/>
  <c r="GO10" i="19"/>
  <c r="GN10" i="19"/>
  <c r="GM10" i="19"/>
  <c r="GL10" i="19"/>
  <c r="GE10" i="19"/>
  <c r="AT10" i="19"/>
  <c r="AS10" i="19"/>
  <c r="AR10" i="19"/>
  <c r="AQ10" i="19"/>
  <c r="JO9" i="19"/>
  <c r="JN9" i="19"/>
  <c r="JM9" i="19"/>
  <c r="JL9" i="19"/>
  <c r="JK9" i="19"/>
  <c r="JJ9" i="19"/>
  <c r="JI9" i="19"/>
  <c r="JH9" i="19"/>
  <c r="JG9" i="19"/>
  <c r="JF9" i="19"/>
  <c r="JE9" i="19"/>
  <c r="JD9" i="19"/>
  <c r="JC9" i="19"/>
  <c r="JB9" i="19"/>
  <c r="JA9" i="19"/>
  <c r="IZ9" i="19"/>
  <c r="IY9" i="19"/>
  <c r="IX9" i="19"/>
  <c r="IW9" i="19"/>
  <c r="IV9" i="19"/>
  <c r="IU9" i="19"/>
  <c r="IT9" i="19"/>
  <c r="IS9" i="19"/>
  <c r="IR9" i="19"/>
  <c r="IQ9" i="19"/>
  <c r="IP9" i="19"/>
  <c r="IO9" i="19"/>
  <c r="IN9" i="19"/>
  <c r="IM9" i="19"/>
  <c r="IL9" i="19"/>
  <c r="IK9" i="19"/>
  <c r="IJ9" i="19"/>
  <c r="II9" i="19"/>
  <c r="JT9" i="19" s="1"/>
  <c r="IH9" i="19"/>
  <c r="IG9" i="19"/>
  <c r="IF9" i="19"/>
  <c r="GR9" i="19"/>
  <c r="GQ9" i="19"/>
  <c r="GP9" i="19"/>
  <c r="GO9" i="19"/>
  <c r="GN9" i="19"/>
  <c r="GM9" i="19"/>
  <c r="GL9" i="19"/>
  <c r="GE9" i="19"/>
  <c r="AT9" i="19"/>
  <c r="AS9" i="19"/>
  <c r="AR9" i="19"/>
  <c r="AQ9" i="19"/>
  <c r="JO8" i="19"/>
  <c r="JN8" i="19"/>
  <c r="JM8" i="19"/>
  <c r="JL8" i="19"/>
  <c r="JK8" i="19"/>
  <c r="JJ8" i="19"/>
  <c r="JI8" i="19"/>
  <c r="JH8" i="19"/>
  <c r="JG8" i="19"/>
  <c r="JF8" i="19"/>
  <c r="JE8" i="19"/>
  <c r="JD8" i="19"/>
  <c r="JC8" i="19"/>
  <c r="JB8" i="19"/>
  <c r="JA8" i="19"/>
  <c r="IZ8" i="19"/>
  <c r="IY8" i="19"/>
  <c r="IX8" i="19"/>
  <c r="IW8" i="19"/>
  <c r="IV8" i="19"/>
  <c r="IU8" i="19"/>
  <c r="IT8" i="19"/>
  <c r="IS8" i="19"/>
  <c r="IR8" i="19"/>
  <c r="IQ8" i="19"/>
  <c r="IP8" i="19"/>
  <c r="IO8" i="19"/>
  <c r="IN8" i="19"/>
  <c r="IM8" i="19"/>
  <c r="IL8" i="19"/>
  <c r="IK8" i="19"/>
  <c r="IJ8" i="19"/>
  <c r="II8" i="19"/>
  <c r="JT8" i="19" s="1"/>
  <c r="IH8" i="19"/>
  <c r="IG8" i="19"/>
  <c r="IF8" i="19"/>
  <c r="GR8" i="19"/>
  <c r="GQ8" i="19"/>
  <c r="GP8" i="19"/>
  <c r="GO8" i="19"/>
  <c r="GN8" i="19"/>
  <c r="GM8" i="19"/>
  <c r="GL8" i="19"/>
  <c r="GE8" i="19"/>
  <c r="AT8" i="19"/>
  <c r="AS8" i="19"/>
  <c r="AR8" i="19"/>
  <c r="AQ8" i="19"/>
  <c r="JO7" i="19"/>
  <c r="JN7" i="19"/>
  <c r="JM7" i="19"/>
  <c r="JL7" i="19"/>
  <c r="JK7" i="19"/>
  <c r="JJ7" i="19"/>
  <c r="JI7" i="19"/>
  <c r="JH7" i="19"/>
  <c r="JG7" i="19"/>
  <c r="JF7" i="19"/>
  <c r="JE7" i="19"/>
  <c r="JD7" i="19"/>
  <c r="JC7" i="19"/>
  <c r="JB7" i="19"/>
  <c r="JA7" i="19"/>
  <c r="IZ7" i="19"/>
  <c r="IY7" i="19"/>
  <c r="IX7" i="19"/>
  <c r="IW7" i="19"/>
  <c r="IV7" i="19"/>
  <c r="IU7" i="19"/>
  <c r="IT7" i="19"/>
  <c r="IS7" i="19"/>
  <c r="IR7" i="19"/>
  <c r="IQ7" i="19"/>
  <c r="IP7" i="19"/>
  <c r="IO7" i="19"/>
  <c r="IN7" i="19"/>
  <c r="IM7" i="19"/>
  <c r="IL7" i="19"/>
  <c r="IK7" i="19"/>
  <c r="IJ7" i="19"/>
  <c r="II7" i="19"/>
  <c r="IH7" i="19"/>
  <c r="JS7" i="19" s="1"/>
  <c r="IG7" i="19"/>
  <c r="IF7" i="19"/>
  <c r="GR7" i="19"/>
  <c r="GQ7" i="19"/>
  <c r="GP7" i="19"/>
  <c r="GO7" i="19"/>
  <c r="GN7" i="19"/>
  <c r="GM7" i="19"/>
  <c r="GL7" i="19"/>
  <c r="GE7" i="19"/>
  <c r="AT7" i="19"/>
  <c r="AS7" i="19"/>
  <c r="AR7" i="19"/>
  <c r="AQ7" i="19"/>
  <c r="JO6" i="19"/>
  <c r="JN6" i="19"/>
  <c r="JM6" i="19"/>
  <c r="JL6" i="19"/>
  <c r="JK6" i="19"/>
  <c r="JJ6" i="19"/>
  <c r="JI6" i="19"/>
  <c r="JH6" i="19"/>
  <c r="JG6" i="19"/>
  <c r="JF6" i="19"/>
  <c r="JE6" i="19"/>
  <c r="JD6" i="19"/>
  <c r="JC6" i="19"/>
  <c r="JB6" i="19"/>
  <c r="JA6" i="19"/>
  <c r="IZ6" i="19"/>
  <c r="IY6" i="19"/>
  <c r="IX6" i="19"/>
  <c r="IW6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JT6" i="19" s="1"/>
  <c r="IH6" i="19"/>
  <c r="IG6" i="19"/>
  <c r="IF6" i="19"/>
  <c r="GR6" i="19"/>
  <c r="GQ6" i="19"/>
  <c r="GP6" i="19"/>
  <c r="GO6" i="19"/>
  <c r="GN6" i="19"/>
  <c r="GM6" i="19"/>
  <c r="GL6" i="19"/>
  <c r="GE6" i="19"/>
  <c r="AT6" i="19"/>
  <c r="AS6" i="19"/>
  <c r="AR6" i="19"/>
  <c r="AQ6" i="19"/>
  <c r="JO5" i="19"/>
  <c r="JN5" i="19"/>
  <c r="JM5" i="19"/>
  <c r="JL5" i="19"/>
  <c r="JK5" i="19"/>
  <c r="JJ5" i="19"/>
  <c r="JI5" i="19"/>
  <c r="JH5" i="19"/>
  <c r="JG5" i="19"/>
  <c r="JF5" i="19"/>
  <c r="JE5" i="19"/>
  <c r="JX5" i="19" s="1"/>
  <c r="JD5" i="19"/>
  <c r="JC5" i="19"/>
  <c r="JB5" i="19"/>
  <c r="JA5" i="19"/>
  <c r="IZ5" i="19"/>
  <c r="IY5" i="19"/>
  <c r="IX5" i="19"/>
  <c r="IW5" i="19"/>
  <c r="IV5" i="19"/>
  <c r="IU5" i="19"/>
  <c r="IT5" i="19"/>
  <c r="IS5" i="19"/>
  <c r="IR5" i="19"/>
  <c r="IQ5" i="19"/>
  <c r="IP5" i="19"/>
  <c r="IO5" i="19"/>
  <c r="IN5" i="19"/>
  <c r="IM5" i="19"/>
  <c r="IL5" i="19"/>
  <c r="IK5" i="19"/>
  <c r="IJ5" i="19"/>
  <c r="JU5" i="19" s="1"/>
  <c r="II5" i="19"/>
  <c r="IH5" i="19"/>
  <c r="IG5" i="19"/>
  <c r="IF5" i="19"/>
  <c r="GR5" i="19"/>
  <c r="GQ5" i="19"/>
  <c r="GP5" i="19"/>
  <c r="GO5" i="19"/>
  <c r="GN5" i="19"/>
  <c r="GM5" i="19"/>
  <c r="GL5" i="19"/>
  <c r="GE5" i="19"/>
  <c r="AT5" i="19"/>
  <c r="AS5" i="19"/>
  <c r="AR5" i="19"/>
  <c r="AQ5" i="19"/>
  <c r="JO4" i="19"/>
  <c r="JN4" i="19"/>
  <c r="JM4" i="19"/>
  <c r="JL4" i="19"/>
  <c r="JK4" i="19"/>
  <c r="JJ4" i="19"/>
  <c r="JI4" i="19"/>
  <c r="JH4" i="19"/>
  <c r="JG4" i="19"/>
  <c r="JF4" i="19"/>
  <c r="JE4" i="19"/>
  <c r="JD4" i="19"/>
  <c r="JC4" i="19"/>
  <c r="JB4" i="19"/>
  <c r="JA4" i="19"/>
  <c r="IZ4" i="19"/>
  <c r="IY4" i="19"/>
  <c r="IX4" i="19"/>
  <c r="IW4" i="19"/>
  <c r="IV4" i="19"/>
  <c r="IU4" i="19"/>
  <c r="IT4" i="19"/>
  <c r="IS4" i="19"/>
  <c r="IR4" i="19"/>
  <c r="IQ4" i="19"/>
  <c r="IP4" i="19"/>
  <c r="IO4" i="19"/>
  <c r="IN4" i="19"/>
  <c r="IM4" i="19"/>
  <c r="IL4" i="19"/>
  <c r="IK4" i="19"/>
  <c r="IJ4" i="19"/>
  <c r="II4" i="19"/>
  <c r="IH4" i="19"/>
  <c r="IG4" i="19"/>
  <c r="IF4" i="19"/>
  <c r="GR4" i="19"/>
  <c r="GQ4" i="19"/>
  <c r="GP4" i="19"/>
  <c r="GO4" i="19"/>
  <c r="GN4" i="19"/>
  <c r="GM4" i="19"/>
  <c r="GL4" i="19"/>
  <c r="GE4" i="19"/>
  <c r="AT4" i="19"/>
  <c r="AS4" i="19"/>
  <c r="AR4" i="19"/>
  <c r="AQ4" i="19"/>
  <c r="JO3" i="19"/>
  <c r="JN3" i="19"/>
  <c r="JM3" i="19"/>
  <c r="JL3" i="19"/>
  <c r="JK3" i="19"/>
  <c r="JJ3" i="19"/>
  <c r="JI3" i="19"/>
  <c r="JH3" i="19"/>
  <c r="JG3" i="19"/>
  <c r="JF3" i="19"/>
  <c r="JE3" i="19"/>
  <c r="JD3" i="19"/>
  <c r="JC3" i="19"/>
  <c r="JB3" i="19"/>
  <c r="JA3" i="19"/>
  <c r="IZ3" i="19"/>
  <c r="IY3" i="19"/>
  <c r="IX3" i="19"/>
  <c r="IW3" i="19"/>
  <c r="IV3" i="19"/>
  <c r="IU3" i="19"/>
  <c r="IT3" i="19"/>
  <c r="IS3" i="19"/>
  <c r="IR3" i="19"/>
  <c r="IQ3" i="19"/>
  <c r="IP3" i="19"/>
  <c r="IO3" i="19"/>
  <c r="IN3" i="19"/>
  <c r="IM3" i="19"/>
  <c r="IL3" i="19"/>
  <c r="IK3" i="19"/>
  <c r="IJ3" i="19"/>
  <c r="II3" i="19"/>
  <c r="JT3" i="19" s="1"/>
  <c r="IH3" i="19"/>
  <c r="IG3" i="19"/>
  <c r="IF3" i="19"/>
  <c r="GR3" i="19"/>
  <c r="GQ3" i="19"/>
  <c r="GP3" i="19"/>
  <c r="GO3" i="19"/>
  <c r="GN3" i="19"/>
  <c r="GM3" i="19"/>
  <c r="GL3" i="19"/>
  <c r="GE3" i="19"/>
  <c r="AT3" i="19"/>
  <c r="AS3" i="19"/>
  <c r="AR3" i="19"/>
  <c r="AQ3" i="19"/>
  <c r="JO2" i="19"/>
  <c r="JN2" i="19"/>
  <c r="JM2" i="19"/>
  <c r="JL2" i="19"/>
  <c r="JK2" i="19"/>
  <c r="JJ2" i="19"/>
  <c r="JI2" i="19"/>
  <c r="JH2" i="19"/>
  <c r="JG2" i="19"/>
  <c r="JF2" i="19"/>
  <c r="JE2" i="19"/>
  <c r="JD2" i="19"/>
  <c r="JC2" i="19"/>
  <c r="JB2" i="19"/>
  <c r="JA2" i="19"/>
  <c r="IZ2" i="19"/>
  <c r="IY2" i="19"/>
  <c r="IX2" i="19"/>
  <c r="IW2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GR2" i="19"/>
  <c r="GQ2" i="19"/>
  <c r="GP2" i="19"/>
  <c r="GO2" i="19"/>
  <c r="GN2" i="19"/>
  <c r="GM2" i="19"/>
  <c r="GL2" i="19"/>
  <c r="GE2" i="19"/>
  <c r="AT2" i="19"/>
  <c r="AS2" i="19"/>
  <c r="AR2" i="19"/>
  <c r="AQ2" i="19"/>
  <c r="IF2" i="18"/>
  <c r="JL13" i="18"/>
  <c r="JM5" i="18"/>
  <c r="JO20" i="18"/>
  <c r="JN20" i="18"/>
  <c r="JM20" i="18"/>
  <c r="JL20" i="18"/>
  <c r="JK20" i="18"/>
  <c r="JJ20" i="18"/>
  <c r="JI20" i="18"/>
  <c r="JH20" i="18"/>
  <c r="JG20" i="18"/>
  <c r="JF20" i="18"/>
  <c r="JE20" i="18"/>
  <c r="JD20" i="18"/>
  <c r="JC20" i="18"/>
  <c r="JB20" i="18"/>
  <c r="JA20" i="18"/>
  <c r="IZ20" i="18"/>
  <c r="IY20" i="18"/>
  <c r="IX20" i="18"/>
  <c r="IW20" i="18"/>
  <c r="IV20" i="18"/>
  <c r="IU20" i="18"/>
  <c r="IT20" i="18"/>
  <c r="IS20" i="18"/>
  <c r="IR20" i="18"/>
  <c r="IQ20" i="18"/>
  <c r="IP20" i="18"/>
  <c r="IO20" i="18"/>
  <c r="IN20" i="18"/>
  <c r="IM20" i="18"/>
  <c r="IL20" i="18"/>
  <c r="IK20" i="18"/>
  <c r="IJ20" i="18"/>
  <c r="II20" i="18"/>
  <c r="IH20" i="18"/>
  <c r="IG20" i="18"/>
  <c r="IF20" i="18"/>
  <c r="GR20" i="18"/>
  <c r="GQ20" i="18"/>
  <c r="GP20" i="18"/>
  <c r="GO20" i="18"/>
  <c r="GN20" i="18"/>
  <c r="GM20" i="18"/>
  <c r="GL20" i="18"/>
  <c r="GE20" i="18"/>
  <c r="AT20" i="18"/>
  <c r="AS20" i="18"/>
  <c r="AR20" i="18"/>
  <c r="AQ20" i="18"/>
  <c r="JO19" i="18"/>
  <c r="JN19" i="18"/>
  <c r="JM19" i="18"/>
  <c r="JL19" i="18"/>
  <c r="JK19" i="18"/>
  <c r="JJ19" i="18"/>
  <c r="JI19" i="18"/>
  <c r="JH19" i="18"/>
  <c r="JG19" i="18"/>
  <c r="JF19" i="18"/>
  <c r="JE19" i="18"/>
  <c r="JD19" i="18"/>
  <c r="JC19" i="18"/>
  <c r="JB19" i="18"/>
  <c r="JA19" i="18"/>
  <c r="IZ19" i="18"/>
  <c r="IY19" i="18"/>
  <c r="IX19" i="18"/>
  <c r="IW19" i="18"/>
  <c r="IV19" i="18"/>
  <c r="IU19" i="18"/>
  <c r="IT19" i="18"/>
  <c r="IS19" i="18"/>
  <c r="IR19" i="18"/>
  <c r="IQ19" i="18"/>
  <c r="IP19" i="18"/>
  <c r="IO19" i="18"/>
  <c r="IN19" i="18"/>
  <c r="IM19" i="18"/>
  <c r="IL19" i="18"/>
  <c r="IK19" i="18"/>
  <c r="IJ19" i="18"/>
  <c r="II19" i="18"/>
  <c r="IH19" i="18"/>
  <c r="IG19" i="18"/>
  <c r="IF19" i="18"/>
  <c r="GR19" i="18"/>
  <c r="GQ19" i="18"/>
  <c r="GP19" i="18"/>
  <c r="GO19" i="18"/>
  <c r="GN19" i="18"/>
  <c r="GM19" i="18"/>
  <c r="GL19" i="18"/>
  <c r="GE19" i="18"/>
  <c r="AT19" i="18"/>
  <c r="AS19" i="18"/>
  <c r="AR19" i="18"/>
  <c r="AQ19" i="18"/>
  <c r="JO18" i="18"/>
  <c r="JN18" i="18"/>
  <c r="JM18" i="18"/>
  <c r="JL18" i="18"/>
  <c r="JK18" i="18"/>
  <c r="JJ18" i="18"/>
  <c r="JI18" i="18"/>
  <c r="JH18" i="18"/>
  <c r="JG18" i="18"/>
  <c r="JF18" i="18"/>
  <c r="JE18" i="18"/>
  <c r="JD18" i="18"/>
  <c r="JC18" i="18"/>
  <c r="JB18" i="18"/>
  <c r="JA18" i="18"/>
  <c r="IZ18" i="18"/>
  <c r="IY18" i="18"/>
  <c r="IX18" i="18"/>
  <c r="IW18" i="18"/>
  <c r="IV18" i="18"/>
  <c r="IU18" i="18"/>
  <c r="IT18" i="18"/>
  <c r="IS18" i="18"/>
  <c r="IR18" i="18"/>
  <c r="IQ18" i="18"/>
  <c r="IP18" i="18"/>
  <c r="IO18" i="18"/>
  <c r="IN18" i="18"/>
  <c r="IM18" i="18"/>
  <c r="IL18" i="18"/>
  <c r="IK18" i="18"/>
  <c r="IJ18" i="18"/>
  <c r="II18" i="18"/>
  <c r="IH18" i="18"/>
  <c r="IG18" i="18"/>
  <c r="IF18" i="18"/>
  <c r="GR18" i="18"/>
  <c r="GQ18" i="18"/>
  <c r="GP18" i="18"/>
  <c r="GO18" i="18"/>
  <c r="GN18" i="18"/>
  <c r="GM18" i="18"/>
  <c r="GE18" i="18"/>
  <c r="AT18" i="18"/>
  <c r="AS18" i="18"/>
  <c r="AR18" i="18"/>
  <c r="AQ18" i="18"/>
  <c r="JO17" i="18"/>
  <c r="JN17" i="18"/>
  <c r="JM17" i="18"/>
  <c r="JL17" i="18"/>
  <c r="JK17" i="18"/>
  <c r="JJ17" i="18"/>
  <c r="JI17" i="18"/>
  <c r="JH17" i="18"/>
  <c r="JG17" i="18"/>
  <c r="JF17" i="18"/>
  <c r="JE17" i="18"/>
  <c r="JD17" i="18"/>
  <c r="JC17" i="18"/>
  <c r="JB17" i="18"/>
  <c r="JA17" i="18"/>
  <c r="IZ17" i="18"/>
  <c r="IY17" i="18"/>
  <c r="IX17" i="18"/>
  <c r="IW17" i="18"/>
  <c r="IV17" i="18"/>
  <c r="IU17" i="18"/>
  <c r="IT17" i="18"/>
  <c r="IS17" i="18"/>
  <c r="IR17" i="18"/>
  <c r="IQ17" i="18"/>
  <c r="IP17" i="18"/>
  <c r="IO17" i="18"/>
  <c r="IN17" i="18"/>
  <c r="IM17" i="18"/>
  <c r="IL17" i="18"/>
  <c r="IK17" i="18"/>
  <c r="IJ17" i="18"/>
  <c r="II17" i="18"/>
  <c r="IH17" i="18"/>
  <c r="IG17" i="18"/>
  <c r="IF17" i="18"/>
  <c r="GR17" i="18"/>
  <c r="GQ17" i="18"/>
  <c r="GP17" i="18"/>
  <c r="GO17" i="18"/>
  <c r="GN17" i="18"/>
  <c r="GM17" i="18"/>
  <c r="GL17" i="18"/>
  <c r="GE17" i="18"/>
  <c r="AT17" i="18"/>
  <c r="AS17" i="18"/>
  <c r="AR17" i="18"/>
  <c r="AQ17" i="18"/>
  <c r="JO16" i="18"/>
  <c r="JN16" i="18"/>
  <c r="JM16" i="18"/>
  <c r="JL16" i="18"/>
  <c r="JK16" i="18"/>
  <c r="JJ16" i="18"/>
  <c r="JI16" i="18"/>
  <c r="JH16" i="18"/>
  <c r="JG16" i="18"/>
  <c r="JF16" i="18"/>
  <c r="JE16" i="18"/>
  <c r="JD16" i="18"/>
  <c r="JC16" i="18"/>
  <c r="JB16" i="18"/>
  <c r="JA16" i="18"/>
  <c r="IZ16" i="18"/>
  <c r="IY16" i="18"/>
  <c r="IX16" i="18"/>
  <c r="IW16" i="18"/>
  <c r="IV16" i="18"/>
  <c r="IU16" i="18"/>
  <c r="IT16" i="18"/>
  <c r="IS16" i="18"/>
  <c r="IR16" i="18"/>
  <c r="IQ16" i="18"/>
  <c r="IP16" i="18"/>
  <c r="IO16" i="18"/>
  <c r="IN16" i="18"/>
  <c r="IM16" i="18"/>
  <c r="IL16" i="18"/>
  <c r="IK16" i="18"/>
  <c r="IJ16" i="18"/>
  <c r="II16" i="18"/>
  <c r="JT16" i="18" s="1"/>
  <c r="IH16" i="18"/>
  <c r="IG16" i="18"/>
  <c r="IF16" i="18"/>
  <c r="GR16" i="18"/>
  <c r="GQ16" i="18"/>
  <c r="GP16" i="18"/>
  <c r="GO16" i="18"/>
  <c r="GN16" i="18"/>
  <c r="GM16" i="18"/>
  <c r="GL16" i="18"/>
  <c r="GE16" i="18"/>
  <c r="AT16" i="18"/>
  <c r="AS16" i="18"/>
  <c r="AR16" i="18"/>
  <c r="AQ16" i="18"/>
  <c r="JO15" i="18"/>
  <c r="JN15" i="18"/>
  <c r="JM15" i="18"/>
  <c r="JL15" i="18"/>
  <c r="JK15" i="18"/>
  <c r="JJ15" i="18"/>
  <c r="JI15" i="18"/>
  <c r="JH15" i="18"/>
  <c r="JG15" i="18"/>
  <c r="JF15" i="18"/>
  <c r="JE15" i="18"/>
  <c r="JD15" i="18"/>
  <c r="JC15" i="18"/>
  <c r="JB15" i="18"/>
  <c r="JA15" i="18"/>
  <c r="IZ15" i="18"/>
  <c r="IY15" i="18"/>
  <c r="IX15" i="18"/>
  <c r="IW15" i="18"/>
  <c r="IV15" i="18"/>
  <c r="IU15" i="18"/>
  <c r="IT15" i="18"/>
  <c r="IS15" i="18"/>
  <c r="IR15" i="18"/>
  <c r="IQ15" i="18"/>
  <c r="IP15" i="18"/>
  <c r="IO15" i="18"/>
  <c r="IN15" i="18"/>
  <c r="IM15" i="18"/>
  <c r="IL15" i="18"/>
  <c r="IK15" i="18"/>
  <c r="IJ15" i="18"/>
  <c r="II15" i="18"/>
  <c r="IH15" i="18"/>
  <c r="IG15" i="18"/>
  <c r="IF15" i="18"/>
  <c r="GR15" i="18"/>
  <c r="GQ15" i="18"/>
  <c r="GP15" i="18"/>
  <c r="GO15" i="18"/>
  <c r="GN15" i="18"/>
  <c r="GM15" i="18"/>
  <c r="GL15" i="18"/>
  <c r="GE15" i="18"/>
  <c r="AT15" i="18"/>
  <c r="AS15" i="18"/>
  <c r="AR15" i="18"/>
  <c r="AQ15" i="18"/>
  <c r="JO14" i="18"/>
  <c r="JN14" i="18"/>
  <c r="JM14" i="18"/>
  <c r="JL14" i="18"/>
  <c r="JK14" i="18"/>
  <c r="JJ14" i="18"/>
  <c r="JI14" i="18"/>
  <c r="JH14" i="18"/>
  <c r="JG14" i="18"/>
  <c r="JF14" i="18"/>
  <c r="JE14" i="18"/>
  <c r="JD14" i="18"/>
  <c r="JC14" i="18"/>
  <c r="JB14" i="18"/>
  <c r="JA14" i="18"/>
  <c r="IZ14" i="18"/>
  <c r="IY14" i="18"/>
  <c r="IX14" i="18"/>
  <c r="IW14" i="18"/>
  <c r="IV14" i="18"/>
  <c r="IU14" i="18"/>
  <c r="IT14" i="18"/>
  <c r="IS14" i="18"/>
  <c r="IR14" i="18"/>
  <c r="IQ14" i="18"/>
  <c r="IP14" i="18"/>
  <c r="IO14" i="18"/>
  <c r="IN14" i="18"/>
  <c r="IM14" i="18"/>
  <c r="IL14" i="18"/>
  <c r="IK14" i="18"/>
  <c r="IJ14" i="18"/>
  <c r="II14" i="18"/>
  <c r="IH14" i="18"/>
  <c r="IG14" i="18"/>
  <c r="IF14" i="18"/>
  <c r="GR14" i="18"/>
  <c r="GQ14" i="18"/>
  <c r="GP14" i="18"/>
  <c r="GO14" i="18"/>
  <c r="GN14" i="18"/>
  <c r="GM14" i="18"/>
  <c r="GL14" i="18"/>
  <c r="GE14" i="18"/>
  <c r="AT14" i="18"/>
  <c r="AS14" i="18"/>
  <c r="AR14" i="18"/>
  <c r="AQ14" i="18"/>
  <c r="JM13" i="18"/>
  <c r="JE13" i="18"/>
  <c r="IW13" i="18"/>
  <c r="IO13" i="18"/>
  <c r="IG13" i="18"/>
  <c r="GL13" i="18"/>
  <c r="GE13" i="18"/>
  <c r="AT13" i="18"/>
  <c r="AS13" i="18"/>
  <c r="AR13" i="18"/>
  <c r="AQ13" i="18"/>
  <c r="JO12" i="18"/>
  <c r="JN12" i="18"/>
  <c r="JM12" i="18"/>
  <c r="JL12" i="18"/>
  <c r="JK12" i="18"/>
  <c r="JJ12" i="18"/>
  <c r="JI12" i="18"/>
  <c r="JH12" i="18"/>
  <c r="JG12" i="18"/>
  <c r="JF12" i="18"/>
  <c r="JE12" i="18"/>
  <c r="JD12" i="18"/>
  <c r="JC12" i="18"/>
  <c r="JB12" i="18"/>
  <c r="JA12" i="18"/>
  <c r="IZ12" i="18"/>
  <c r="IY12" i="18"/>
  <c r="IX12" i="18"/>
  <c r="IW12" i="18"/>
  <c r="IV12" i="18"/>
  <c r="IU12" i="18"/>
  <c r="IT12" i="18"/>
  <c r="IS12" i="18"/>
  <c r="IR12" i="18"/>
  <c r="IQ12" i="18"/>
  <c r="IP12" i="18"/>
  <c r="IO12" i="18"/>
  <c r="IN12" i="18"/>
  <c r="IM12" i="18"/>
  <c r="IL12" i="18"/>
  <c r="IK12" i="18"/>
  <c r="IJ12" i="18"/>
  <c r="II12" i="18"/>
  <c r="IH12" i="18"/>
  <c r="IG12" i="18"/>
  <c r="IF12" i="18"/>
  <c r="GR12" i="18"/>
  <c r="GQ12" i="18"/>
  <c r="GP12" i="18"/>
  <c r="GO12" i="18"/>
  <c r="GN12" i="18"/>
  <c r="GM12" i="18"/>
  <c r="GL12" i="18"/>
  <c r="GE12" i="18"/>
  <c r="AT12" i="18"/>
  <c r="AS12" i="18"/>
  <c r="AR12" i="18"/>
  <c r="AQ12" i="18"/>
  <c r="JO11" i="18"/>
  <c r="JN11" i="18"/>
  <c r="JM11" i="18"/>
  <c r="JL11" i="18"/>
  <c r="JK11" i="18"/>
  <c r="JJ11" i="18"/>
  <c r="JI11" i="18"/>
  <c r="JH11" i="18"/>
  <c r="JG11" i="18"/>
  <c r="JF11" i="18"/>
  <c r="JE11" i="18"/>
  <c r="JD11" i="18"/>
  <c r="JC11" i="18"/>
  <c r="JB11" i="18"/>
  <c r="JA11" i="18"/>
  <c r="IZ11" i="18"/>
  <c r="IY11" i="18"/>
  <c r="IX11" i="18"/>
  <c r="IW11" i="18"/>
  <c r="IV11" i="18"/>
  <c r="IU11" i="18"/>
  <c r="IT11" i="18"/>
  <c r="IS11" i="18"/>
  <c r="IR11" i="18"/>
  <c r="IQ11" i="18"/>
  <c r="IP11" i="18"/>
  <c r="IO11" i="18"/>
  <c r="IN11" i="18"/>
  <c r="IM11" i="18"/>
  <c r="IL11" i="18"/>
  <c r="IK11" i="18"/>
  <c r="IJ11" i="18"/>
  <c r="II11" i="18"/>
  <c r="IH11" i="18"/>
  <c r="IG11" i="18"/>
  <c r="IF11" i="18"/>
  <c r="GR11" i="18"/>
  <c r="GQ11" i="18"/>
  <c r="GP11" i="18"/>
  <c r="GO11" i="18"/>
  <c r="GN11" i="18"/>
  <c r="GM11" i="18"/>
  <c r="GL11" i="18"/>
  <c r="GE11" i="18"/>
  <c r="AT11" i="18"/>
  <c r="AS11" i="18"/>
  <c r="AR11" i="18"/>
  <c r="AQ11" i="18"/>
  <c r="JO10" i="18"/>
  <c r="JN10" i="18"/>
  <c r="JM10" i="18"/>
  <c r="JL10" i="18"/>
  <c r="JK10" i="18"/>
  <c r="JJ10" i="18"/>
  <c r="JI10" i="18"/>
  <c r="JH10" i="18"/>
  <c r="JG10" i="18"/>
  <c r="JF10" i="18"/>
  <c r="JE10" i="18"/>
  <c r="JD10" i="18"/>
  <c r="JC10" i="18"/>
  <c r="JB10" i="18"/>
  <c r="JA10" i="18"/>
  <c r="IZ10" i="18"/>
  <c r="IY10" i="18"/>
  <c r="IX10" i="18"/>
  <c r="IW10" i="18"/>
  <c r="IV10" i="18"/>
  <c r="IU10" i="18"/>
  <c r="IT10" i="18"/>
  <c r="IS10" i="18"/>
  <c r="IR10" i="18"/>
  <c r="IQ10" i="18"/>
  <c r="IP10" i="18"/>
  <c r="IO10" i="18"/>
  <c r="IN10" i="18"/>
  <c r="IM10" i="18"/>
  <c r="IL10" i="18"/>
  <c r="IK10" i="18"/>
  <c r="IJ10" i="18"/>
  <c r="II10" i="18"/>
  <c r="IH10" i="18"/>
  <c r="IG10" i="18"/>
  <c r="IF10" i="18"/>
  <c r="GR10" i="18"/>
  <c r="GQ10" i="18"/>
  <c r="GP10" i="18"/>
  <c r="GO10" i="18"/>
  <c r="GN10" i="18"/>
  <c r="GM10" i="18"/>
  <c r="GL10" i="18"/>
  <c r="GE10" i="18"/>
  <c r="AT10" i="18"/>
  <c r="AS10" i="18"/>
  <c r="AR10" i="18"/>
  <c r="AQ10" i="18"/>
  <c r="JO9" i="18"/>
  <c r="JN9" i="18"/>
  <c r="JM9" i="18"/>
  <c r="JL9" i="18"/>
  <c r="JK9" i="18"/>
  <c r="JJ9" i="18"/>
  <c r="JI9" i="18"/>
  <c r="JH9" i="18"/>
  <c r="JG9" i="18"/>
  <c r="JF9" i="18"/>
  <c r="JE9" i="18"/>
  <c r="JD9" i="18"/>
  <c r="JC9" i="18"/>
  <c r="JB9" i="18"/>
  <c r="JA9" i="18"/>
  <c r="IZ9" i="18"/>
  <c r="IY9" i="18"/>
  <c r="IX9" i="18"/>
  <c r="IW9" i="18"/>
  <c r="IV9" i="18"/>
  <c r="IU9" i="18"/>
  <c r="IT9" i="18"/>
  <c r="IS9" i="18"/>
  <c r="IR9" i="18"/>
  <c r="IQ9" i="18"/>
  <c r="IP9" i="18"/>
  <c r="IO9" i="18"/>
  <c r="IN9" i="18"/>
  <c r="IM9" i="18"/>
  <c r="IL9" i="18"/>
  <c r="IK9" i="18"/>
  <c r="IJ9" i="18"/>
  <c r="II9" i="18"/>
  <c r="IH9" i="18"/>
  <c r="IG9" i="18"/>
  <c r="IF9" i="18"/>
  <c r="GR9" i="18"/>
  <c r="GQ9" i="18"/>
  <c r="GP9" i="18"/>
  <c r="GO9" i="18"/>
  <c r="GN9" i="18"/>
  <c r="GM9" i="18"/>
  <c r="GL9" i="18"/>
  <c r="GE9" i="18"/>
  <c r="AT9" i="18"/>
  <c r="AS9" i="18"/>
  <c r="AR9" i="18"/>
  <c r="AQ9" i="18"/>
  <c r="JO8" i="18"/>
  <c r="JN8" i="18"/>
  <c r="JM8" i="18"/>
  <c r="JL8" i="18"/>
  <c r="JK8" i="18"/>
  <c r="JJ8" i="18"/>
  <c r="JI8" i="18"/>
  <c r="JH8" i="18"/>
  <c r="JG8" i="18"/>
  <c r="JF8" i="18"/>
  <c r="JE8" i="18"/>
  <c r="JD8" i="18"/>
  <c r="JC8" i="18"/>
  <c r="JB8" i="18"/>
  <c r="JA8" i="18"/>
  <c r="IZ8" i="18"/>
  <c r="IY8" i="18"/>
  <c r="IX8" i="18"/>
  <c r="IW8" i="18"/>
  <c r="IV8" i="18"/>
  <c r="IU8" i="18"/>
  <c r="IT8" i="18"/>
  <c r="IS8" i="18"/>
  <c r="IR8" i="18"/>
  <c r="IQ8" i="18"/>
  <c r="IP8" i="18"/>
  <c r="IO8" i="18"/>
  <c r="IN8" i="18"/>
  <c r="IM8" i="18"/>
  <c r="IL8" i="18"/>
  <c r="IK8" i="18"/>
  <c r="IJ8" i="18"/>
  <c r="II8" i="18"/>
  <c r="IH8" i="18"/>
  <c r="IG8" i="18"/>
  <c r="IF8" i="18"/>
  <c r="GR8" i="18"/>
  <c r="GQ8" i="18"/>
  <c r="GP8" i="18"/>
  <c r="GO8" i="18"/>
  <c r="GN8" i="18"/>
  <c r="GM8" i="18"/>
  <c r="GL8" i="18"/>
  <c r="GE8" i="18"/>
  <c r="AT8" i="18"/>
  <c r="AS8" i="18"/>
  <c r="AR8" i="18"/>
  <c r="AQ8" i="18"/>
  <c r="JO7" i="18"/>
  <c r="JN7" i="18"/>
  <c r="JM7" i="18"/>
  <c r="JL7" i="18"/>
  <c r="JK7" i="18"/>
  <c r="JJ7" i="18"/>
  <c r="JI7" i="18"/>
  <c r="JH7" i="18"/>
  <c r="JG7" i="18"/>
  <c r="JF7" i="18"/>
  <c r="JE7" i="18"/>
  <c r="JD7" i="18"/>
  <c r="JC7" i="18"/>
  <c r="JB7" i="18"/>
  <c r="JA7" i="18"/>
  <c r="IZ7" i="18"/>
  <c r="IY7" i="18"/>
  <c r="IX7" i="18"/>
  <c r="IW7" i="18"/>
  <c r="IV7" i="18"/>
  <c r="IU7" i="18"/>
  <c r="IT7" i="18"/>
  <c r="IS7" i="18"/>
  <c r="IR7" i="18"/>
  <c r="IQ7" i="18"/>
  <c r="IP7" i="18"/>
  <c r="IO7" i="18"/>
  <c r="IN7" i="18"/>
  <c r="IM7" i="18"/>
  <c r="IL7" i="18"/>
  <c r="IK7" i="18"/>
  <c r="IJ7" i="18"/>
  <c r="II7" i="18"/>
  <c r="IH7" i="18"/>
  <c r="IG7" i="18"/>
  <c r="IF7" i="18"/>
  <c r="GR7" i="18"/>
  <c r="GQ7" i="18"/>
  <c r="GP7" i="18"/>
  <c r="GO7" i="18"/>
  <c r="GN7" i="18"/>
  <c r="GM7" i="18"/>
  <c r="GL7" i="18"/>
  <c r="GE7" i="18"/>
  <c r="AT7" i="18"/>
  <c r="AS7" i="18"/>
  <c r="AR7" i="18"/>
  <c r="AQ7" i="18"/>
  <c r="JO6" i="18"/>
  <c r="JN6" i="18"/>
  <c r="JM6" i="18"/>
  <c r="JL6" i="18"/>
  <c r="JK6" i="18"/>
  <c r="JJ6" i="18"/>
  <c r="JI6" i="18"/>
  <c r="JH6" i="18"/>
  <c r="JG6" i="18"/>
  <c r="JF6" i="18"/>
  <c r="JE6" i="18"/>
  <c r="JD6" i="18"/>
  <c r="JC6" i="18"/>
  <c r="JB6" i="18"/>
  <c r="JA6" i="18"/>
  <c r="IZ6" i="18"/>
  <c r="IY6" i="18"/>
  <c r="IX6" i="18"/>
  <c r="IW6" i="18"/>
  <c r="IV6" i="18"/>
  <c r="IU6" i="18"/>
  <c r="IT6" i="18"/>
  <c r="IS6" i="18"/>
  <c r="IR6" i="18"/>
  <c r="IQ6" i="18"/>
  <c r="IP6" i="18"/>
  <c r="IO6" i="18"/>
  <c r="IN6" i="18"/>
  <c r="IM6" i="18"/>
  <c r="IL6" i="18"/>
  <c r="IK6" i="18"/>
  <c r="IJ6" i="18"/>
  <c r="II6" i="18"/>
  <c r="IH6" i="18"/>
  <c r="IG6" i="18"/>
  <c r="IF6" i="18"/>
  <c r="GR6" i="18"/>
  <c r="GQ6" i="18"/>
  <c r="GP6" i="18"/>
  <c r="GO6" i="18"/>
  <c r="GN6" i="18"/>
  <c r="GM6" i="18"/>
  <c r="GL6" i="18"/>
  <c r="GE6" i="18"/>
  <c r="AT6" i="18"/>
  <c r="AS6" i="18"/>
  <c r="AR6" i="18"/>
  <c r="AQ6" i="18"/>
  <c r="JN5" i="18"/>
  <c r="JF5" i="18"/>
  <c r="IX5" i="18"/>
  <c r="IP5" i="18"/>
  <c r="IH5" i="18"/>
  <c r="GM5" i="18"/>
  <c r="GE5" i="18"/>
  <c r="AT5" i="18"/>
  <c r="AS5" i="18"/>
  <c r="AR5" i="18"/>
  <c r="AQ5" i="18"/>
  <c r="JO4" i="18"/>
  <c r="JN4" i="18"/>
  <c r="JM4" i="18"/>
  <c r="JL4" i="18"/>
  <c r="JK4" i="18"/>
  <c r="JJ4" i="18"/>
  <c r="JI4" i="18"/>
  <c r="JH4" i="18"/>
  <c r="JG4" i="18"/>
  <c r="JF4" i="18"/>
  <c r="JE4" i="18"/>
  <c r="JD4" i="18"/>
  <c r="JC4" i="18"/>
  <c r="JB4" i="18"/>
  <c r="JA4" i="18"/>
  <c r="IZ4" i="18"/>
  <c r="IY4" i="18"/>
  <c r="IX4" i="18"/>
  <c r="IW4" i="18"/>
  <c r="IV4" i="18"/>
  <c r="IU4" i="18"/>
  <c r="IT4" i="18"/>
  <c r="IS4" i="18"/>
  <c r="IR4" i="18"/>
  <c r="IQ4" i="18"/>
  <c r="IP4" i="18"/>
  <c r="IO4" i="18"/>
  <c r="IN4" i="18"/>
  <c r="IM4" i="18"/>
  <c r="IL4" i="18"/>
  <c r="IK4" i="18"/>
  <c r="IJ4" i="18"/>
  <c r="II4" i="18"/>
  <c r="IH4" i="18"/>
  <c r="IG4" i="18"/>
  <c r="IF4" i="18"/>
  <c r="GR4" i="18"/>
  <c r="GQ4" i="18"/>
  <c r="GP4" i="18"/>
  <c r="GO4" i="18"/>
  <c r="GN4" i="18"/>
  <c r="GM4" i="18"/>
  <c r="GL4" i="18"/>
  <c r="GE4" i="18"/>
  <c r="AT4" i="18"/>
  <c r="AS4" i="18"/>
  <c r="AR4" i="18"/>
  <c r="AQ4" i="18"/>
  <c r="JO3" i="18"/>
  <c r="JN3" i="18"/>
  <c r="JM3" i="18"/>
  <c r="JL3" i="18"/>
  <c r="JK3" i="18"/>
  <c r="JJ3" i="18"/>
  <c r="JI3" i="18"/>
  <c r="JH3" i="18"/>
  <c r="JG3" i="18"/>
  <c r="JF3" i="18"/>
  <c r="JE3" i="18"/>
  <c r="JD3" i="18"/>
  <c r="JC3" i="18"/>
  <c r="JB3" i="18"/>
  <c r="JA3" i="18"/>
  <c r="IZ3" i="18"/>
  <c r="IY3" i="18"/>
  <c r="IX3" i="18"/>
  <c r="IW3" i="18"/>
  <c r="IV3" i="18"/>
  <c r="IU3" i="18"/>
  <c r="IT3" i="18"/>
  <c r="IS3" i="18"/>
  <c r="IR3" i="18"/>
  <c r="IQ3" i="18"/>
  <c r="IP3" i="18"/>
  <c r="IO3" i="18"/>
  <c r="IN3" i="18"/>
  <c r="IM3" i="18"/>
  <c r="IL3" i="18"/>
  <c r="IK3" i="18"/>
  <c r="IJ3" i="18"/>
  <c r="II3" i="18"/>
  <c r="IH3" i="18"/>
  <c r="IG3" i="18"/>
  <c r="IF3" i="18"/>
  <c r="GR3" i="18"/>
  <c r="GQ3" i="18"/>
  <c r="GP3" i="18"/>
  <c r="GO3" i="18"/>
  <c r="GN3" i="18"/>
  <c r="GM3" i="18"/>
  <c r="GE3" i="18"/>
  <c r="AT3" i="18"/>
  <c r="AS3" i="18"/>
  <c r="AR3" i="18"/>
  <c r="AQ3" i="18"/>
  <c r="JO2" i="18"/>
  <c r="JN2" i="18"/>
  <c r="JM2" i="18"/>
  <c r="JL2" i="18"/>
  <c r="JK2" i="18"/>
  <c r="JJ2" i="18"/>
  <c r="JI2" i="18"/>
  <c r="JH2" i="18"/>
  <c r="JG2" i="18"/>
  <c r="JF2" i="18"/>
  <c r="JE2" i="18"/>
  <c r="JD2" i="18"/>
  <c r="JC2" i="18"/>
  <c r="JB2" i="18"/>
  <c r="JA2" i="18"/>
  <c r="IZ2" i="18"/>
  <c r="IY2" i="18"/>
  <c r="IX2" i="18"/>
  <c r="IW2" i="18"/>
  <c r="IV2" i="18"/>
  <c r="IU2" i="18"/>
  <c r="IT2" i="18"/>
  <c r="IS2" i="18"/>
  <c r="IR2" i="18"/>
  <c r="IQ2" i="18"/>
  <c r="IP2" i="18"/>
  <c r="IO2" i="18"/>
  <c r="IN2" i="18"/>
  <c r="IM2" i="18"/>
  <c r="IL2" i="18"/>
  <c r="IK2" i="18"/>
  <c r="IJ2" i="18"/>
  <c r="II2" i="18"/>
  <c r="IH2" i="18"/>
  <c r="IG2" i="18"/>
  <c r="GR2" i="18"/>
  <c r="GQ2" i="18"/>
  <c r="GP2" i="18"/>
  <c r="GO2" i="18"/>
  <c r="GN2" i="18"/>
  <c r="GE2" i="18"/>
  <c r="AT2" i="18"/>
  <c r="AS2" i="18"/>
  <c r="AR2" i="18"/>
  <c r="AQ2" i="18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X32" i="12"/>
  <c r="JO2" i="16"/>
  <c r="JO3" i="16"/>
  <c r="JO4" i="16"/>
  <c r="JO5" i="16"/>
  <c r="JO6" i="16"/>
  <c r="JO7" i="16"/>
  <c r="JO8" i="16"/>
  <c r="JO9" i="16"/>
  <c r="JO10" i="16"/>
  <c r="JO11" i="16"/>
  <c r="JO12" i="16"/>
  <c r="JO13" i="16"/>
  <c r="JO14" i="16"/>
  <c r="JO15" i="16"/>
  <c r="JO16" i="16"/>
  <c r="JO17" i="16"/>
  <c r="JO18" i="16"/>
  <c r="JO19" i="16"/>
  <c r="JO20" i="16"/>
  <c r="JN2" i="16"/>
  <c r="JN3" i="16"/>
  <c r="JN4" i="16"/>
  <c r="JN5" i="16"/>
  <c r="JN6" i="16"/>
  <c r="JN7" i="16"/>
  <c r="JN8" i="16"/>
  <c r="JN9" i="16"/>
  <c r="JN10" i="16"/>
  <c r="JN11" i="16"/>
  <c r="JN12" i="16"/>
  <c r="JN13" i="16"/>
  <c r="JN14" i="16"/>
  <c r="JN15" i="16"/>
  <c r="JN16" i="16"/>
  <c r="JN17" i="16"/>
  <c r="JN18" i="16"/>
  <c r="JN19" i="16"/>
  <c r="JN20" i="16"/>
  <c r="JM2" i="16"/>
  <c r="JM3" i="16"/>
  <c r="JM4" i="16"/>
  <c r="JM5" i="16"/>
  <c r="JM6" i="16"/>
  <c r="JM7" i="16"/>
  <c r="JM8" i="16"/>
  <c r="JM9" i="16"/>
  <c r="JM10" i="16"/>
  <c r="JM11" i="16"/>
  <c r="JM12" i="16"/>
  <c r="JM13" i="16"/>
  <c r="JM14" i="16"/>
  <c r="JM15" i="16"/>
  <c r="JM16" i="16"/>
  <c r="JM17" i="16"/>
  <c r="JM18" i="16"/>
  <c r="JM19" i="16"/>
  <c r="JM20" i="16"/>
  <c r="JL2" i="16"/>
  <c r="JL3" i="16"/>
  <c r="JV3" i="16" s="1"/>
  <c r="JL4" i="16"/>
  <c r="JL5" i="16"/>
  <c r="JL6" i="16"/>
  <c r="JL7" i="16"/>
  <c r="JV7" i="16" s="1"/>
  <c r="JL8" i="16"/>
  <c r="JL9" i="16"/>
  <c r="JL10" i="16"/>
  <c r="JL11" i="16"/>
  <c r="JL12" i="16"/>
  <c r="JL13" i="16"/>
  <c r="JL14" i="16"/>
  <c r="JL15" i="16"/>
  <c r="JV15" i="16" s="1"/>
  <c r="JL16" i="16"/>
  <c r="JL17" i="16"/>
  <c r="JL18" i="16"/>
  <c r="JL19" i="16"/>
  <c r="JV19" i="16" s="1"/>
  <c r="JL20" i="16"/>
  <c r="JK2" i="16"/>
  <c r="JK3" i="16"/>
  <c r="JK4" i="16"/>
  <c r="JK5" i="16"/>
  <c r="JK6" i="16"/>
  <c r="JK7" i="16"/>
  <c r="JK8" i="16"/>
  <c r="JK9" i="16"/>
  <c r="JK10" i="16"/>
  <c r="JK11" i="16"/>
  <c r="JK12" i="16"/>
  <c r="JK13" i="16"/>
  <c r="JK14" i="16"/>
  <c r="JK15" i="16"/>
  <c r="JK16" i="16"/>
  <c r="JK17" i="16"/>
  <c r="JK18" i="16"/>
  <c r="JK19" i="16"/>
  <c r="JK20" i="16"/>
  <c r="JJ2" i="16"/>
  <c r="JJ3" i="16"/>
  <c r="JJ4" i="16"/>
  <c r="JJ5" i="16"/>
  <c r="JJ6" i="16"/>
  <c r="JJ7" i="16"/>
  <c r="JJ8" i="16"/>
  <c r="JJ9" i="16"/>
  <c r="JJ10" i="16"/>
  <c r="JJ11" i="16"/>
  <c r="JJ12" i="16"/>
  <c r="JJ13" i="16"/>
  <c r="JJ14" i="16"/>
  <c r="JJ15" i="16"/>
  <c r="JJ16" i="16"/>
  <c r="JJ17" i="16"/>
  <c r="JJ18" i="16"/>
  <c r="JJ19" i="16"/>
  <c r="JJ20" i="16"/>
  <c r="JI2" i="16"/>
  <c r="JI3" i="16"/>
  <c r="JI4" i="16"/>
  <c r="JI5" i="16"/>
  <c r="JI6" i="16"/>
  <c r="JI7" i="16"/>
  <c r="JI8" i="16"/>
  <c r="JI9" i="16"/>
  <c r="JI10" i="16"/>
  <c r="JI11" i="16"/>
  <c r="JI12" i="16"/>
  <c r="JI13" i="16"/>
  <c r="JI14" i="16"/>
  <c r="JI15" i="16"/>
  <c r="JI16" i="16"/>
  <c r="JI17" i="16"/>
  <c r="JI18" i="16"/>
  <c r="JI19" i="16"/>
  <c r="JI20" i="16"/>
  <c r="JH2" i="16"/>
  <c r="JH3" i="16"/>
  <c r="JH4" i="16"/>
  <c r="JH5" i="16"/>
  <c r="JH6" i="16"/>
  <c r="JH7" i="16"/>
  <c r="JH8" i="16"/>
  <c r="JH9" i="16"/>
  <c r="JR9" i="16" s="1"/>
  <c r="JH10" i="16"/>
  <c r="JH11" i="16"/>
  <c r="JH12" i="16"/>
  <c r="JH13" i="16"/>
  <c r="JH14" i="16"/>
  <c r="JH15" i="16"/>
  <c r="JH16" i="16"/>
  <c r="JH17" i="16"/>
  <c r="JR17" i="16" s="1"/>
  <c r="JH18" i="16"/>
  <c r="JH19" i="16"/>
  <c r="JH20" i="16"/>
  <c r="JG2" i="16"/>
  <c r="JG3" i="16"/>
  <c r="JG4" i="16"/>
  <c r="JG5" i="16"/>
  <c r="JG6" i="16"/>
  <c r="JG7" i="16"/>
  <c r="JG8" i="16"/>
  <c r="JG9" i="16"/>
  <c r="JG10" i="16"/>
  <c r="JG11" i="16"/>
  <c r="JG12" i="16"/>
  <c r="JG13" i="16"/>
  <c r="JG14" i="16"/>
  <c r="JG15" i="16"/>
  <c r="JG16" i="16"/>
  <c r="JG17" i="16"/>
  <c r="JG18" i="16"/>
  <c r="JG19" i="16"/>
  <c r="JG20" i="16"/>
  <c r="JF2" i="16"/>
  <c r="JF3" i="16"/>
  <c r="JF4" i="16"/>
  <c r="JF5" i="16"/>
  <c r="JF6" i="16"/>
  <c r="JF7" i="16"/>
  <c r="JF8" i="16"/>
  <c r="JF9" i="16"/>
  <c r="JF10" i="16"/>
  <c r="JF11" i="16"/>
  <c r="JF12" i="16"/>
  <c r="JF13" i="16"/>
  <c r="JF14" i="16"/>
  <c r="JF15" i="16"/>
  <c r="JF16" i="16"/>
  <c r="JF17" i="16"/>
  <c r="JF18" i="16"/>
  <c r="JF19" i="16"/>
  <c r="JF20" i="16"/>
  <c r="JE2" i="16"/>
  <c r="JE3" i="16"/>
  <c r="JE4" i="16"/>
  <c r="JE5" i="16"/>
  <c r="JE6" i="16"/>
  <c r="JE7" i="16"/>
  <c r="JE8" i="16"/>
  <c r="JE9" i="16"/>
  <c r="JE10" i="16"/>
  <c r="JE11" i="16"/>
  <c r="JE12" i="16"/>
  <c r="JE13" i="16"/>
  <c r="JE14" i="16"/>
  <c r="JE15" i="16"/>
  <c r="JE16" i="16"/>
  <c r="JE17" i="16"/>
  <c r="JE18" i="16"/>
  <c r="JE19" i="16"/>
  <c r="JE20" i="16"/>
  <c r="JD2" i="16"/>
  <c r="JD3" i="16"/>
  <c r="JD4" i="16"/>
  <c r="JD5" i="16"/>
  <c r="JD6" i="16"/>
  <c r="JD7" i="16"/>
  <c r="JD8" i="16"/>
  <c r="JD9" i="16"/>
  <c r="JD10" i="16"/>
  <c r="JD11" i="16"/>
  <c r="JD12" i="16"/>
  <c r="JD13" i="16"/>
  <c r="JD14" i="16"/>
  <c r="JD15" i="16"/>
  <c r="JD16" i="16"/>
  <c r="JD17" i="16"/>
  <c r="JD18" i="16"/>
  <c r="JD19" i="16"/>
  <c r="JD20" i="16"/>
  <c r="JC2" i="16"/>
  <c r="JC3" i="16"/>
  <c r="JC4" i="16"/>
  <c r="JC5" i="16"/>
  <c r="JC6" i="16"/>
  <c r="JC7" i="16"/>
  <c r="JC8" i="16"/>
  <c r="JC9" i="16"/>
  <c r="JC10" i="16"/>
  <c r="JC11" i="16"/>
  <c r="JC12" i="16"/>
  <c r="JC13" i="16"/>
  <c r="JC14" i="16"/>
  <c r="JC15" i="16"/>
  <c r="JC16" i="16"/>
  <c r="JC17" i="16"/>
  <c r="JC18" i="16"/>
  <c r="JC19" i="16"/>
  <c r="JC20" i="16"/>
  <c r="JB2" i="16"/>
  <c r="JB3" i="16"/>
  <c r="JB4" i="16"/>
  <c r="JB5" i="16"/>
  <c r="JB6" i="16"/>
  <c r="JB7" i="16"/>
  <c r="JB8" i="16"/>
  <c r="JB9" i="16"/>
  <c r="JB10" i="16"/>
  <c r="JB11" i="16"/>
  <c r="JB12" i="16"/>
  <c r="JB13" i="16"/>
  <c r="JB14" i="16"/>
  <c r="JB15" i="16"/>
  <c r="JB16" i="16"/>
  <c r="JB17" i="16"/>
  <c r="JB18" i="16"/>
  <c r="JB19" i="16"/>
  <c r="JB20" i="16"/>
  <c r="JA2" i="16"/>
  <c r="JA3" i="16"/>
  <c r="JA4" i="16"/>
  <c r="JA5" i="16"/>
  <c r="JA6" i="16"/>
  <c r="JA7" i="16"/>
  <c r="JA8" i="16"/>
  <c r="JA9" i="16"/>
  <c r="JA10" i="16"/>
  <c r="JA11" i="16"/>
  <c r="JA12" i="16"/>
  <c r="JA13" i="16"/>
  <c r="JA14" i="16"/>
  <c r="JA15" i="16"/>
  <c r="JA16" i="16"/>
  <c r="JA17" i="16"/>
  <c r="JA18" i="16"/>
  <c r="JA19" i="16"/>
  <c r="JA20" i="16"/>
  <c r="IZ2" i="16"/>
  <c r="IZ3" i="16"/>
  <c r="IZ4" i="16"/>
  <c r="IZ5" i="16"/>
  <c r="IZ6" i="16"/>
  <c r="IZ7" i="16"/>
  <c r="IZ8" i="16"/>
  <c r="IZ9" i="16"/>
  <c r="JS9" i="16" s="1"/>
  <c r="IZ10" i="16"/>
  <c r="IZ11" i="16"/>
  <c r="IZ12" i="16"/>
  <c r="IZ13" i="16"/>
  <c r="IZ14" i="16"/>
  <c r="IZ15" i="16"/>
  <c r="IZ16" i="16"/>
  <c r="IZ17" i="16"/>
  <c r="JS17" i="16" s="1"/>
  <c r="IZ18" i="16"/>
  <c r="IZ19" i="16"/>
  <c r="IZ20" i="16"/>
  <c r="IY2" i="16"/>
  <c r="IY3" i="16"/>
  <c r="IY4" i="16"/>
  <c r="IY5" i="16"/>
  <c r="IY6" i="16"/>
  <c r="IY7" i="16"/>
  <c r="IY8" i="16"/>
  <c r="IY9" i="16"/>
  <c r="IY10" i="16"/>
  <c r="IY11" i="16"/>
  <c r="IY12" i="16"/>
  <c r="IY13" i="16"/>
  <c r="IY14" i="16"/>
  <c r="IY15" i="16"/>
  <c r="IY16" i="16"/>
  <c r="IY17" i="16"/>
  <c r="IY18" i="16"/>
  <c r="IY19" i="16"/>
  <c r="IY20" i="16"/>
  <c r="IX2" i="16"/>
  <c r="IX3" i="16"/>
  <c r="IX4" i="16"/>
  <c r="IX5" i="16"/>
  <c r="IX6" i="16"/>
  <c r="IX7" i="16"/>
  <c r="IX8" i="16"/>
  <c r="IX9" i="16"/>
  <c r="IX10" i="16"/>
  <c r="IX11" i="16"/>
  <c r="IX12" i="16"/>
  <c r="IX13" i="16"/>
  <c r="IX14" i="16"/>
  <c r="IX15" i="16"/>
  <c r="IX16" i="16"/>
  <c r="IX17" i="16"/>
  <c r="IX18" i="16"/>
  <c r="IX19" i="16"/>
  <c r="IX20" i="16"/>
  <c r="IW2" i="16"/>
  <c r="IW3" i="16"/>
  <c r="IW4" i="16"/>
  <c r="IW5" i="16"/>
  <c r="IW6" i="16"/>
  <c r="IW7" i="16"/>
  <c r="IW8" i="16"/>
  <c r="IW9" i="16"/>
  <c r="IW10" i="16"/>
  <c r="IW11" i="16"/>
  <c r="IW12" i="16"/>
  <c r="IW13" i="16"/>
  <c r="IW14" i="16"/>
  <c r="IW15" i="16"/>
  <c r="IW16" i="16"/>
  <c r="IW17" i="16"/>
  <c r="IW18" i="16"/>
  <c r="IW19" i="16"/>
  <c r="IW20" i="16"/>
  <c r="IV2" i="16"/>
  <c r="IV3" i="16"/>
  <c r="IV4" i="16"/>
  <c r="IV5" i="16"/>
  <c r="IV6" i="16"/>
  <c r="IV7" i="16"/>
  <c r="IV8" i="16"/>
  <c r="IV9" i="16"/>
  <c r="JX9" i="16" s="1"/>
  <c r="IV10" i="16"/>
  <c r="IV11" i="16"/>
  <c r="IV12" i="16"/>
  <c r="IV13" i="16"/>
  <c r="IV14" i="16"/>
  <c r="IV15" i="16"/>
  <c r="IV16" i="16"/>
  <c r="IV17" i="16"/>
  <c r="JX17" i="16" s="1"/>
  <c r="IV18" i="16"/>
  <c r="IV19" i="16"/>
  <c r="IV20" i="16"/>
  <c r="IU2" i="16"/>
  <c r="IU3" i="16"/>
  <c r="IU4" i="16"/>
  <c r="IU5" i="16"/>
  <c r="IU6" i="16"/>
  <c r="IU7" i="16"/>
  <c r="IU8" i="16"/>
  <c r="IU9" i="16"/>
  <c r="IU10" i="16"/>
  <c r="IU11" i="16"/>
  <c r="IU12" i="16"/>
  <c r="IU13" i="16"/>
  <c r="IU14" i="16"/>
  <c r="IU15" i="16"/>
  <c r="IU16" i="16"/>
  <c r="IU17" i="16"/>
  <c r="IU18" i="16"/>
  <c r="IU19" i="16"/>
  <c r="IU20" i="16"/>
  <c r="IT2" i="16"/>
  <c r="IT3" i="16"/>
  <c r="IT4" i="16"/>
  <c r="IT5" i="16"/>
  <c r="IT6" i="16"/>
  <c r="IT7" i="16"/>
  <c r="IT8" i="16"/>
  <c r="IT9" i="16"/>
  <c r="JV9" i="16" s="1"/>
  <c r="IT10" i="16"/>
  <c r="IT11" i="16"/>
  <c r="IT12" i="16"/>
  <c r="IT13" i="16"/>
  <c r="IT14" i="16"/>
  <c r="IT15" i="16"/>
  <c r="IT16" i="16"/>
  <c r="IT17" i="16"/>
  <c r="IT18" i="16"/>
  <c r="IT19" i="16"/>
  <c r="IT20" i="16"/>
  <c r="IS2" i="16"/>
  <c r="IS3" i="16"/>
  <c r="IS4" i="16"/>
  <c r="IS5" i="16"/>
  <c r="IS6" i="16"/>
  <c r="IS7" i="16"/>
  <c r="IS8" i="16"/>
  <c r="IS9" i="16"/>
  <c r="IS10" i="16"/>
  <c r="IS11" i="16"/>
  <c r="IS12" i="16"/>
  <c r="IS13" i="16"/>
  <c r="IS14" i="16"/>
  <c r="IS15" i="16"/>
  <c r="IS16" i="16"/>
  <c r="IS17" i="16"/>
  <c r="IS18" i="16"/>
  <c r="IS19" i="16"/>
  <c r="IS20" i="16"/>
  <c r="IR2" i="16"/>
  <c r="IR3" i="16"/>
  <c r="IR4" i="16"/>
  <c r="IR5" i="16"/>
  <c r="IR6" i="16"/>
  <c r="IR7" i="16"/>
  <c r="IR8" i="16"/>
  <c r="IR9" i="16"/>
  <c r="IR10" i="16"/>
  <c r="IR11" i="16"/>
  <c r="IR12" i="16"/>
  <c r="IR13" i="16"/>
  <c r="IR14" i="16"/>
  <c r="IR15" i="16"/>
  <c r="IR16" i="16"/>
  <c r="IR17" i="16"/>
  <c r="IR18" i="16"/>
  <c r="IR19" i="16"/>
  <c r="IR20" i="16"/>
  <c r="IQ2" i="16"/>
  <c r="IQ3" i="16"/>
  <c r="IQ4" i="16"/>
  <c r="IQ5" i="16"/>
  <c r="IQ6" i="16"/>
  <c r="IQ7" i="16"/>
  <c r="IQ8" i="16"/>
  <c r="IQ9" i="16"/>
  <c r="IQ10" i="16"/>
  <c r="IQ11" i="16"/>
  <c r="IQ12" i="16"/>
  <c r="IQ13" i="16"/>
  <c r="IQ14" i="16"/>
  <c r="IQ15" i="16"/>
  <c r="IQ16" i="16"/>
  <c r="IQ17" i="16"/>
  <c r="IQ18" i="16"/>
  <c r="IQ19" i="16"/>
  <c r="IQ20" i="16"/>
  <c r="IP2" i="16"/>
  <c r="IP3" i="16"/>
  <c r="IP4" i="16"/>
  <c r="IP5" i="16"/>
  <c r="IP6" i="16"/>
  <c r="IP7" i="16"/>
  <c r="IP8" i="16"/>
  <c r="IP9" i="16"/>
  <c r="IP10" i="16"/>
  <c r="IP11" i="16"/>
  <c r="IP12" i="16"/>
  <c r="IP13" i="16"/>
  <c r="IP14" i="16"/>
  <c r="IP15" i="16"/>
  <c r="IP16" i="16"/>
  <c r="IP17" i="16"/>
  <c r="IP18" i="16"/>
  <c r="IP19" i="16"/>
  <c r="IP20" i="16"/>
  <c r="IO2" i="16"/>
  <c r="IO3" i="16"/>
  <c r="IO4" i="16"/>
  <c r="IO5" i="16"/>
  <c r="IO6" i="16"/>
  <c r="IO7" i="16"/>
  <c r="IO8" i="16"/>
  <c r="IO9" i="16"/>
  <c r="IO10" i="16"/>
  <c r="IO11" i="16"/>
  <c r="IO12" i="16"/>
  <c r="IO13" i="16"/>
  <c r="IO14" i="16"/>
  <c r="IO15" i="16"/>
  <c r="IO16" i="16"/>
  <c r="IO17" i="16"/>
  <c r="IO18" i="16"/>
  <c r="IO19" i="16"/>
  <c r="IO20" i="16"/>
  <c r="IN2" i="16"/>
  <c r="IN3" i="16"/>
  <c r="IN4" i="16"/>
  <c r="IN5" i="16"/>
  <c r="IN6" i="16"/>
  <c r="IN7" i="16"/>
  <c r="IN8" i="16"/>
  <c r="IN9" i="16"/>
  <c r="IN10" i="16"/>
  <c r="IN11" i="16"/>
  <c r="IN12" i="16"/>
  <c r="IN13" i="16"/>
  <c r="IN14" i="16"/>
  <c r="IN15" i="16"/>
  <c r="IN16" i="16"/>
  <c r="IN17" i="16"/>
  <c r="IN18" i="16"/>
  <c r="IN19" i="16"/>
  <c r="IN20" i="16"/>
  <c r="IM2" i="16"/>
  <c r="IM3" i="16"/>
  <c r="IM4" i="16"/>
  <c r="IM5" i="16"/>
  <c r="IM6" i="16"/>
  <c r="IM7" i="16"/>
  <c r="IM8" i="16"/>
  <c r="IM9" i="16"/>
  <c r="IM10" i="16"/>
  <c r="IM11" i="16"/>
  <c r="IM12" i="16"/>
  <c r="IM13" i="16"/>
  <c r="IM14" i="16"/>
  <c r="IM15" i="16"/>
  <c r="IM16" i="16"/>
  <c r="IM17" i="16"/>
  <c r="IM18" i="16"/>
  <c r="IM19" i="16"/>
  <c r="IM20" i="16"/>
  <c r="IL2" i="16"/>
  <c r="IL3" i="16"/>
  <c r="IL4" i="16"/>
  <c r="IL5" i="16"/>
  <c r="IL6" i="16"/>
  <c r="IL7" i="16"/>
  <c r="IL8" i="16"/>
  <c r="IL9" i="16"/>
  <c r="IL10" i="16"/>
  <c r="IL11" i="16"/>
  <c r="IL12" i="16"/>
  <c r="IL13" i="16"/>
  <c r="IL14" i="16"/>
  <c r="IL15" i="16"/>
  <c r="IL16" i="16"/>
  <c r="IL17" i="16"/>
  <c r="IL18" i="16"/>
  <c r="IL19" i="16"/>
  <c r="IL20" i="16"/>
  <c r="IK2" i="16"/>
  <c r="IK3" i="16"/>
  <c r="IK4" i="16"/>
  <c r="IK5" i="16"/>
  <c r="IK6" i="16"/>
  <c r="IK7" i="16"/>
  <c r="IK8" i="16"/>
  <c r="IK9" i="16"/>
  <c r="IK10" i="16"/>
  <c r="IK11" i="16"/>
  <c r="IK12" i="16"/>
  <c r="IK13" i="16"/>
  <c r="IK14" i="16"/>
  <c r="IK15" i="16"/>
  <c r="IK16" i="16"/>
  <c r="IK17" i="16"/>
  <c r="IK18" i="16"/>
  <c r="IK19" i="16"/>
  <c r="IK20" i="16"/>
  <c r="IJ2" i="16"/>
  <c r="IJ3" i="16"/>
  <c r="IJ4" i="16"/>
  <c r="IJ5" i="16"/>
  <c r="IJ6" i="16"/>
  <c r="IJ7" i="16"/>
  <c r="IJ8" i="16"/>
  <c r="IJ9" i="16"/>
  <c r="IJ10" i="16"/>
  <c r="IJ11" i="16"/>
  <c r="IJ12" i="16"/>
  <c r="IJ13" i="16"/>
  <c r="IJ14" i="16"/>
  <c r="IJ15" i="16"/>
  <c r="IJ16" i="16"/>
  <c r="IJ17" i="16"/>
  <c r="IJ18" i="16"/>
  <c r="IJ19" i="16"/>
  <c r="IJ20" i="16"/>
  <c r="II2" i="16"/>
  <c r="II3" i="16"/>
  <c r="II4" i="16"/>
  <c r="II5" i="16"/>
  <c r="II6" i="16"/>
  <c r="II7" i="16"/>
  <c r="II8" i="16"/>
  <c r="II9" i="16"/>
  <c r="II10" i="16"/>
  <c r="II11" i="16"/>
  <c r="II12" i="16"/>
  <c r="II13" i="16"/>
  <c r="II14" i="16"/>
  <c r="II15" i="16"/>
  <c r="II16" i="16"/>
  <c r="II17" i="16"/>
  <c r="II18" i="16"/>
  <c r="II19" i="16"/>
  <c r="II20" i="16"/>
  <c r="IH2" i="16"/>
  <c r="IH3" i="16"/>
  <c r="IH4" i="16"/>
  <c r="IH5" i="16"/>
  <c r="IH6" i="16"/>
  <c r="IH7" i="16"/>
  <c r="IH8" i="16"/>
  <c r="IH9" i="16"/>
  <c r="IH10" i="16"/>
  <c r="IH11" i="16"/>
  <c r="IH12" i="16"/>
  <c r="IH13" i="16"/>
  <c r="IH14" i="16"/>
  <c r="IH15" i="16"/>
  <c r="IH16" i="16"/>
  <c r="IH17" i="16"/>
  <c r="IH18" i="16"/>
  <c r="IH19" i="16"/>
  <c r="JS19" i="16" s="1"/>
  <c r="IH20" i="16"/>
  <c r="IG2" i="16"/>
  <c r="IG3" i="16"/>
  <c r="IG4" i="16"/>
  <c r="IG5" i="16"/>
  <c r="IG6" i="16"/>
  <c r="IG7" i="16"/>
  <c r="IG8" i="16"/>
  <c r="IG9" i="16"/>
  <c r="IG10" i="16"/>
  <c r="IG11" i="16"/>
  <c r="IG12" i="16"/>
  <c r="IG13" i="16"/>
  <c r="IG14" i="16"/>
  <c r="IG15" i="16"/>
  <c r="IG16" i="16"/>
  <c r="IG17" i="16"/>
  <c r="IG18" i="16"/>
  <c r="IG19" i="16"/>
  <c r="IG20" i="16"/>
  <c r="IF2" i="16"/>
  <c r="IF3" i="16"/>
  <c r="IF4" i="16"/>
  <c r="IF5" i="16"/>
  <c r="IF6" i="16"/>
  <c r="IF7" i="16"/>
  <c r="IF8" i="16"/>
  <c r="IF9" i="16"/>
  <c r="IF10" i="16"/>
  <c r="IF11" i="16"/>
  <c r="IF12" i="16"/>
  <c r="IF13" i="16"/>
  <c r="IF14" i="16"/>
  <c r="IF15" i="16"/>
  <c r="IF16" i="16"/>
  <c r="IF17" i="16"/>
  <c r="IF18" i="16"/>
  <c r="IF19" i="16"/>
  <c r="IF20" i="16"/>
  <c r="GR2" i="16"/>
  <c r="GR3" i="16"/>
  <c r="GR4" i="16"/>
  <c r="GR5" i="16"/>
  <c r="GR6" i="16"/>
  <c r="GR7" i="16"/>
  <c r="GR8" i="16"/>
  <c r="GR9" i="16"/>
  <c r="GR10" i="16"/>
  <c r="GR11" i="16"/>
  <c r="GR12" i="16"/>
  <c r="GR13" i="16"/>
  <c r="GR14" i="16"/>
  <c r="GR15" i="16"/>
  <c r="GR16" i="16"/>
  <c r="GR17" i="16"/>
  <c r="GR18" i="16"/>
  <c r="GR19" i="16"/>
  <c r="GR20" i="16"/>
  <c r="GQ2" i="16"/>
  <c r="GQ3" i="16"/>
  <c r="GQ4" i="16"/>
  <c r="GQ5" i="16"/>
  <c r="GQ6" i="16"/>
  <c r="GQ7" i="16"/>
  <c r="GQ8" i="16"/>
  <c r="GQ9" i="16"/>
  <c r="GQ10" i="16"/>
  <c r="GQ11" i="16"/>
  <c r="GQ12" i="16"/>
  <c r="GQ13" i="16"/>
  <c r="GQ14" i="16"/>
  <c r="GQ15" i="16"/>
  <c r="GQ16" i="16"/>
  <c r="GQ17" i="16"/>
  <c r="GQ18" i="16"/>
  <c r="GQ19" i="16"/>
  <c r="GQ20" i="16"/>
  <c r="GP2" i="16"/>
  <c r="GP3" i="16"/>
  <c r="GP4" i="16"/>
  <c r="GP5" i="16"/>
  <c r="GP6" i="16"/>
  <c r="GP7" i="16"/>
  <c r="GP8" i="16"/>
  <c r="GP9" i="16"/>
  <c r="GP10" i="16"/>
  <c r="GP11" i="16"/>
  <c r="GP12" i="16"/>
  <c r="GP13" i="16"/>
  <c r="GP14" i="16"/>
  <c r="GP15" i="16"/>
  <c r="GP16" i="16"/>
  <c r="GP17" i="16"/>
  <c r="GP18" i="16"/>
  <c r="GP19" i="16"/>
  <c r="GP20" i="16"/>
  <c r="GO2" i="16"/>
  <c r="GO3" i="16"/>
  <c r="GO4" i="16"/>
  <c r="GO5" i="16"/>
  <c r="GO6" i="16"/>
  <c r="GO7" i="16"/>
  <c r="GO8" i="16"/>
  <c r="GO9" i="16"/>
  <c r="GO10" i="16"/>
  <c r="GO11" i="16"/>
  <c r="GO12" i="16"/>
  <c r="GO13" i="16"/>
  <c r="GO14" i="16"/>
  <c r="GO15" i="16"/>
  <c r="GO16" i="16"/>
  <c r="GO17" i="16"/>
  <c r="GO18" i="16"/>
  <c r="GO19" i="16"/>
  <c r="GO20" i="16"/>
  <c r="GN2" i="16"/>
  <c r="GN3" i="16"/>
  <c r="GN4" i="16"/>
  <c r="GN5" i="16"/>
  <c r="GN6" i="16"/>
  <c r="GN7" i="16"/>
  <c r="GN8" i="16"/>
  <c r="GN9" i="16"/>
  <c r="GN10" i="16"/>
  <c r="GN11" i="16"/>
  <c r="GN12" i="16"/>
  <c r="GN13" i="16"/>
  <c r="GN14" i="16"/>
  <c r="GN15" i="16"/>
  <c r="GN16" i="16"/>
  <c r="GN17" i="16"/>
  <c r="GN18" i="16"/>
  <c r="GN19" i="16"/>
  <c r="GN20" i="16"/>
  <c r="GM2" i="16"/>
  <c r="GM3" i="16"/>
  <c r="GM4" i="16"/>
  <c r="GM5" i="16"/>
  <c r="GM6" i="16"/>
  <c r="GM7" i="16"/>
  <c r="GM8" i="16"/>
  <c r="GM9" i="16"/>
  <c r="GM10" i="16"/>
  <c r="GM11" i="16"/>
  <c r="GM12" i="16"/>
  <c r="GM13" i="16"/>
  <c r="GM14" i="16"/>
  <c r="GM15" i="16"/>
  <c r="GM16" i="16"/>
  <c r="GM17" i="16"/>
  <c r="GM18" i="16"/>
  <c r="GM19" i="16"/>
  <c r="GM20" i="16"/>
  <c r="GL3" i="16"/>
  <c r="GL4" i="16"/>
  <c r="GL5" i="16"/>
  <c r="GL6" i="16"/>
  <c r="GL7" i="16"/>
  <c r="GL8" i="16"/>
  <c r="GL9" i="16"/>
  <c r="GL10" i="16"/>
  <c r="GL11" i="16"/>
  <c r="GL12" i="16"/>
  <c r="GL13" i="16"/>
  <c r="GL14" i="16"/>
  <c r="GL15" i="16"/>
  <c r="GL16" i="16"/>
  <c r="GL17" i="16"/>
  <c r="GL18" i="16"/>
  <c r="GL19" i="16"/>
  <c r="GL20" i="16"/>
  <c r="GF24" i="13"/>
  <c r="GF25" i="13"/>
  <c r="GF26" i="13"/>
  <c r="GF27" i="13"/>
  <c r="GF28" i="13"/>
  <c r="GF29" i="13"/>
  <c r="GF30" i="13"/>
  <c r="GF31" i="13"/>
  <c r="GF32" i="13"/>
  <c r="GF33" i="13"/>
  <c r="GF34" i="13"/>
  <c r="GF35" i="13"/>
  <c r="GF36" i="13"/>
  <c r="GF37" i="13"/>
  <c r="GF38" i="13"/>
  <c r="GF39" i="13"/>
  <c r="GF40" i="13"/>
  <c r="GF41" i="13"/>
  <c r="GF23" i="13"/>
  <c r="JO20" i="17"/>
  <c r="JN20" i="17"/>
  <c r="JM20" i="17"/>
  <c r="JL20" i="17"/>
  <c r="JK20" i="17"/>
  <c r="JJ20" i="17"/>
  <c r="JI20" i="17"/>
  <c r="JH20" i="17"/>
  <c r="JG20" i="17"/>
  <c r="JF20" i="17"/>
  <c r="JE20" i="17"/>
  <c r="JD20" i="17"/>
  <c r="JC20" i="17"/>
  <c r="JB20" i="17"/>
  <c r="JA20" i="17"/>
  <c r="IZ20" i="17"/>
  <c r="IY20" i="17"/>
  <c r="IX20" i="17"/>
  <c r="IW20" i="17"/>
  <c r="IV20" i="17"/>
  <c r="IU20" i="17"/>
  <c r="IT20" i="17"/>
  <c r="IS20" i="17"/>
  <c r="IR20" i="17"/>
  <c r="IQ20" i="17"/>
  <c r="IP20" i="17"/>
  <c r="IO20" i="17"/>
  <c r="IN20" i="17"/>
  <c r="JY20" i="17" s="1"/>
  <c r="IM20" i="17"/>
  <c r="IL20" i="17"/>
  <c r="IK20" i="17"/>
  <c r="IJ20" i="17"/>
  <c r="JU20" i="17" s="1"/>
  <c r="II20" i="17"/>
  <c r="IH20" i="17"/>
  <c r="JS20" i="17" s="1"/>
  <c r="IG20" i="17"/>
  <c r="JR20" i="17" s="1"/>
  <c r="JQ20" i="17" s="1"/>
  <c r="JP20" i="17" s="1"/>
  <c r="IF20" i="17"/>
  <c r="GR20" i="17"/>
  <c r="GQ20" i="17"/>
  <c r="GP20" i="17"/>
  <c r="GO20" i="17"/>
  <c r="GN20" i="17"/>
  <c r="GM20" i="17"/>
  <c r="GL20" i="17"/>
  <c r="GE20" i="17"/>
  <c r="AT20" i="17"/>
  <c r="AS20" i="17"/>
  <c r="AR20" i="17"/>
  <c r="AQ20" i="17"/>
  <c r="JO19" i="17"/>
  <c r="JN19" i="17"/>
  <c r="JM19" i="17"/>
  <c r="JL19" i="17"/>
  <c r="JK19" i="17"/>
  <c r="JJ19" i="17"/>
  <c r="JI19" i="17"/>
  <c r="JH19" i="17"/>
  <c r="JG19" i="17"/>
  <c r="JF19" i="17"/>
  <c r="JE19" i="17"/>
  <c r="JD19" i="17"/>
  <c r="JC19" i="17"/>
  <c r="JB19" i="17"/>
  <c r="JA19" i="17"/>
  <c r="IZ19" i="17"/>
  <c r="IY19" i="17"/>
  <c r="IX19" i="17"/>
  <c r="IW19" i="17"/>
  <c r="IV19" i="17"/>
  <c r="IU19" i="17"/>
  <c r="IT19" i="17"/>
  <c r="IS19" i="17"/>
  <c r="IR19" i="17"/>
  <c r="IQ19" i="17"/>
  <c r="IP19" i="17"/>
  <c r="IO19" i="17"/>
  <c r="IN19" i="17"/>
  <c r="IM19" i="17"/>
  <c r="IL19" i="17"/>
  <c r="IK19" i="17"/>
  <c r="IJ19" i="17"/>
  <c r="II19" i="17"/>
  <c r="JT19" i="17" s="1"/>
  <c r="IH19" i="17"/>
  <c r="JS19" i="17" s="1"/>
  <c r="IG19" i="17"/>
  <c r="JR19" i="17" s="1"/>
  <c r="JQ19" i="17" s="1"/>
  <c r="JP19" i="17" s="1"/>
  <c r="IF19" i="17"/>
  <c r="GR19" i="17"/>
  <c r="GQ19" i="17"/>
  <c r="GP19" i="17"/>
  <c r="GO19" i="17"/>
  <c r="GN19" i="17"/>
  <c r="GM19" i="17"/>
  <c r="GL19" i="17"/>
  <c r="GE19" i="17"/>
  <c r="AT19" i="17"/>
  <c r="AS19" i="17"/>
  <c r="AR19" i="17"/>
  <c r="AQ19" i="17"/>
  <c r="JO18" i="17"/>
  <c r="JN18" i="17"/>
  <c r="JX18" i="17" s="1"/>
  <c r="JM18" i="17"/>
  <c r="JL18" i="17"/>
  <c r="JK18" i="17"/>
  <c r="JJ18" i="17"/>
  <c r="JI18" i="17"/>
  <c r="JH18" i="17"/>
  <c r="JG18" i="17"/>
  <c r="JF18" i="17"/>
  <c r="JE18" i="17"/>
  <c r="JD18" i="17"/>
  <c r="JC18" i="17"/>
  <c r="JB18" i="17"/>
  <c r="JA18" i="17"/>
  <c r="IZ18" i="17"/>
  <c r="IY18" i="17"/>
  <c r="IX18" i="17"/>
  <c r="IW18" i="17"/>
  <c r="IV18" i="17"/>
  <c r="IU18" i="17"/>
  <c r="IT18" i="17"/>
  <c r="IS18" i="17"/>
  <c r="IR18" i="17"/>
  <c r="IQ18" i="17"/>
  <c r="IP18" i="17"/>
  <c r="IO18" i="17"/>
  <c r="IN18" i="17"/>
  <c r="IM18" i="17"/>
  <c r="IL18" i="17"/>
  <c r="JW18" i="17" s="1"/>
  <c r="IK18" i="17"/>
  <c r="JV18" i="17" s="1"/>
  <c r="IJ18" i="17"/>
  <c r="JU18" i="17" s="1"/>
  <c r="II18" i="17"/>
  <c r="JT18" i="17" s="1"/>
  <c r="IH18" i="17"/>
  <c r="JS18" i="17" s="1"/>
  <c r="IG18" i="17"/>
  <c r="IF18" i="17"/>
  <c r="GR18" i="17"/>
  <c r="GQ18" i="17"/>
  <c r="GP18" i="17"/>
  <c r="GO18" i="17"/>
  <c r="GN18" i="17"/>
  <c r="GM18" i="17"/>
  <c r="GL18" i="17"/>
  <c r="GE18" i="17"/>
  <c r="AT18" i="17"/>
  <c r="AS18" i="17"/>
  <c r="AR18" i="17"/>
  <c r="AQ18" i="17"/>
  <c r="JO17" i="17"/>
  <c r="JN17" i="17"/>
  <c r="JM17" i="17"/>
  <c r="JL17" i="17"/>
  <c r="JK17" i="17"/>
  <c r="JJ17" i="17"/>
  <c r="JI17" i="17"/>
  <c r="JH17" i="17"/>
  <c r="JG17" i="17"/>
  <c r="JF17" i="17"/>
  <c r="JE17" i="17"/>
  <c r="JD17" i="17"/>
  <c r="JC17" i="17"/>
  <c r="JB17" i="17"/>
  <c r="JA17" i="17"/>
  <c r="IZ17" i="17"/>
  <c r="IY17" i="17"/>
  <c r="IX17" i="17"/>
  <c r="IW17" i="17"/>
  <c r="IV17" i="17"/>
  <c r="IU17" i="17"/>
  <c r="IT17" i="17"/>
  <c r="IS17" i="17"/>
  <c r="IR17" i="17"/>
  <c r="IQ17" i="17"/>
  <c r="IP17" i="17"/>
  <c r="IO17" i="17"/>
  <c r="IN17" i="17"/>
  <c r="IM17" i="17"/>
  <c r="JX17" i="17" s="1"/>
  <c r="IL17" i="17"/>
  <c r="JW17" i="17" s="1"/>
  <c r="IK17" i="17"/>
  <c r="IJ17" i="17"/>
  <c r="JU17" i="17" s="1"/>
  <c r="II17" i="17"/>
  <c r="JT17" i="17" s="1"/>
  <c r="IH17" i="17"/>
  <c r="IG17" i="17"/>
  <c r="IF17" i="17"/>
  <c r="GR17" i="17"/>
  <c r="GQ17" i="17"/>
  <c r="GP17" i="17"/>
  <c r="GO17" i="17"/>
  <c r="GN17" i="17"/>
  <c r="GM17" i="17"/>
  <c r="GL17" i="17"/>
  <c r="GE17" i="17"/>
  <c r="AT17" i="17"/>
  <c r="AS17" i="17"/>
  <c r="AR17" i="17"/>
  <c r="AQ17" i="17"/>
  <c r="JR16" i="17"/>
  <c r="JQ16" i="17" s="1"/>
  <c r="JP16" i="17" s="1"/>
  <c r="JO16" i="17"/>
  <c r="JN16" i="17"/>
  <c r="JM16" i="17"/>
  <c r="JL16" i="17"/>
  <c r="JK16" i="17"/>
  <c r="JJ16" i="17"/>
  <c r="JI16" i="17"/>
  <c r="JH16" i="17"/>
  <c r="JG16" i="17"/>
  <c r="JF16" i="17"/>
  <c r="JE16" i="17"/>
  <c r="JD16" i="17"/>
  <c r="JC16" i="17"/>
  <c r="JB16" i="17"/>
  <c r="JA16" i="17"/>
  <c r="IZ16" i="17"/>
  <c r="IY16" i="17"/>
  <c r="IX16" i="17"/>
  <c r="IW16" i="17"/>
  <c r="IV16" i="17"/>
  <c r="IU16" i="17"/>
  <c r="IT16" i="17"/>
  <c r="IS16" i="17"/>
  <c r="IR16" i="17"/>
  <c r="IQ16" i="17"/>
  <c r="IP16" i="17"/>
  <c r="IO16" i="17"/>
  <c r="IN16" i="17"/>
  <c r="JY16" i="17" s="1"/>
  <c r="IM16" i="17"/>
  <c r="IL16" i="17"/>
  <c r="JW16" i="17" s="1"/>
  <c r="IK16" i="17"/>
  <c r="JV16" i="17" s="1"/>
  <c r="IJ16" i="17"/>
  <c r="JU16" i="17" s="1"/>
  <c r="II16" i="17"/>
  <c r="IH16" i="17"/>
  <c r="IG16" i="17"/>
  <c r="IF16" i="17"/>
  <c r="GR16" i="17"/>
  <c r="GQ16" i="17"/>
  <c r="GP16" i="17"/>
  <c r="GO16" i="17"/>
  <c r="GN16" i="17"/>
  <c r="GM16" i="17"/>
  <c r="GL16" i="17"/>
  <c r="GE16" i="17"/>
  <c r="AT16" i="17"/>
  <c r="AS16" i="17"/>
  <c r="AR16" i="17"/>
  <c r="AQ16" i="17"/>
  <c r="JO15" i="17"/>
  <c r="JN15" i="17"/>
  <c r="JM15" i="17"/>
  <c r="JL15" i="17"/>
  <c r="JK15" i="17"/>
  <c r="JJ15" i="17"/>
  <c r="JI15" i="17"/>
  <c r="JH15" i="17"/>
  <c r="JG15" i="17"/>
  <c r="JF15" i="17"/>
  <c r="JE15" i="17"/>
  <c r="JD15" i="17"/>
  <c r="JC15" i="17"/>
  <c r="JB15" i="17"/>
  <c r="JA15" i="17"/>
  <c r="IZ15" i="17"/>
  <c r="IY15" i="17"/>
  <c r="IX15" i="17"/>
  <c r="IW15" i="17"/>
  <c r="IV15" i="17"/>
  <c r="IU15" i="17"/>
  <c r="IT15" i="17"/>
  <c r="IS15" i="17"/>
  <c r="IR15" i="17"/>
  <c r="IQ15" i="17"/>
  <c r="IP15" i="17"/>
  <c r="IO15" i="17"/>
  <c r="IN15" i="17"/>
  <c r="JY15" i="17" s="1"/>
  <c r="IM15" i="17"/>
  <c r="JX15" i="17" s="1"/>
  <c r="IL15" i="17"/>
  <c r="JW15" i="17" s="1"/>
  <c r="IK15" i="17"/>
  <c r="IJ15" i="17"/>
  <c r="II15" i="17"/>
  <c r="JT15" i="17" s="1"/>
  <c r="IH15" i="17"/>
  <c r="IG15" i="17"/>
  <c r="IF15" i="17"/>
  <c r="GR15" i="17"/>
  <c r="GQ15" i="17"/>
  <c r="GP15" i="17"/>
  <c r="GO15" i="17"/>
  <c r="GN15" i="17"/>
  <c r="GM15" i="17"/>
  <c r="GL15" i="17"/>
  <c r="GE15" i="17"/>
  <c r="AT15" i="17"/>
  <c r="AS15" i="17"/>
  <c r="AR15" i="17"/>
  <c r="AQ15" i="17"/>
  <c r="JO14" i="17"/>
  <c r="JN14" i="17"/>
  <c r="JM14" i="17"/>
  <c r="JL14" i="17"/>
  <c r="JK14" i="17"/>
  <c r="JJ14" i="17"/>
  <c r="JI14" i="17"/>
  <c r="JH14" i="17"/>
  <c r="JG14" i="17"/>
  <c r="JF14" i="17"/>
  <c r="JE14" i="17"/>
  <c r="JD14" i="17"/>
  <c r="JC14" i="17"/>
  <c r="JB14" i="17"/>
  <c r="JA14" i="17"/>
  <c r="IZ14" i="17"/>
  <c r="IY14" i="17"/>
  <c r="IX14" i="17"/>
  <c r="IW14" i="17"/>
  <c r="IV14" i="17"/>
  <c r="IU14" i="17"/>
  <c r="IT14" i="17"/>
  <c r="IS14" i="17"/>
  <c r="IR14" i="17"/>
  <c r="IQ14" i="17"/>
  <c r="IP14" i="17"/>
  <c r="IO14" i="17"/>
  <c r="IN14" i="17"/>
  <c r="JY14" i="17" s="1"/>
  <c r="IM14" i="17"/>
  <c r="IL14" i="17"/>
  <c r="JW14" i="17" s="1"/>
  <c r="IK14" i="17"/>
  <c r="JV14" i="17" s="1"/>
  <c r="IJ14" i="17"/>
  <c r="II14" i="17"/>
  <c r="IH14" i="17"/>
  <c r="IG14" i="17"/>
  <c r="JR14" i="17" s="1"/>
  <c r="JQ14" i="17" s="1"/>
  <c r="JP14" i="17" s="1"/>
  <c r="IF14" i="17"/>
  <c r="GR14" i="17"/>
  <c r="GQ14" i="17"/>
  <c r="GP14" i="17"/>
  <c r="GO14" i="17"/>
  <c r="GN14" i="17"/>
  <c r="GM14" i="17"/>
  <c r="GL14" i="17"/>
  <c r="GE14" i="17"/>
  <c r="AT14" i="17"/>
  <c r="AS14" i="17"/>
  <c r="AR14" i="17"/>
  <c r="AQ14" i="17"/>
  <c r="JO13" i="17"/>
  <c r="JN13" i="17"/>
  <c r="JM13" i="17"/>
  <c r="JL13" i="17"/>
  <c r="JK13" i="17"/>
  <c r="JJ13" i="17"/>
  <c r="JI13" i="17"/>
  <c r="JH13" i="17"/>
  <c r="JG13" i="17"/>
  <c r="JF13" i="17"/>
  <c r="JE13" i="17"/>
  <c r="JD13" i="17"/>
  <c r="JC13" i="17"/>
  <c r="JB13" i="17"/>
  <c r="JA13" i="17"/>
  <c r="IZ13" i="17"/>
  <c r="IY13" i="17"/>
  <c r="IX13" i="17"/>
  <c r="IW13" i="17"/>
  <c r="IV13" i="17"/>
  <c r="IU13" i="17"/>
  <c r="IT13" i="17"/>
  <c r="IS13" i="17"/>
  <c r="IR13" i="17"/>
  <c r="IQ13" i="17"/>
  <c r="IP13" i="17"/>
  <c r="IO13" i="17"/>
  <c r="IN13" i="17"/>
  <c r="IM13" i="17"/>
  <c r="JX13" i="17" s="1"/>
  <c r="IL13" i="17"/>
  <c r="IK13" i="17"/>
  <c r="IJ13" i="17"/>
  <c r="II13" i="17"/>
  <c r="JT13" i="17" s="1"/>
  <c r="IH13" i="17"/>
  <c r="JS13" i="17" s="1"/>
  <c r="IG13" i="17"/>
  <c r="IF13" i="17"/>
  <c r="GR13" i="17"/>
  <c r="GQ13" i="17"/>
  <c r="GP13" i="17"/>
  <c r="GO13" i="17"/>
  <c r="GN13" i="17"/>
  <c r="GM13" i="17"/>
  <c r="GL13" i="17"/>
  <c r="GE13" i="17"/>
  <c r="AT13" i="17"/>
  <c r="AS13" i="17"/>
  <c r="AR13" i="17"/>
  <c r="AQ13" i="17"/>
  <c r="JO12" i="17"/>
  <c r="JN12" i="17"/>
  <c r="JM12" i="17"/>
  <c r="JL12" i="17"/>
  <c r="JK12" i="17"/>
  <c r="JJ12" i="17"/>
  <c r="JI12" i="17"/>
  <c r="JH12" i="17"/>
  <c r="JG12" i="17"/>
  <c r="JF12" i="17"/>
  <c r="JE12" i="17"/>
  <c r="JD12" i="17"/>
  <c r="JC12" i="17"/>
  <c r="JB12" i="17"/>
  <c r="JA12" i="17"/>
  <c r="IZ12" i="17"/>
  <c r="IY12" i="17"/>
  <c r="IX12" i="17"/>
  <c r="IW12" i="17"/>
  <c r="IV12" i="17"/>
  <c r="JX12" i="17" s="1"/>
  <c r="IU12" i="17"/>
  <c r="IT12" i="17"/>
  <c r="IS12" i="17"/>
  <c r="IR12" i="17"/>
  <c r="IQ12" i="17"/>
  <c r="IP12" i="17"/>
  <c r="IO12" i="17"/>
  <c r="IN12" i="17"/>
  <c r="JY12" i="17" s="1"/>
  <c r="IM12" i="17"/>
  <c r="IL12" i="17"/>
  <c r="IK12" i="17"/>
  <c r="IJ12" i="17"/>
  <c r="JU12" i="17" s="1"/>
  <c r="II12" i="17"/>
  <c r="IH12" i="17"/>
  <c r="IG12" i="17"/>
  <c r="JR12" i="17" s="1"/>
  <c r="JQ12" i="17" s="1"/>
  <c r="JP12" i="17" s="1"/>
  <c r="IF12" i="17"/>
  <c r="GR12" i="17"/>
  <c r="GQ12" i="17"/>
  <c r="GP12" i="17"/>
  <c r="GO12" i="17"/>
  <c r="GN12" i="17"/>
  <c r="GM12" i="17"/>
  <c r="GL12" i="17"/>
  <c r="GE12" i="17"/>
  <c r="AT12" i="17"/>
  <c r="AS12" i="17"/>
  <c r="AR12" i="17"/>
  <c r="AQ12" i="17"/>
  <c r="JO11" i="17"/>
  <c r="JN11" i="17"/>
  <c r="JM11" i="17"/>
  <c r="JL11" i="17"/>
  <c r="JK11" i="17"/>
  <c r="JJ11" i="17"/>
  <c r="JI11" i="17"/>
  <c r="JH11" i="17"/>
  <c r="JG11" i="17"/>
  <c r="JF11" i="17"/>
  <c r="JE11" i="17"/>
  <c r="JD11" i="17"/>
  <c r="JC11" i="17"/>
  <c r="JB11" i="17"/>
  <c r="JA11" i="17"/>
  <c r="IZ11" i="17"/>
  <c r="IY11" i="17"/>
  <c r="IX11" i="17"/>
  <c r="IW11" i="17"/>
  <c r="IV11" i="17"/>
  <c r="IU11" i="17"/>
  <c r="IT11" i="17"/>
  <c r="IS11" i="17"/>
  <c r="IR11" i="17"/>
  <c r="IQ11" i="17"/>
  <c r="IP11" i="17"/>
  <c r="IO11" i="17"/>
  <c r="IN11" i="17"/>
  <c r="IM11" i="17"/>
  <c r="IL11" i="17"/>
  <c r="IK11" i="17"/>
  <c r="IJ11" i="17"/>
  <c r="JU11" i="17" s="1"/>
  <c r="II11" i="17"/>
  <c r="JT11" i="17" s="1"/>
  <c r="IH11" i="17"/>
  <c r="JS11" i="17" s="1"/>
  <c r="IG11" i="17"/>
  <c r="IF11" i="17"/>
  <c r="GR11" i="17"/>
  <c r="GQ11" i="17"/>
  <c r="GP11" i="17"/>
  <c r="GO11" i="17"/>
  <c r="GN11" i="17"/>
  <c r="GM11" i="17"/>
  <c r="GL11" i="17"/>
  <c r="GE11" i="17"/>
  <c r="AT11" i="17"/>
  <c r="AS11" i="17"/>
  <c r="AR11" i="17"/>
  <c r="AQ11" i="17"/>
  <c r="JO10" i="17"/>
  <c r="JN10" i="17"/>
  <c r="JX10" i="17" s="1"/>
  <c r="JM10" i="17"/>
  <c r="JL10" i="17"/>
  <c r="JK10" i="17"/>
  <c r="JJ10" i="17"/>
  <c r="JI10" i="17"/>
  <c r="JH10" i="17"/>
  <c r="JG10" i="17"/>
  <c r="JF10" i="17"/>
  <c r="JE10" i="17"/>
  <c r="JD10" i="17"/>
  <c r="JC10" i="17"/>
  <c r="JB10" i="17"/>
  <c r="JA10" i="17"/>
  <c r="IZ10" i="17"/>
  <c r="IY10" i="17"/>
  <c r="IX10" i="17"/>
  <c r="IW10" i="17"/>
  <c r="IV10" i="17"/>
  <c r="IU10" i="17"/>
  <c r="IT10" i="17"/>
  <c r="IS10" i="17"/>
  <c r="IR10" i="17"/>
  <c r="IQ10" i="17"/>
  <c r="IP10" i="17"/>
  <c r="JR10" i="17" s="1"/>
  <c r="JQ10" i="17" s="1"/>
  <c r="JP10" i="17" s="1"/>
  <c r="IO10" i="17"/>
  <c r="IN10" i="17"/>
  <c r="IM10" i="17"/>
  <c r="IL10" i="17"/>
  <c r="JW10" i="17" s="1"/>
  <c r="IK10" i="17"/>
  <c r="JV10" i="17" s="1"/>
  <c r="IJ10" i="17"/>
  <c r="JU10" i="17" s="1"/>
  <c r="II10" i="17"/>
  <c r="IH10" i="17"/>
  <c r="JS10" i="17" s="1"/>
  <c r="IG10" i="17"/>
  <c r="IF10" i="17"/>
  <c r="GR10" i="17"/>
  <c r="GQ10" i="17"/>
  <c r="GP10" i="17"/>
  <c r="GO10" i="17"/>
  <c r="GN10" i="17"/>
  <c r="GM10" i="17"/>
  <c r="GL10" i="17"/>
  <c r="GE10" i="17"/>
  <c r="AT10" i="17"/>
  <c r="AS10" i="17"/>
  <c r="AR10" i="17"/>
  <c r="AQ10" i="17"/>
  <c r="JO9" i="17"/>
  <c r="JN9" i="17"/>
  <c r="JM9" i="17"/>
  <c r="JL9" i="17"/>
  <c r="JK9" i="17"/>
  <c r="JJ9" i="17"/>
  <c r="JI9" i="17"/>
  <c r="JH9" i="17"/>
  <c r="JG9" i="17"/>
  <c r="JF9" i="17"/>
  <c r="JE9" i="17"/>
  <c r="JD9" i="17"/>
  <c r="JC9" i="17"/>
  <c r="JB9" i="17"/>
  <c r="JA9" i="17"/>
  <c r="IZ9" i="17"/>
  <c r="IY9" i="17"/>
  <c r="IX9" i="17"/>
  <c r="IW9" i="17"/>
  <c r="IV9" i="17"/>
  <c r="IU9" i="17"/>
  <c r="IT9" i="17"/>
  <c r="IS9" i="17"/>
  <c r="IR9" i="17"/>
  <c r="IQ9" i="17"/>
  <c r="IP9" i="17"/>
  <c r="IO9" i="17"/>
  <c r="IN9" i="17"/>
  <c r="IM9" i="17"/>
  <c r="JX9" i="17" s="1"/>
  <c r="IL9" i="17"/>
  <c r="JW9" i="17" s="1"/>
  <c r="IK9" i="17"/>
  <c r="IJ9" i="17"/>
  <c r="JU9" i="17" s="1"/>
  <c r="II9" i="17"/>
  <c r="IH9" i="17"/>
  <c r="IG9" i="17"/>
  <c r="IF9" i="17"/>
  <c r="GR9" i="17"/>
  <c r="GQ9" i="17"/>
  <c r="GP9" i="17"/>
  <c r="GO9" i="17"/>
  <c r="GN9" i="17"/>
  <c r="GM9" i="17"/>
  <c r="GL9" i="17"/>
  <c r="GE9" i="17"/>
  <c r="AT9" i="17"/>
  <c r="AS9" i="17"/>
  <c r="AR9" i="17"/>
  <c r="AQ9" i="17"/>
  <c r="JO8" i="17"/>
  <c r="JN8" i="17"/>
  <c r="JM8" i="17"/>
  <c r="JL8" i="17"/>
  <c r="JK8" i="17"/>
  <c r="JJ8" i="17"/>
  <c r="JI8" i="17"/>
  <c r="JH8" i="17"/>
  <c r="JR8" i="17" s="1"/>
  <c r="JQ8" i="17" s="1"/>
  <c r="JP8" i="17" s="1"/>
  <c r="JG8" i="17"/>
  <c r="JF8" i="17"/>
  <c r="JE8" i="17"/>
  <c r="JD8" i="17"/>
  <c r="JC8" i="17"/>
  <c r="JB8" i="17"/>
  <c r="JA8" i="17"/>
  <c r="IZ8" i="17"/>
  <c r="IY8" i="17"/>
  <c r="IX8" i="17"/>
  <c r="IW8" i="17"/>
  <c r="IV8" i="17"/>
  <c r="IU8" i="17"/>
  <c r="IT8" i="17"/>
  <c r="IS8" i="17"/>
  <c r="IR8" i="17"/>
  <c r="IQ8" i="17"/>
  <c r="IP8" i="17"/>
  <c r="IO8" i="17"/>
  <c r="IN8" i="17"/>
  <c r="IM8" i="17"/>
  <c r="JX8" i="17" s="1"/>
  <c r="IL8" i="17"/>
  <c r="JW8" i="17" s="1"/>
  <c r="IK8" i="17"/>
  <c r="IJ8" i="17"/>
  <c r="JU8" i="17" s="1"/>
  <c r="II8" i="17"/>
  <c r="IH8" i="17"/>
  <c r="IG8" i="17"/>
  <c r="IF8" i="17"/>
  <c r="GR8" i="17"/>
  <c r="GQ8" i="17"/>
  <c r="GP8" i="17"/>
  <c r="GO8" i="17"/>
  <c r="GN8" i="17"/>
  <c r="GM8" i="17"/>
  <c r="GL8" i="17"/>
  <c r="GE8" i="17"/>
  <c r="AT8" i="17"/>
  <c r="AS8" i="17"/>
  <c r="AR8" i="17"/>
  <c r="AQ8" i="17"/>
  <c r="JO7" i="17"/>
  <c r="JN7" i="17"/>
  <c r="JM7" i="17"/>
  <c r="JL7" i="17"/>
  <c r="JK7" i="17"/>
  <c r="JJ7" i="17"/>
  <c r="JI7" i="17"/>
  <c r="JH7" i="17"/>
  <c r="JG7" i="17"/>
  <c r="JF7" i="17"/>
  <c r="JE7" i="17"/>
  <c r="JD7" i="17"/>
  <c r="JC7" i="17"/>
  <c r="JB7" i="17"/>
  <c r="JA7" i="17"/>
  <c r="IZ7" i="17"/>
  <c r="IY7" i="17"/>
  <c r="IX7" i="17"/>
  <c r="IW7" i="17"/>
  <c r="IV7" i="17"/>
  <c r="IU7" i="17"/>
  <c r="IT7" i="17"/>
  <c r="IS7" i="17"/>
  <c r="IR7" i="17"/>
  <c r="IQ7" i="17"/>
  <c r="IP7" i="17"/>
  <c r="IO7" i="17"/>
  <c r="IN7" i="17"/>
  <c r="JY7" i="17" s="1"/>
  <c r="IM7" i="17"/>
  <c r="IL7" i="17"/>
  <c r="JW7" i="17" s="1"/>
  <c r="IK7" i="17"/>
  <c r="IJ7" i="17"/>
  <c r="II7" i="17"/>
  <c r="JT7" i="17" s="1"/>
  <c r="IH7" i="17"/>
  <c r="IG7" i="17"/>
  <c r="JR7" i="17" s="1"/>
  <c r="JQ7" i="17" s="1"/>
  <c r="JP7" i="17" s="1"/>
  <c r="IF7" i="17"/>
  <c r="GR7" i="17"/>
  <c r="GQ7" i="17"/>
  <c r="GP7" i="17"/>
  <c r="GO7" i="17"/>
  <c r="GN7" i="17"/>
  <c r="GM7" i="17"/>
  <c r="GL7" i="17"/>
  <c r="GE7" i="17"/>
  <c r="AT7" i="17"/>
  <c r="AS7" i="17"/>
  <c r="AR7" i="17"/>
  <c r="AQ7" i="17"/>
  <c r="JO6" i="17"/>
  <c r="JN6" i="17"/>
  <c r="JM6" i="17"/>
  <c r="JL6" i="17"/>
  <c r="JK6" i="17"/>
  <c r="JJ6" i="17"/>
  <c r="JI6" i="17"/>
  <c r="JH6" i="17"/>
  <c r="JG6" i="17"/>
  <c r="JF6" i="17"/>
  <c r="JE6" i="17"/>
  <c r="JD6" i="17"/>
  <c r="JC6" i="17"/>
  <c r="JB6" i="17"/>
  <c r="JA6" i="17"/>
  <c r="IZ6" i="17"/>
  <c r="IY6" i="17"/>
  <c r="IX6" i="17"/>
  <c r="IW6" i="17"/>
  <c r="IV6" i="17"/>
  <c r="IU6" i="17"/>
  <c r="IT6" i="17"/>
  <c r="IS6" i="17"/>
  <c r="IR6" i="17"/>
  <c r="IQ6" i="17"/>
  <c r="IP6" i="17"/>
  <c r="JR6" i="17" s="1"/>
  <c r="JQ6" i="17" s="1"/>
  <c r="JP6" i="17" s="1"/>
  <c r="IO6" i="17"/>
  <c r="IN6" i="17"/>
  <c r="JY6" i="17" s="1"/>
  <c r="IM6" i="17"/>
  <c r="IL6" i="17"/>
  <c r="JW6" i="17" s="1"/>
  <c r="IK6" i="17"/>
  <c r="JV6" i="17" s="1"/>
  <c r="IJ6" i="17"/>
  <c r="II6" i="17"/>
  <c r="IH6" i="17"/>
  <c r="JS6" i="17" s="1"/>
  <c r="IG6" i="17"/>
  <c r="IF6" i="17"/>
  <c r="GR6" i="17"/>
  <c r="GQ6" i="17"/>
  <c r="GP6" i="17"/>
  <c r="GO6" i="17"/>
  <c r="GN6" i="17"/>
  <c r="GM6" i="17"/>
  <c r="GL6" i="17"/>
  <c r="GE6" i="17"/>
  <c r="AT6" i="17"/>
  <c r="AS6" i="17"/>
  <c r="AR6" i="17"/>
  <c r="AQ6" i="17"/>
  <c r="JO5" i="17"/>
  <c r="JN5" i="17"/>
  <c r="JM5" i="17"/>
  <c r="JL5" i="17"/>
  <c r="JK5" i="17"/>
  <c r="JJ5" i="17"/>
  <c r="JI5" i="17"/>
  <c r="JH5" i="17"/>
  <c r="JG5" i="17"/>
  <c r="JF5" i="17"/>
  <c r="JE5" i="17"/>
  <c r="JD5" i="17"/>
  <c r="JC5" i="17"/>
  <c r="JB5" i="17"/>
  <c r="JA5" i="17"/>
  <c r="IZ5" i="17"/>
  <c r="IY5" i="17"/>
  <c r="IX5" i="17"/>
  <c r="IW5" i="17"/>
  <c r="IV5" i="17"/>
  <c r="IU5" i="17"/>
  <c r="IT5" i="17"/>
  <c r="IS5" i="17"/>
  <c r="IR5" i="17"/>
  <c r="IQ5" i="17"/>
  <c r="IP5" i="17"/>
  <c r="IO5" i="17"/>
  <c r="IN5" i="17"/>
  <c r="IM5" i="17"/>
  <c r="JX5" i="17" s="1"/>
  <c r="IL5" i="17"/>
  <c r="IK5" i="17"/>
  <c r="IJ5" i="17"/>
  <c r="II5" i="17"/>
  <c r="IH5" i="17"/>
  <c r="IG5" i="17"/>
  <c r="IF5" i="17"/>
  <c r="GR5" i="17"/>
  <c r="GQ5" i="17"/>
  <c r="GP5" i="17"/>
  <c r="GO5" i="17"/>
  <c r="GN5" i="17"/>
  <c r="GM5" i="17"/>
  <c r="GL5" i="17"/>
  <c r="GE5" i="17"/>
  <c r="AT5" i="17"/>
  <c r="AS5" i="17"/>
  <c r="AR5" i="17"/>
  <c r="AQ5" i="17"/>
  <c r="JO4" i="17"/>
  <c r="JN4" i="17"/>
  <c r="JM4" i="17"/>
  <c r="JL4" i="17"/>
  <c r="JK4" i="17"/>
  <c r="JJ4" i="17"/>
  <c r="JI4" i="17"/>
  <c r="JH4" i="17"/>
  <c r="JG4" i="17"/>
  <c r="JF4" i="17"/>
  <c r="JE4" i="17"/>
  <c r="JD4" i="17"/>
  <c r="JC4" i="17"/>
  <c r="JB4" i="17"/>
  <c r="JA4" i="17"/>
  <c r="IZ4" i="17"/>
  <c r="IY4" i="17"/>
  <c r="IX4" i="17"/>
  <c r="IW4" i="17"/>
  <c r="IV4" i="17"/>
  <c r="IU4" i="17"/>
  <c r="IT4" i="17"/>
  <c r="IS4" i="17"/>
  <c r="IR4" i="17"/>
  <c r="IQ4" i="17"/>
  <c r="IP4" i="17"/>
  <c r="IO4" i="17"/>
  <c r="IN4" i="17"/>
  <c r="JY4" i="17" s="1"/>
  <c r="IM4" i="17"/>
  <c r="IL4" i="17"/>
  <c r="IK4" i="17"/>
  <c r="IJ4" i="17"/>
  <c r="JU4" i="17" s="1"/>
  <c r="II4" i="17"/>
  <c r="IH4" i="17"/>
  <c r="JS4" i="17" s="1"/>
  <c r="IG4" i="17"/>
  <c r="JR4" i="17" s="1"/>
  <c r="JQ4" i="17" s="1"/>
  <c r="JP4" i="17" s="1"/>
  <c r="IF4" i="17"/>
  <c r="GR4" i="17"/>
  <c r="GQ4" i="17"/>
  <c r="GP4" i="17"/>
  <c r="GO4" i="17"/>
  <c r="GN4" i="17"/>
  <c r="GM4" i="17"/>
  <c r="GL4" i="17"/>
  <c r="GE4" i="17"/>
  <c r="AT4" i="17"/>
  <c r="AS4" i="17"/>
  <c r="AR4" i="17"/>
  <c r="AQ4" i="17"/>
  <c r="JO3" i="17"/>
  <c r="JN3" i="17"/>
  <c r="JM3" i="17"/>
  <c r="JL3" i="17"/>
  <c r="JK3" i="17"/>
  <c r="JJ3" i="17"/>
  <c r="JI3" i="17"/>
  <c r="JH3" i="17"/>
  <c r="JG3" i="17"/>
  <c r="JF3" i="17"/>
  <c r="JE3" i="17"/>
  <c r="JD3" i="17"/>
  <c r="JC3" i="17"/>
  <c r="JB3" i="17"/>
  <c r="JA3" i="17"/>
  <c r="IZ3" i="17"/>
  <c r="IY3" i="17"/>
  <c r="IX3" i="17"/>
  <c r="IW3" i="17"/>
  <c r="IV3" i="17"/>
  <c r="IU3" i="17"/>
  <c r="IT3" i="17"/>
  <c r="IS3" i="17"/>
  <c r="IR3" i="17"/>
  <c r="IQ3" i="17"/>
  <c r="IP3" i="17"/>
  <c r="IO3" i="17"/>
  <c r="IN3" i="17"/>
  <c r="IM3" i="17"/>
  <c r="IL3" i="17"/>
  <c r="IK3" i="17"/>
  <c r="IJ3" i="17"/>
  <c r="II3" i="17"/>
  <c r="JT3" i="17" s="1"/>
  <c r="IH3" i="17"/>
  <c r="JS3" i="17" s="1"/>
  <c r="IG3" i="17"/>
  <c r="JR3" i="17" s="1"/>
  <c r="JQ3" i="17" s="1"/>
  <c r="JP3" i="17" s="1"/>
  <c r="IF3" i="17"/>
  <c r="GR3" i="17"/>
  <c r="GQ3" i="17"/>
  <c r="GP3" i="17"/>
  <c r="GO3" i="17"/>
  <c r="GN3" i="17"/>
  <c r="GM3" i="17"/>
  <c r="GL3" i="17"/>
  <c r="GE3" i="17"/>
  <c r="AT3" i="17"/>
  <c r="AS3" i="17"/>
  <c r="AR3" i="17"/>
  <c r="AQ3" i="17"/>
  <c r="JO2" i="17"/>
  <c r="JN2" i="17"/>
  <c r="JX2" i="17" s="1"/>
  <c r="JM2" i="17"/>
  <c r="JL2" i="17"/>
  <c r="JK2" i="17"/>
  <c r="JJ2" i="17"/>
  <c r="JI2" i="17"/>
  <c r="JH2" i="17"/>
  <c r="JG2" i="17"/>
  <c r="JF2" i="17"/>
  <c r="JE2" i="17"/>
  <c r="JD2" i="17"/>
  <c r="JC2" i="17"/>
  <c r="JB2" i="17"/>
  <c r="JA2" i="17"/>
  <c r="IZ2" i="17"/>
  <c r="IY2" i="17"/>
  <c r="IX2" i="17"/>
  <c r="IW2" i="17"/>
  <c r="IV2" i="17"/>
  <c r="IU2" i="17"/>
  <c r="IT2" i="17"/>
  <c r="IS2" i="17"/>
  <c r="IR2" i="17"/>
  <c r="IQ2" i="17"/>
  <c r="IP2" i="17"/>
  <c r="JR2" i="17" s="1"/>
  <c r="JQ2" i="17" s="1"/>
  <c r="JP2" i="17" s="1"/>
  <c r="IO2" i="17"/>
  <c r="IN2" i="17"/>
  <c r="IM2" i="17"/>
  <c r="IL2" i="17"/>
  <c r="IK2" i="17"/>
  <c r="JV2" i="17" s="1"/>
  <c r="IJ2" i="17"/>
  <c r="JU2" i="17" s="1"/>
  <c r="II2" i="17"/>
  <c r="JT2" i="17" s="1"/>
  <c r="IH2" i="17"/>
  <c r="JS2" i="17" s="1"/>
  <c r="IG2" i="17"/>
  <c r="IF2" i="17"/>
  <c r="GR2" i="17"/>
  <c r="GQ2" i="17"/>
  <c r="GP2" i="17"/>
  <c r="GO2" i="17"/>
  <c r="GN2" i="17"/>
  <c r="GM2" i="17"/>
  <c r="GL2" i="17"/>
  <c r="GE2" i="17"/>
  <c r="AT2" i="17"/>
  <c r="AS2" i="17"/>
  <c r="AR2" i="17"/>
  <c r="AQ2" i="17"/>
  <c r="JY4" i="16"/>
  <c r="JY5" i="16"/>
  <c r="JY12" i="16"/>
  <c r="JY13" i="16"/>
  <c r="JY20" i="16"/>
  <c r="JW7" i="16"/>
  <c r="JW14" i="16"/>
  <c r="JW15" i="16"/>
  <c r="JU8" i="16"/>
  <c r="JU9" i="16"/>
  <c r="JU16" i="16"/>
  <c r="JU17" i="16"/>
  <c r="JS2" i="16"/>
  <c r="JS3" i="16"/>
  <c r="JS10" i="16"/>
  <c r="JS11" i="16"/>
  <c r="JS18" i="16"/>
  <c r="Q32" i="12"/>
  <c r="Q33" i="12"/>
  <c r="R33" i="12"/>
  <c r="S33" i="12"/>
  <c r="T33" i="12"/>
  <c r="U33" i="12"/>
  <c r="V33" i="12"/>
  <c r="W33" i="12"/>
  <c r="X33" i="12"/>
  <c r="Q34" i="12"/>
  <c r="R34" i="12"/>
  <c r="S34" i="12"/>
  <c r="T34" i="12"/>
  <c r="U34" i="12"/>
  <c r="V34" i="12"/>
  <c r="W34" i="12"/>
  <c r="X34" i="12"/>
  <c r="Q35" i="12"/>
  <c r="R35" i="12"/>
  <c r="S35" i="12"/>
  <c r="T35" i="12"/>
  <c r="U35" i="12"/>
  <c r="V35" i="12"/>
  <c r="W35" i="12"/>
  <c r="X35" i="12"/>
  <c r="Q36" i="12"/>
  <c r="R36" i="12"/>
  <c r="S36" i="12"/>
  <c r="T36" i="12"/>
  <c r="U36" i="12"/>
  <c r="V36" i="12"/>
  <c r="W36" i="12"/>
  <c r="X36" i="12"/>
  <c r="Q37" i="12"/>
  <c r="R37" i="12"/>
  <c r="S37" i="12"/>
  <c r="T37" i="12"/>
  <c r="U37" i="12"/>
  <c r="V37" i="12"/>
  <c r="W37" i="12"/>
  <c r="X37" i="12"/>
  <c r="Q38" i="12"/>
  <c r="R38" i="12"/>
  <c r="S38" i="12"/>
  <c r="T38" i="12"/>
  <c r="U38" i="12"/>
  <c r="V38" i="12"/>
  <c r="W38" i="12"/>
  <c r="X38" i="12"/>
  <c r="Q39" i="12"/>
  <c r="R39" i="12"/>
  <c r="S39" i="12"/>
  <c r="T39" i="12"/>
  <c r="U39" i="12"/>
  <c r="V39" i="12"/>
  <c r="W39" i="12"/>
  <c r="X39" i="12"/>
  <c r="Q40" i="12"/>
  <c r="R40" i="12"/>
  <c r="S40" i="12"/>
  <c r="T40" i="12"/>
  <c r="U40" i="12"/>
  <c r="V40" i="12"/>
  <c r="W40" i="12"/>
  <c r="X40" i="12"/>
  <c r="Q41" i="12"/>
  <c r="R41" i="12"/>
  <c r="S41" i="12"/>
  <c r="T41" i="12"/>
  <c r="U41" i="12"/>
  <c r="V41" i="12"/>
  <c r="W41" i="12"/>
  <c r="X41" i="12"/>
  <c r="Q42" i="12"/>
  <c r="R42" i="12"/>
  <c r="S42" i="12"/>
  <c r="T42" i="12"/>
  <c r="U42" i="12"/>
  <c r="V42" i="12"/>
  <c r="W42" i="12"/>
  <c r="X42" i="12"/>
  <c r="Q43" i="12"/>
  <c r="R43" i="12"/>
  <c r="S43" i="12"/>
  <c r="T43" i="12"/>
  <c r="U43" i="12"/>
  <c r="V43" i="12"/>
  <c r="W43" i="12"/>
  <c r="X43" i="12"/>
  <c r="Q44" i="12"/>
  <c r="R44" i="12"/>
  <c r="S44" i="12"/>
  <c r="T44" i="12"/>
  <c r="U44" i="12"/>
  <c r="V44" i="12"/>
  <c r="W44" i="12"/>
  <c r="X44" i="12"/>
  <c r="Q45" i="12"/>
  <c r="R45" i="12"/>
  <c r="S45" i="12"/>
  <c r="T45" i="12"/>
  <c r="U45" i="12"/>
  <c r="V45" i="12"/>
  <c r="W45" i="12"/>
  <c r="X45" i="12"/>
  <c r="Q46" i="12"/>
  <c r="R46" i="12"/>
  <c r="S46" i="12"/>
  <c r="T46" i="12"/>
  <c r="U46" i="12"/>
  <c r="V46" i="12"/>
  <c r="W46" i="12"/>
  <c r="X46" i="12"/>
  <c r="Q47" i="12"/>
  <c r="R47" i="12"/>
  <c r="S47" i="12"/>
  <c r="T47" i="12"/>
  <c r="U47" i="12"/>
  <c r="V47" i="12"/>
  <c r="W47" i="12"/>
  <c r="X47" i="12"/>
  <c r="Q48" i="12"/>
  <c r="R48" i="12"/>
  <c r="S48" i="12"/>
  <c r="T48" i="12"/>
  <c r="U48" i="12"/>
  <c r="V48" i="12"/>
  <c r="W48" i="12"/>
  <c r="X48" i="12"/>
  <c r="Q49" i="12"/>
  <c r="R49" i="12"/>
  <c r="S49" i="12"/>
  <c r="T49" i="12"/>
  <c r="U49" i="12"/>
  <c r="V49" i="12"/>
  <c r="W49" i="12"/>
  <c r="X49" i="12"/>
  <c r="Q50" i="12"/>
  <c r="R50" i="12"/>
  <c r="S50" i="12"/>
  <c r="T50" i="12"/>
  <c r="U50" i="12"/>
  <c r="V50" i="12"/>
  <c r="W50" i="12"/>
  <c r="X50" i="12"/>
  <c r="R32" i="12"/>
  <c r="S32" i="12"/>
  <c r="T32" i="12"/>
  <c r="U32" i="12"/>
  <c r="V32" i="12"/>
  <c r="W32" i="12"/>
  <c r="JX20" i="16"/>
  <c r="JW20" i="16"/>
  <c r="JV20" i="16"/>
  <c r="JU20" i="16"/>
  <c r="JS20" i="16"/>
  <c r="JR20" i="16"/>
  <c r="GE20" i="16"/>
  <c r="AT20" i="16"/>
  <c r="AS20" i="16"/>
  <c r="AR20" i="16"/>
  <c r="AQ20" i="16"/>
  <c r="JY19" i="16"/>
  <c r="JX19" i="16"/>
  <c r="JW19" i="16"/>
  <c r="JU19" i="16"/>
  <c r="JR19" i="16"/>
  <c r="GE19" i="16"/>
  <c r="AT19" i="16"/>
  <c r="AS19" i="16"/>
  <c r="AR19" i="16"/>
  <c r="AQ19" i="16"/>
  <c r="JY18" i="16"/>
  <c r="JX18" i="16"/>
  <c r="JW18" i="16"/>
  <c r="JV18" i="16"/>
  <c r="JU18" i="16"/>
  <c r="JT18" i="16"/>
  <c r="JR18" i="16"/>
  <c r="GE18" i="16"/>
  <c r="AT18" i="16"/>
  <c r="AS18" i="16"/>
  <c r="AR18" i="16"/>
  <c r="AQ18" i="16"/>
  <c r="JY17" i="16"/>
  <c r="JW17" i="16"/>
  <c r="JV17" i="16"/>
  <c r="JT17" i="16"/>
  <c r="GE17" i="16"/>
  <c r="AT17" i="16"/>
  <c r="AS17" i="16"/>
  <c r="AR17" i="16"/>
  <c r="AQ17" i="16"/>
  <c r="JY16" i="16"/>
  <c r="JX16" i="16"/>
  <c r="JV16" i="16"/>
  <c r="JS16" i="16"/>
  <c r="JR16" i="16"/>
  <c r="GE16" i="16"/>
  <c r="AT16" i="16"/>
  <c r="AS16" i="16"/>
  <c r="AR16" i="16"/>
  <c r="AQ16" i="16"/>
  <c r="JR15" i="16"/>
  <c r="JY15" i="16"/>
  <c r="JX15" i="16"/>
  <c r="JU15" i="16"/>
  <c r="JS15" i="16"/>
  <c r="GE15" i="16"/>
  <c r="AT15" i="16"/>
  <c r="AS15" i="16"/>
  <c r="AR15" i="16"/>
  <c r="AQ15" i="16"/>
  <c r="JY14" i="16"/>
  <c r="JX14" i="16"/>
  <c r="JV14" i="16"/>
  <c r="JU14" i="16"/>
  <c r="JT14" i="16"/>
  <c r="JS14" i="16"/>
  <c r="JR14" i="16"/>
  <c r="GE14" i="16"/>
  <c r="AT14" i="16"/>
  <c r="AS14" i="16"/>
  <c r="AR14" i="16"/>
  <c r="AQ14" i="16"/>
  <c r="JT13" i="16"/>
  <c r="JX13" i="16"/>
  <c r="JW13" i="16"/>
  <c r="JV13" i="16"/>
  <c r="JU13" i="16"/>
  <c r="JS13" i="16"/>
  <c r="JR13" i="16"/>
  <c r="GE13" i="16"/>
  <c r="AT13" i="16"/>
  <c r="AS13" i="16"/>
  <c r="AR13" i="16"/>
  <c r="AQ13" i="16"/>
  <c r="JX12" i="16"/>
  <c r="JW12" i="16"/>
  <c r="JV12" i="16"/>
  <c r="JU12" i="16"/>
  <c r="JR12" i="16"/>
  <c r="GE12" i="16"/>
  <c r="AT12" i="16"/>
  <c r="AS12" i="16"/>
  <c r="AR12" i="16"/>
  <c r="AQ12" i="16"/>
  <c r="JV11" i="16"/>
  <c r="JY11" i="16"/>
  <c r="JX11" i="16"/>
  <c r="JW11" i="16"/>
  <c r="JU11" i="16"/>
  <c r="JT11" i="16"/>
  <c r="JR11" i="16"/>
  <c r="GE11" i="16"/>
  <c r="AT11" i="16"/>
  <c r="AS11" i="16"/>
  <c r="AR11" i="16"/>
  <c r="AQ11" i="16"/>
  <c r="JY10" i="16"/>
  <c r="JX10" i="16"/>
  <c r="JV10" i="16"/>
  <c r="JU10" i="16"/>
  <c r="JT10" i="16"/>
  <c r="JR10" i="16"/>
  <c r="GE10" i="16"/>
  <c r="AT10" i="16"/>
  <c r="AS10" i="16"/>
  <c r="AR10" i="16"/>
  <c r="AQ10" i="16"/>
  <c r="JY9" i="16"/>
  <c r="JW9" i="16"/>
  <c r="JT9" i="16"/>
  <c r="GE9" i="16"/>
  <c r="AT9" i="16"/>
  <c r="AS9" i="16"/>
  <c r="AR9" i="16"/>
  <c r="AQ9" i="16"/>
  <c r="JY8" i="16"/>
  <c r="JX8" i="16"/>
  <c r="JW8" i="16"/>
  <c r="JV8" i="16"/>
  <c r="JT8" i="16"/>
  <c r="JS8" i="16"/>
  <c r="JR8" i="16"/>
  <c r="GE8" i="16"/>
  <c r="AT8" i="16"/>
  <c r="AS8" i="16"/>
  <c r="AR8" i="16"/>
  <c r="AQ8" i="16"/>
  <c r="JR7" i="16"/>
  <c r="JY7" i="16"/>
  <c r="JX7" i="16"/>
  <c r="JU7" i="16"/>
  <c r="JT7" i="16"/>
  <c r="JS7" i="16"/>
  <c r="GE7" i="16"/>
  <c r="AT7" i="16"/>
  <c r="AS7" i="16"/>
  <c r="AR7" i="16"/>
  <c r="AQ7" i="16"/>
  <c r="JY6" i="16"/>
  <c r="JX6" i="16"/>
  <c r="JV6" i="16"/>
  <c r="JU6" i="16"/>
  <c r="JT6" i="16"/>
  <c r="JS6" i="16"/>
  <c r="JR6" i="16"/>
  <c r="GE6" i="16"/>
  <c r="AT6" i="16"/>
  <c r="AS6" i="16"/>
  <c r="AR6" i="16"/>
  <c r="AQ6" i="16"/>
  <c r="JT5" i="16"/>
  <c r="JX5" i="16"/>
  <c r="JW5" i="16"/>
  <c r="JV5" i="16"/>
  <c r="JU5" i="16"/>
  <c r="JS5" i="16"/>
  <c r="JR5" i="16"/>
  <c r="GE5" i="16"/>
  <c r="AT5" i="16"/>
  <c r="AS5" i="16"/>
  <c r="AR5" i="16"/>
  <c r="AQ5" i="16"/>
  <c r="JX4" i="16"/>
  <c r="JW4" i="16"/>
  <c r="JV4" i="16"/>
  <c r="JU4" i="16"/>
  <c r="JT4" i="16"/>
  <c r="JS4" i="16"/>
  <c r="JR4" i="16"/>
  <c r="GE4" i="16"/>
  <c r="AT4" i="16"/>
  <c r="AS4" i="16"/>
  <c r="AR4" i="16"/>
  <c r="AQ4" i="16"/>
  <c r="JY3" i="16"/>
  <c r="JX3" i="16"/>
  <c r="JW3" i="16"/>
  <c r="JU3" i="16"/>
  <c r="JT3" i="16"/>
  <c r="JR3" i="16"/>
  <c r="GE3" i="16"/>
  <c r="AT3" i="16"/>
  <c r="AS3" i="16"/>
  <c r="AR3" i="16"/>
  <c r="AQ3" i="16"/>
  <c r="JY2" i="16"/>
  <c r="JX2" i="16"/>
  <c r="JW2" i="16"/>
  <c r="JV2" i="16"/>
  <c r="JU2" i="16"/>
  <c r="JT2" i="16"/>
  <c r="JR2" i="16"/>
  <c r="GE2" i="16"/>
  <c r="AT2" i="16"/>
  <c r="AS2" i="16"/>
  <c r="AR2" i="16"/>
  <c r="AQ2" i="16"/>
  <c r="M1" i="15"/>
  <c r="M2" i="15"/>
  <c r="N2" i="15"/>
  <c r="O2" i="15"/>
  <c r="P2" i="15"/>
  <c r="Q2" i="15"/>
  <c r="R2" i="15"/>
  <c r="S2" i="15"/>
  <c r="T2" i="15"/>
  <c r="U2" i="15"/>
  <c r="V2" i="15"/>
  <c r="M3" i="15"/>
  <c r="N3" i="15"/>
  <c r="O3" i="15"/>
  <c r="P3" i="15"/>
  <c r="Q3" i="15"/>
  <c r="R3" i="15"/>
  <c r="S3" i="15"/>
  <c r="T3" i="15"/>
  <c r="U3" i="15"/>
  <c r="V3" i="15"/>
  <c r="M4" i="15"/>
  <c r="N4" i="15"/>
  <c r="O4" i="15"/>
  <c r="P4" i="15"/>
  <c r="Q4" i="15"/>
  <c r="R4" i="15"/>
  <c r="S4" i="15"/>
  <c r="T4" i="15"/>
  <c r="U4" i="15"/>
  <c r="V4" i="15"/>
  <c r="M5" i="15"/>
  <c r="N5" i="15"/>
  <c r="O5" i="15"/>
  <c r="P5" i="15"/>
  <c r="Q5" i="15"/>
  <c r="R5" i="15"/>
  <c r="S5" i="15"/>
  <c r="T5" i="15"/>
  <c r="U5" i="15"/>
  <c r="V5" i="15"/>
  <c r="M6" i="15"/>
  <c r="N6" i="15"/>
  <c r="O6" i="15"/>
  <c r="P6" i="15"/>
  <c r="Q6" i="15"/>
  <c r="R6" i="15"/>
  <c r="S6" i="15"/>
  <c r="T6" i="15"/>
  <c r="U6" i="15"/>
  <c r="V6" i="15"/>
  <c r="M7" i="15"/>
  <c r="N7" i="15"/>
  <c r="O7" i="15"/>
  <c r="P7" i="15"/>
  <c r="Q7" i="15"/>
  <c r="R7" i="15"/>
  <c r="S7" i="15"/>
  <c r="T7" i="15"/>
  <c r="U7" i="15"/>
  <c r="V7" i="15"/>
  <c r="M8" i="15"/>
  <c r="N8" i="15"/>
  <c r="O8" i="15"/>
  <c r="P8" i="15"/>
  <c r="Q8" i="15"/>
  <c r="R8" i="15"/>
  <c r="S8" i="15"/>
  <c r="T8" i="15"/>
  <c r="U8" i="15"/>
  <c r="V8" i="15"/>
  <c r="M9" i="15"/>
  <c r="N9" i="15"/>
  <c r="O9" i="15"/>
  <c r="P9" i="15"/>
  <c r="Q9" i="15"/>
  <c r="R9" i="15"/>
  <c r="S9" i="15"/>
  <c r="T9" i="15"/>
  <c r="U9" i="15"/>
  <c r="V9" i="15"/>
  <c r="M10" i="15"/>
  <c r="N10" i="15"/>
  <c r="O10" i="15"/>
  <c r="P10" i="15"/>
  <c r="Q10" i="15"/>
  <c r="R10" i="15"/>
  <c r="S10" i="15"/>
  <c r="T10" i="15"/>
  <c r="U10" i="15"/>
  <c r="V10" i="15"/>
  <c r="M11" i="15"/>
  <c r="N11" i="15"/>
  <c r="O11" i="15"/>
  <c r="P11" i="15"/>
  <c r="Q11" i="15"/>
  <c r="R11" i="15"/>
  <c r="S11" i="15"/>
  <c r="T11" i="15"/>
  <c r="U11" i="15"/>
  <c r="V11" i="15"/>
  <c r="M12" i="15"/>
  <c r="N12" i="15"/>
  <c r="O12" i="15"/>
  <c r="P12" i="15"/>
  <c r="Q12" i="15"/>
  <c r="R12" i="15"/>
  <c r="S12" i="15"/>
  <c r="T12" i="15"/>
  <c r="U12" i="15"/>
  <c r="V12" i="15"/>
  <c r="M13" i="15"/>
  <c r="N13" i="15"/>
  <c r="O13" i="15"/>
  <c r="P13" i="15"/>
  <c r="Q13" i="15"/>
  <c r="R13" i="15"/>
  <c r="S13" i="15"/>
  <c r="T13" i="15"/>
  <c r="U13" i="15"/>
  <c r="V13" i="15"/>
  <c r="M14" i="15"/>
  <c r="N14" i="15"/>
  <c r="O14" i="15"/>
  <c r="P14" i="15"/>
  <c r="Q14" i="15"/>
  <c r="R14" i="15"/>
  <c r="S14" i="15"/>
  <c r="T14" i="15"/>
  <c r="U14" i="15"/>
  <c r="V14" i="15"/>
  <c r="M15" i="15"/>
  <c r="N15" i="15"/>
  <c r="O15" i="15"/>
  <c r="P15" i="15"/>
  <c r="Q15" i="15"/>
  <c r="R15" i="15"/>
  <c r="S15" i="15"/>
  <c r="T15" i="15"/>
  <c r="U15" i="15"/>
  <c r="V15" i="15"/>
  <c r="M16" i="15"/>
  <c r="N16" i="15"/>
  <c r="O16" i="15"/>
  <c r="P16" i="15"/>
  <c r="Q16" i="15"/>
  <c r="R16" i="15"/>
  <c r="S16" i="15"/>
  <c r="T16" i="15"/>
  <c r="U16" i="15"/>
  <c r="V16" i="15"/>
  <c r="M17" i="15"/>
  <c r="N17" i="15"/>
  <c r="O17" i="15"/>
  <c r="P17" i="15"/>
  <c r="Q17" i="15"/>
  <c r="R17" i="15"/>
  <c r="S17" i="15"/>
  <c r="T17" i="15"/>
  <c r="U17" i="15"/>
  <c r="V17" i="15"/>
  <c r="M18" i="15"/>
  <c r="N18" i="15"/>
  <c r="O18" i="15"/>
  <c r="P18" i="15"/>
  <c r="Q18" i="15"/>
  <c r="R18" i="15"/>
  <c r="S18" i="15"/>
  <c r="T18" i="15"/>
  <c r="U18" i="15"/>
  <c r="V18" i="15"/>
  <c r="M19" i="15"/>
  <c r="N19" i="15"/>
  <c r="O19" i="15"/>
  <c r="P19" i="15"/>
  <c r="Q19" i="15"/>
  <c r="R19" i="15"/>
  <c r="S19" i="15"/>
  <c r="T19" i="15"/>
  <c r="U19" i="15"/>
  <c r="V19" i="15"/>
  <c r="N1" i="15"/>
  <c r="O1" i="15"/>
  <c r="P1" i="15"/>
  <c r="Q1" i="15"/>
  <c r="R1" i="15"/>
  <c r="S1" i="15"/>
  <c r="T1" i="15"/>
  <c r="U1" i="15"/>
  <c r="V1" i="15"/>
  <c r="JU20" i="13"/>
  <c r="JT20" i="13"/>
  <c r="JO20" i="13"/>
  <c r="JN20" i="13"/>
  <c r="JM20" i="13"/>
  <c r="JL20" i="13"/>
  <c r="JK20" i="13"/>
  <c r="JJ20" i="13"/>
  <c r="JI20" i="13"/>
  <c r="JH20" i="13"/>
  <c r="JG20" i="13"/>
  <c r="JF20" i="13"/>
  <c r="JE20" i="13"/>
  <c r="JD20" i="13"/>
  <c r="JC20" i="13"/>
  <c r="JB20" i="13"/>
  <c r="JA20" i="13"/>
  <c r="IZ20" i="13"/>
  <c r="IY20" i="13"/>
  <c r="IX20" i="13"/>
  <c r="IW20" i="13"/>
  <c r="IV20" i="13"/>
  <c r="IU20" i="13"/>
  <c r="IT20" i="13"/>
  <c r="IS20" i="13"/>
  <c r="IR20" i="13"/>
  <c r="IQ20" i="13"/>
  <c r="IP20" i="13"/>
  <c r="IO20" i="13"/>
  <c r="IN20" i="13"/>
  <c r="JY20" i="13" s="1"/>
  <c r="IM20" i="13"/>
  <c r="JX20" i="13" s="1"/>
  <c r="IL20" i="13"/>
  <c r="JW20" i="13" s="1"/>
  <c r="IK20" i="13"/>
  <c r="JV20" i="13" s="1"/>
  <c r="IJ20" i="13"/>
  <c r="II20" i="13"/>
  <c r="IH20" i="13"/>
  <c r="JS20" i="13" s="1"/>
  <c r="IG20" i="13"/>
  <c r="JR20" i="13" s="1"/>
  <c r="JQ20" i="13" s="1"/>
  <c r="JP20" i="13" s="1"/>
  <c r="IF20" i="13"/>
  <c r="GE20" i="13"/>
  <c r="AT20" i="13"/>
  <c r="AS20" i="13"/>
  <c r="AR20" i="13"/>
  <c r="AQ20" i="13"/>
  <c r="JX19" i="13"/>
  <c r="JW19" i="13"/>
  <c r="JO19" i="13"/>
  <c r="JN19" i="13"/>
  <c r="JM19" i="13"/>
  <c r="JL19" i="13"/>
  <c r="JK19" i="13"/>
  <c r="JJ19" i="13"/>
  <c r="JI19" i="13"/>
  <c r="JH19" i="13"/>
  <c r="JG19" i="13"/>
  <c r="JF19" i="13"/>
  <c r="JE19" i="13"/>
  <c r="JD19" i="13"/>
  <c r="JC19" i="13"/>
  <c r="JB19" i="13"/>
  <c r="JA19" i="13"/>
  <c r="IZ19" i="13"/>
  <c r="IY19" i="13"/>
  <c r="IX19" i="13"/>
  <c r="IW19" i="13"/>
  <c r="IV19" i="13"/>
  <c r="IU19" i="13"/>
  <c r="IT19" i="13"/>
  <c r="JV19" i="13" s="1"/>
  <c r="IS19" i="13"/>
  <c r="IR19" i="13"/>
  <c r="IQ19" i="13"/>
  <c r="IP19" i="13"/>
  <c r="IO19" i="13"/>
  <c r="IN19" i="13"/>
  <c r="JY19" i="13" s="1"/>
  <c r="IM19" i="13"/>
  <c r="IL19" i="13"/>
  <c r="IK19" i="13"/>
  <c r="IJ19" i="13"/>
  <c r="JU19" i="13" s="1"/>
  <c r="II19" i="13"/>
  <c r="JT19" i="13" s="1"/>
  <c r="IH19" i="13"/>
  <c r="JS19" i="13" s="1"/>
  <c r="IG19" i="13"/>
  <c r="JR19" i="13" s="1"/>
  <c r="JQ19" i="13" s="1"/>
  <c r="JP19" i="13" s="1"/>
  <c r="IF19" i="13"/>
  <c r="GE19" i="13"/>
  <c r="AT19" i="13"/>
  <c r="AS19" i="13"/>
  <c r="AR19" i="13"/>
  <c r="AQ19" i="13"/>
  <c r="JS18" i="13"/>
  <c r="JR18" i="13"/>
  <c r="JQ18" i="13" s="1"/>
  <c r="JP18" i="13" s="1"/>
  <c r="JO18" i="13"/>
  <c r="JN18" i="13"/>
  <c r="JM18" i="13"/>
  <c r="JL18" i="13"/>
  <c r="JK18" i="13"/>
  <c r="JJ18" i="13"/>
  <c r="JI18" i="13"/>
  <c r="JH18" i="13"/>
  <c r="JG18" i="13"/>
  <c r="JF18" i="13"/>
  <c r="JY18" i="13" s="1"/>
  <c r="JE18" i="13"/>
  <c r="JD18" i="13"/>
  <c r="JC18" i="13"/>
  <c r="JB18" i="13"/>
  <c r="JA18" i="13"/>
  <c r="IZ18" i="13"/>
  <c r="IY18" i="13"/>
  <c r="IX18" i="13"/>
  <c r="IW18" i="13"/>
  <c r="IV18" i="13"/>
  <c r="IU18" i="13"/>
  <c r="IT18" i="13"/>
  <c r="IS18" i="13"/>
  <c r="IR18" i="13"/>
  <c r="IQ18" i="13"/>
  <c r="IP18" i="13"/>
  <c r="IO18" i="13"/>
  <c r="IN18" i="13"/>
  <c r="IM18" i="13"/>
  <c r="JX18" i="13" s="1"/>
  <c r="IL18" i="13"/>
  <c r="JW18" i="13" s="1"/>
  <c r="IK18" i="13"/>
  <c r="JV18" i="13" s="1"/>
  <c r="IJ18" i="13"/>
  <c r="JU18" i="13" s="1"/>
  <c r="II18" i="13"/>
  <c r="JT18" i="13" s="1"/>
  <c r="IH18" i="13"/>
  <c r="IG18" i="13"/>
  <c r="IF18" i="13"/>
  <c r="GE18" i="13"/>
  <c r="AT18" i="13"/>
  <c r="AS18" i="13"/>
  <c r="AR18" i="13"/>
  <c r="AQ18" i="13"/>
  <c r="JV17" i="13"/>
  <c r="JU17" i="13"/>
  <c r="JT17" i="13"/>
  <c r="JO17" i="13"/>
  <c r="JN17" i="13"/>
  <c r="JM17" i="13"/>
  <c r="JL17" i="13"/>
  <c r="JK17" i="13"/>
  <c r="JJ17" i="13"/>
  <c r="JI17" i="13"/>
  <c r="JH17" i="13"/>
  <c r="JG17" i="13"/>
  <c r="JF17" i="13"/>
  <c r="JE17" i="13"/>
  <c r="JD17" i="13"/>
  <c r="JC17" i="13"/>
  <c r="JB17" i="13"/>
  <c r="JA17" i="13"/>
  <c r="IZ17" i="13"/>
  <c r="IY17" i="13"/>
  <c r="IX17" i="13"/>
  <c r="IW17" i="13"/>
  <c r="IV17" i="13"/>
  <c r="IU17" i="13"/>
  <c r="IT17" i="13"/>
  <c r="IS17" i="13"/>
  <c r="IR17" i="13"/>
  <c r="IQ17" i="13"/>
  <c r="IP17" i="13"/>
  <c r="IO17" i="13"/>
  <c r="IN17" i="13"/>
  <c r="JY17" i="13" s="1"/>
  <c r="IM17" i="13"/>
  <c r="JX17" i="13" s="1"/>
  <c r="IL17" i="13"/>
  <c r="JW17" i="13" s="1"/>
  <c r="IK17" i="13"/>
  <c r="IJ17" i="13"/>
  <c r="II17" i="13"/>
  <c r="IH17" i="13"/>
  <c r="JS17" i="13" s="1"/>
  <c r="IG17" i="13"/>
  <c r="JR17" i="13" s="1"/>
  <c r="JQ17" i="13" s="1"/>
  <c r="JP17" i="13" s="1"/>
  <c r="IF17" i="13"/>
  <c r="GE17" i="13"/>
  <c r="AT17" i="13"/>
  <c r="AS17" i="13"/>
  <c r="AR17" i="13"/>
  <c r="AQ17" i="13"/>
  <c r="JY16" i="13"/>
  <c r="JX16" i="13"/>
  <c r="JW16" i="13"/>
  <c r="JO16" i="13"/>
  <c r="JN16" i="13"/>
  <c r="JM16" i="13"/>
  <c r="JL16" i="13"/>
  <c r="JK16" i="13"/>
  <c r="JJ16" i="13"/>
  <c r="JI16" i="13"/>
  <c r="JH16" i="13"/>
  <c r="JG16" i="13"/>
  <c r="JF16" i="13"/>
  <c r="JE16" i="13"/>
  <c r="JD16" i="13"/>
  <c r="JC16" i="13"/>
  <c r="JB16" i="13"/>
  <c r="JA16" i="13"/>
  <c r="IZ16" i="13"/>
  <c r="IY16" i="13"/>
  <c r="IX16" i="13"/>
  <c r="IW16" i="13"/>
  <c r="IV16" i="13"/>
  <c r="IU16" i="13"/>
  <c r="IT16" i="13"/>
  <c r="IS16" i="13"/>
  <c r="IR16" i="13"/>
  <c r="IQ16" i="13"/>
  <c r="IP16" i="13"/>
  <c r="IO16" i="13"/>
  <c r="IN16" i="13"/>
  <c r="IM16" i="13"/>
  <c r="IL16" i="13"/>
  <c r="IK16" i="13"/>
  <c r="JV16" i="13" s="1"/>
  <c r="IJ16" i="13"/>
  <c r="JU16" i="13" s="1"/>
  <c r="II16" i="13"/>
  <c r="JT16" i="13" s="1"/>
  <c r="IH16" i="13"/>
  <c r="JS16" i="13" s="1"/>
  <c r="IG16" i="13"/>
  <c r="JR16" i="13" s="1"/>
  <c r="JQ16" i="13" s="1"/>
  <c r="JP16" i="13" s="1"/>
  <c r="IF16" i="13"/>
  <c r="GE16" i="13"/>
  <c r="AT16" i="13"/>
  <c r="AS16" i="13"/>
  <c r="AR16" i="13"/>
  <c r="AQ16" i="13"/>
  <c r="JT15" i="13"/>
  <c r="JS15" i="13"/>
  <c r="JR15" i="13"/>
  <c r="JQ15" i="13" s="1"/>
  <c r="JP15" i="13" s="1"/>
  <c r="JO15" i="13"/>
  <c r="JN15" i="13"/>
  <c r="JM15" i="13"/>
  <c r="JL15" i="13"/>
  <c r="JK15" i="13"/>
  <c r="JJ15" i="13"/>
  <c r="JI15" i="13"/>
  <c r="JH15" i="13"/>
  <c r="JG15" i="13"/>
  <c r="JF15" i="13"/>
  <c r="JE15" i="13"/>
  <c r="JD15" i="13"/>
  <c r="JC15" i="13"/>
  <c r="JB15" i="13"/>
  <c r="JA15" i="13"/>
  <c r="IZ15" i="13"/>
  <c r="IY15" i="13"/>
  <c r="IX15" i="13"/>
  <c r="IW15" i="13"/>
  <c r="IV15" i="13"/>
  <c r="IU15" i="13"/>
  <c r="IT15" i="13"/>
  <c r="IS15" i="13"/>
  <c r="IR15" i="13"/>
  <c r="IQ15" i="13"/>
  <c r="IP15" i="13"/>
  <c r="IO15" i="13"/>
  <c r="IN15" i="13"/>
  <c r="JY15" i="13" s="1"/>
  <c r="IM15" i="13"/>
  <c r="JX15" i="13" s="1"/>
  <c r="IL15" i="13"/>
  <c r="JW15" i="13" s="1"/>
  <c r="IK15" i="13"/>
  <c r="JV15" i="13" s="1"/>
  <c r="IJ15" i="13"/>
  <c r="JU15" i="13" s="1"/>
  <c r="II15" i="13"/>
  <c r="IH15" i="13"/>
  <c r="IG15" i="13"/>
  <c r="IF15" i="13"/>
  <c r="GE15" i="13"/>
  <c r="AT15" i="13"/>
  <c r="AS15" i="13"/>
  <c r="AR15" i="13"/>
  <c r="AQ15" i="13"/>
  <c r="JW14" i="13"/>
  <c r="JV14" i="13"/>
  <c r="JU14" i="13"/>
  <c r="JO14" i="13"/>
  <c r="JN14" i="13"/>
  <c r="JM14" i="13"/>
  <c r="JL14" i="13"/>
  <c r="JK14" i="13"/>
  <c r="JJ14" i="13"/>
  <c r="JI14" i="13"/>
  <c r="JH14" i="13"/>
  <c r="JG14" i="13"/>
  <c r="JF14" i="13"/>
  <c r="JE14" i="13"/>
  <c r="JD14" i="13"/>
  <c r="JC14" i="13"/>
  <c r="JB14" i="13"/>
  <c r="JA14" i="13"/>
  <c r="IZ14" i="13"/>
  <c r="IY14" i="13"/>
  <c r="IX14" i="13"/>
  <c r="IW14" i="13"/>
  <c r="IV14" i="13"/>
  <c r="IU14" i="13"/>
  <c r="IT14" i="13"/>
  <c r="IS14" i="13"/>
  <c r="IR14" i="13"/>
  <c r="IQ14" i="13"/>
  <c r="IP14" i="13"/>
  <c r="IO14" i="13"/>
  <c r="IN14" i="13"/>
  <c r="JY14" i="13" s="1"/>
  <c r="IM14" i="13"/>
  <c r="JX14" i="13" s="1"/>
  <c r="IL14" i="13"/>
  <c r="IK14" i="13"/>
  <c r="IJ14" i="13"/>
  <c r="II14" i="13"/>
  <c r="JT14" i="13" s="1"/>
  <c r="IH14" i="13"/>
  <c r="JS14" i="13" s="1"/>
  <c r="IG14" i="13"/>
  <c r="JR14" i="13" s="1"/>
  <c r="JQ14" i="13" s="1"/>
  <c r="JP14" i="13" s="1"/>
  <c r="IF14" i="13"/>
  <c r="GE14" i="13"/>
  <c r="AT14" i="13"/>
  <c r="AS14" i="13"/>
  <c r="AR14" i="13"/>
  <c r="AQ14" i="13"/>
  <c r="JY13" i="13"/>
  <c r="JX13" i="13"/>
  <c r="JR13" i="13"/>
  <c r="JQ13" i="13"/>
  <c r="JP13" i="13" s="1"/>
  <c r="JO13" i="13"/>
  <c r="JN13" i="13"/>
  <c r="JM13" i="13"/>
  <c r="JL13" i="13"/>
  <c r="JK13" i="13"/>
  <c r="JJ13" i="13"/>
  <c r="JI13" i="13"/>
  <c r="JH13" i="13"/>
  <c r="JG13" i="13"/>
  <c r="JF13" i="13"/>
  <c r="JE13" i="13"/>
  <c r="JD13" i="13"/>
  <c r="JC13" i="13"/>
  <c r="JB13" i="13"/>
  <c r="JA13" i="13"/>
  <c r="IZ13" i="13"/>
  <c r="IY13" i="13"/>
  <c r="IX13" i="13"/>
  <c r="IW13" i="13"/>
  <c r="IV13" i="13"/>
  <c r="IU13" i="13"/>
  <c r="IT13" i="13"/>
  <c r="IS13" i="13"/>
  <c r="IR13" i="13"/>
  <c r="IQ13" i="13"/>
  <c r="IP13" i="13"/>
  <c r="IO13" i="13"/>
  <c r="IN13" i="13"/>
  <c r="IM13" i="13"/>
  <c r="IL13" i="13"/>
  <c r="JW13" i="13" s="1"/>
  <c r="IK13" i="13"/>
  <c r="JV13" i="13" s="1"/>
  <c r="IJ13" i="13"/>
  <c r="JU13" i="13" s="1"/>
  <c r="II13" i="13"/>
  <c r="JT13" i="13" s="1"/>
  <c r="IH13" i="13"/>
  <c r="JS13" i="13" s="1"/>
  <c r="IG13" i="13"/>
  <c r="IF13" i="13"/>
  <c r="GE13" i="13"/>
  <c r="AT13" i="13"/>
  <c r="AS13" i="13"/>
  <c r="AR13" i="13"/>
  <c r="AQ13" i="13"/>
  <c r="JU12" i="13"/>
  <c r="JT12" i="13"/>
  <c r="JS12" i="13"/>
  <c r="JO12" i="13"/>
  <c r="JN12" i="13"/>
  <c r="JM12" i="13"/>
  <c r="JL12" i="13"/>
  <c r="JK12" i="13"/>
  <c r="JJ12" i="13"/>
  <c r="JI12" i="13"/>
  <c r="JH12" i="13"/>
  <c r="JG12" i="13"/>
  <c r="JF12" i="13"/>
  <c r="JE12" i="13"/>
  <c r="JD12" i="13"/>
  <c r="JC12" i="13"/>
  <c r="JB12" i="13"/>
  <c r="JA12" i="13"/>
  <c r="IZ12" i="13"/>
  <c r="IY12" i="13"/>
  <c r="IX12" i="13"/>
  <c r="IW12" i="13"/>
  <c r="IV12" i="13"/>
  <c r="IU12" i="13"/>
  <c r="IT12" i="13"/>
  <c r="IS12" i="13"/>
  <c r="IR12" i="13"/>
  <c r="IQ12" i="13"/>
  <c r="IP12" i="13"/>
  <c r="IO12" i="13"/>
  <c r="IN12" i="13"/>
  <c r="JY12" i="13" s="1"/>
  <c r="IM12" i="13"/>
  <c r="JX12" i="13" s="1"/>
  <c r="IL12" i="13"/>
  <c r="JW12" i="13" s="1"/>
  <c r="IK12" i="13"/>
  <c r="JV12" i="13" s="1"/>
  <c r="IJ12" i="13"/>
  <c r="II12" i="13"/>
  <c r="IH12" i="13"/>
  <c r="IG12" i="13"/>
  <c r="JR12" i="13" s="1"/>
  <c r="JQ12" i="13" s="1"/>
  <c r="JP12" i="13" s="1"/>
  <c r="IF12" i="13"/>
  <c r="GE12" i="13"/>
  <c r="AT12" i="13"/>
  <c r="AS12" i="13"/>
  <c r="AR12" i="13"/>
  <c r="AQ12" i="13"/>
  <c r="JX11" i="13"/>
  <c r="JW11" i="13"/>
  <c r="JV11" i="13"/>
  <c r="JO11" i="13"/>
  <c r="JN11" i="13"/>
  <c r="JM11" i="13"/>
  <c r="JL11" i="13"/>
  <c r="JK11" i="13"/>
  <c r="JJ11" i="13"/>
  <c r="JI11" i="13"/>
  <c r="JH11" i="13"/>
  <c r="JG11" i="13"/>
  <c r="JF11" i="13"/>
  <c r="JE11" i="13"/>
  <c r="JD11" i="13"/>
  <c r="JC11" i="13"/>
  <c r="JB11" i="13"/>
  <c r="JA11" i="13"/>
  <c r="IZ11" i="13"/>
  <c r="IY11" i="13"/>
  <c r="IX11" i="13"/>
  <c r="IW11" i="13"/>
  <c r="IV11" i="13"/>
  <c r="IU11" i="13"/>
  <c r="IT11" i="13"/>
  <c r="IS11" i="13"/>
  <c r="IR11" i="13"/>
  <c r="IQ11" i="13"/>
  <c r="IP11" i="13"/>
  <c r="IO11" i="13"/>
  <c r="IN11" i="13"/>
  <c r="JY11" i="13" s="1"/>
  <c r="IM11" i="13"/>
  <c r="IL11" i="13"/>
  <c r="IK11" i="13"/>
  <c r="IJ11" i="13"/>
  <c r="JU11" i="13" s="1"/>
  <c r="II11" i="13"/>
  <c r="JT11" i="13" s="1"/>
  <c r="IH11" i="13"/>
  <c r="JS11" i="13" s="1"/>
  <c r="IG11" i="13"/>
  <c r="JR11" i="13" s="1"/>
  <c r="JQ11" i="13" s="1"/>
  <c r="JP11" i="13" s="1"/>
  <c r="IF11" i="13"/>
  <c r="GE11" i="13"/>
  <c r="AT11" i="13"/>
  <c r="AS11" i="13"/>
  <c r="AR11" i="13"/>
  <c r="AQ11" i="13"/>
  <c r="JY10" i="13"/>
  <c r="JS10" i="13"/>
  <c r="JR10" i="13"/>
  <c r="JQ10" i="13" s="1"/>
  <c r="JP10" i="13" s="1"/>
  <c r="JO10" i="13"/>
  <c r="JN10" i="13"/>
  <c r="JM10" i="13"/>
  <c r="JL10" i="13"/>
  <c r="JK10" i="13"/>
  <c r="JJ10" i="13"/>
  <c r="JI10" i="13"/>
  <c r="JH10" i="13"/>
  <c r="JG10" i="13"/>
  <c r="JF10" i="13"/>
  <c r="JE10" i="13"/>
  <c r="JD10" i="13"/>
  <c r="JC10" i="13"/>
  <c r="JB10" i="13"/>
  <c r="JA10" i="13"/>
  <c r="IZ10" i="13"/>
  <c r="IY10" i="13"/>
  <c r="IX10" i="13"/>
  <c r="IW10" i="13"/>
  <c r="IV10" i="13"/>
  <c r="IU10" i="13"/>
  <c r="IT10" i="13"/>
  <c r="IS10" i="13"/>
  <c r="IR10" i="13"/>
  <c r="IQ10" i="13"/>
  <c r="IP10" i="13"/>
  <c r="IO10" i="13"/>
  <c r="IN10" i="13"/>
  <c r="IM10" i="13"/>
  <c r="JX10" i="13" s="1"/>
  <c r="IL10" i="13"/>
  <c r="JW10" i="13" s="1"/>
  <c r="IK10" i="13"/>
  <c r="JV10" i="13" s="1"/>
  <c r="IJ10" i="13"/>
  <c r="JU10" i="13" s="1"/>
  <c r="II10" i="13"/>
  <c r="JT10" i="13" s="1"/>
  <c r="IH10" i="13"/>
  <c r="IG10" i="13"/>
  <c r="IF10" i="13"/>
  <c r="GE10" i="13"/>
  <c r="AT10" i="13"/>
  <c r="AS10" i="13"/>
  <c r="AR10" i="13"/>
  <c r="AQ10" i="13"/>
  <c r="JV9" i="13"/>
  <c r="JU9" i="13"/>
  <c r="JT9" i="13"/>
  <c r="JO9" i="13"/>
  <c r="JN9" i="13"/>
  <c r="JM9" i="13"/>
  <c r="JL9" i="13"/>
  <c r="JK9" i="13"/>
  <c r="JJ9" i="13"/>
  <c r="JI9" i="13"/>
  <c r="JH9" i="13"/>
  <c r="JG9" i="13"/>
  <c r="JF9" i="13"/>
  <c r="JE9" i="13"/>
  <c r="JD9" i="13"/>
  <c r="JC9" i="13"/>
  <c r="JB9" i="13"/>
  <c r="JA9" i="13"/>
  <c r="IZ9" i="13"/>
  <c r="IY9" i="13"/>
  <c r="IX9" i="13"/>
  <c r="IW9" i="13"/>
  <c r="IV9" i="13"/>
  <c r="IU9" i="13"/>
  <c r="IT9" i="13"/>
  <c r="IS9" i="13"/>
  <c r="IR9" i="13"/>
  <c r="IQ9" i="13"/>
  <c r="IP9" i="13"/>
  <c r="IO9" i="13"/>
  <c r="IN9" i="13"/>
  <c r="JY9" i="13" s="1"/>
  <c r="IM9" i="13"/>
  <c r="JX9" i="13" s="1"/>
  <c r="IL9" i="13"/>
  <c r="JW9" i="13" s="1"/>
  <c r="IK9" i="13"/>
  <c r="IJ9" i="13"/>
  <c r="II9" i="13"/>
  <c r="IH9" i="13"/>
  <c r="JS9" i="13" s="1"/>
  <c r="IG9" i="13"/>
  <c r="JR9" i="13" s="1"/>
  <c r="JQ9" i="13" s="1"/>
  <c r="JP9" i="13" s="1"/>
  <c r="IF9" i="13"/>
  <c r="GE9" i="13"/>
  <c r="AT9" i="13"/>
  <c r="AS9" i="13"/>
  <c r="AR9" i="13"/>
  <c r="AQ9" i="13"/>
  <c r="JY8" i="13"/>
  <c r="JX8" i="13"/>
  <c r="JW8" i="13"/>
  <c r="JO8" i="13"/>
  <c r="JN8" i="13"/>
  <c r="JM8" i="13"/>
  <c r="JL8" i="13"/>
  <c r="JK8" i="13"/>
  <c r="JJ8" i="13"/>
  <c r="JI8" i="13"/>
  <c r="JH8" i="13"/>
  <c r="JG8" i="13"/>
  <c r="JF8" i="13"/>
  <c r="JE8" i="13"/>
  <c r="JD8" i="13"/>
  <c r="JC8" i="13"/>
  <c r="JB8" i="13"/>
  <c r="JA8" i="13"/>
  <c r="IZ8" i="13"/>
  <c r="IY8" i="13"/>
  <c r="IX8" i="13"/>
  <c r="IW8" i="13"/>
  <c r="IV8" i="13"/>
  <c r="IU8" i="13"/>
  <c r="IT8" i="13"/>
  <c r="IS8" i="13"/>
  <c r="IR8" i="13"/>
  <c r="IQ8" i="13"/>
  <c r="IP8" i="13"/>
  <c r="IO8" i="13"/>
  <c r="IN8" i="13"/>
  <c r="IM8" i="13"/>
  <c r="IL8" i="13"/>
  <c r="IK8" i="13"/>
  <c r="JV8" i="13" s="1"/>
  <c r="IJ8" i="13"/>
  <c r="JU8" i="13" s="1"/>
  <c r="II8" i="13"/>
  <c r="JT8" i="13" s="1"/>
  <c r="IH8" i="13"/>
  <c r="JS8" i="13" s="1"/>
  <c r="IG8" i="13"/>
  <c r="JR8" i="13" s="1"/>
  <c r="JQ8" i="13" s="1"/>
  <c r="JP8" i="13" s="1"/>
  <c r="IF8" i="13"/>
  <c r="GE8" i="13"/>
  <c r="AT8" i="13"/>
  <c r="AS8" i="13"/>
  <c r="AR8" i="13"/>
  <c r="AQ8" i="13"/>
  <c r="JT7" i="13"/>
  <c r="JS7" i="13"/>
  <c r="JR7" i="13"/>
  <c r="JQ7" i="13" s="1"/>
  <c r="JP7" i="13" s="1"/>
  <c r="JO7" i="13"/>
  <c r="JN7" i="13"/>
  <c r="JM7" i="13"/>
  <c r="JL7" i="13"/>
  <c r="JK7" i="13"/>
  <c r="JJ7" i="13"/>
  <c r="JI7" i="13"/>
  <c r="JH7" i="13"/>
  <c r="JG7" i="13"/>
  <c r="JF7" i="13"/>
  <c r="JE7" i="13"/>
  <c r="JD7" i="13"/>
  <c r="JC7" i="13"/>
  <c r="JB7" i="13"/>
  <c r="JA7" i="13"/>
  <c r="IZ7" i="13"/>
  <c r="IY7" i="13"/>
  <c r="IX7" i="13"/>
  <c r="IW7" i="13"/>
  <c r="IV7" i="13"/>
  <c r="IU7" i="13"/>
  <c r="IT7" i="13"/>
  <c r="IS7" i="13"/>
  <c r="IR7" i="13"/>
  <c r="IQ7" i="13"/>
  <c r="IP7" i="13"/>
  <c r="IO7" i="13"/>
  <c r="IN7" i="13"/>
  <c r="JY7" i="13" s="1"/>
  <c r="IM7" i="13"/>
  <c r="JX7" i="13" s="1"/>
  <c r="IL7" i="13"/>
  <c r="JW7" i="13" s="1"/>
  <c r="IK7" i="13"/>
  <c r="JV7" i="13" s="1"/>
  <c r="IJ7" i="13"/>
  <c r="JU7" i="13" s="1"/>
  <c r="II7" i="13"/>
  <c r="IH7" i="13"/>
  <c r="IG7" i="13"/>
  <c r="IF7" i="13"/>
  <c r="GE7" i="13"/>
  <c r="AT7" i="13"/>
  <c r="AS7" i="13"/>
  <c r="AR7" i="13"/>
  <c r="AQ7" i="13"/>
  <c r="JW6" i="13"/>
  <c r="JV6" i="13"/>
  <c r="JU6" i="13"/>
  <c r="JO6" i="13"/>
  <c r="JN6" i="13"/>
  <c r="JM6" i="13"/>
  <c r="JL6" i="13"/>
  <c r="JK6" i="13"/>
  <c r="JJ6" i="13"/>
  <c r="JI6" i="13"/>
  <c r="JH6" i="13"/>
  <c r="JG6" i="13"/>
  <c r="JF6" i="13"/>
  <c r="JE6" i="13"/>
  <c r="JD6" i="13"/>
  <c r="JC6" i="13"/>
  <c r="JB6" i="13"/>
  <c r="JA6" i="13"/>
  <c r="IZ6" i="13"/>
  <c r="IY6" i="13"/>
  <c r="IX6" i="13"/>
  <c r="IW6" i="13"/>
  <c r="IV6" i="13"/>
  <c r="IU6" i="13"/>
  <c r="IT6" i="13"/>
  <c r="IS6" i="13"/>
  <c r="IR6" i="13"/>
  <c r="IQ6" i="13"/>
  <c r="IP6" i="13"/>
  <c r="IO6" i="13"/>
  <c r="IN6" i="13"/>
  <c r="JY6" i="13" s="1"/>
  <c r="IM6" i="13"/>
  <c r="JX6" i="13" s="1"/>
  <c r="IL6" i="13"/>
  <c r="IK6" i="13"/>
  <c r="IJ6" i="13"/>
  <c r="II6" i="13"/>
  <c r="JT6" i="13" s="1"/>
  <c r="IH6" i="13"/>
  <c r="JS6" i="13" s="1"/>
  <c r="IG6" i="13"/>
  <c r="JR6" i="13" s="1"/>
  <c r="JQ6" i="13" s="1"/>
  <c r="JP6" i="13" s="1"/>
  <c r="IF6" i="13"/>
  <c r="GE6" i="13"/>
  <c r="AT6" i="13"/>
  <c r="AS6" i="13"/>
  <c r="AR6" i="13"/>
  <c r="AQ6" i="13"/>
  <c r="JY5" i="13"/>
  <c r="JX5" i="13"/>
  <c r="JR5" i="13"/>
  <c r="JQ5" i="13"/>
  <c r="JP5" i="13" s="1"/>
  <c r="JO5" i="13"/>
  <c r="JN5" i="13"/>
  <c r="JM5" i="13"/>
  <c r="JL5" i="13"/>
  <c r="JK5" i="13"/>
  <c r="JJ5" i="13"/>
  <c r="JI5" i="13"/>
  <c r="JH5" i="13"/>
  <c r="JG5" i="13"/>
  <c r="JF5" i="13"/>
  <c r="JE5" i="13"/>
  <c r="JD5" i="13"/>
  <c r="JC5" i="13"/>
  <c r="JB5" i="13"/>
  <c r="JA5" i="13"/>
  <c r="IZ5" i="13"/>
  <c r="IY5" i="13"/>
  <c r="IX5" i="13"/>
  <c r="IW5" i="13"/>
  <c r="IV5" i="13"/>
  <c r="IU5" i="13"/>
  <c r="IT5" i="13"/>
  <c r="IS5" i="13"/>
  <c r="IR5" i="13"/>
  <c r="IQ5" i="13"/>
  <c r="IP5" i="13"/>
  <c r="IO5" i="13"/>
  <c r="IN5" i="13"/>
  <c r="IM5" i="13"/>
  <c r="IL5" i="13"/>
  <c r="JW5" i="13" s="1"/>
  <c r="IK5" i="13"/>
  <c r="JV5" i="13" s="1"/>
  <c r="IJ5" i="13"/>
  <c r="JU5" i="13" s="1"/>
  <c r="II5" i="13"/>
  <c r="JT5" i="13" s="1"/>
  <c r="IH5" i="13"/>
  <c r="JS5" i="13" s="1"/>
  <c r="IG5" i="13"/>
  <c r="IF5" i="13"/>
  <c r="GE5" i="13"/>
  <c r="AT5" i="13"/>
  <c r="AS5" i="13"/>
  <c r="AR5" i="13"/>
  <c r="AQ5" i="13"/>
  <c r="JU4" i="13"/>
  <c r="JT4" i="13"/>
  <c r="JS4" i="13"/>
  <c r="JO4" i="13"/>
  <c r="JN4" i="13"/>
  <c r="JM4" i="13"/>
  <c r="JL4" i="13"/>
  <c r="JK4" i="13"/>
  <c r="JJ4" i="13"/>
  <c r="JI4" i="13"/>
  <c r="JH4" i="13"/>
  <c r="JG4" i="13"/>
  <c r="JF4" i="13"/>
  <c r="JE4" i="13"/>
  <c r="JD4" i="13"/>
  <c r="JC4" i="13"/>
  <c r="JB4" i="13"/>
  <c r="JA4" i="13"/>
  <c r="IZ4" i="13"/>
  <c r="IY4" i="13"/>
  <c r="IX4" i="13"/>
  <c r="IW4" i="13"/>
  <c r="IV4" i="13"/>
  <c r="IU4" i="13"/>
  <c r="IT4" i="13"/>
  <c r="IS4" i="13"/>
  <c r="IR4" i="13"/>
  <c r="IQ4" i="13"/>
  <c r="IP4" i="13"/>
  <c r="IO4" i="13"/>
  <c r="IN4" i="13"/>
  <c r="JY4" i="13" s="1"/>
  <c r="IM4" i="13"/>
  <c r="JX4" i="13" s="1"/>
  <c r="IL4" i="13"/>
  <c r="JW4" i="13" s="1"/>
  <c r="IK4" i="13"/>
  <c r="JV4" i="13" s="1"/>
  <c r="IJ4" i="13"/>
  <c r="II4" i="13"/>
  <c r="IH4" i="13"/>
  <c r="IG4" i="13"/>
  <c r="JR4" i="13" s="1"/>
  <c r="JQ4" i="13" s="1"/>
  <c r="JP4" i="13" s="1"/>
  <c r="IF4" i="13"/>
  <c r="GE4" i="13"/>
  <c r="AT4" i="13"/>
  <c r="AS4" i="13"/>
  <c r="AR4" i="13"/>
  <c r="AQ4" i="13"/>
  <c r="JX3" i="13"/>
  <c r="JW3" i="13"/>
  <c r="JV3" i="13"/>
  <c r="JO3" i="13"/>
  <c r="JN3" i="13"/>
  <c r="JM3" i="13"/>
  <c r="JL3" i="13"/>
  <c r="JK3" i="13"/>
  <c r="JJ3" i="13"/>
  <c r="JI3" i="13"/>
  <c r="JH3" i="13"/>
  <c r="JG3" i="13"/>
  <c r="JF3" i="13"/>
  <c r="JE3" i="13"/>
  <c r="JD3" i="13"/>
  <c r="JC3" i="13"/>
  <c r="JB3" i="13"/>
  <c r="JA3" i="13"/>
  <c r="IZ3" i="13"/>
  <c r="IY3" i="13"/>
  <c r="IX3" i="13"/>
  <c r="IW3" i="13"/>
  <c r="IV3" i="13"/>
  <c r="IU3" i="13"/>
  <c r="IT3" i="13"/>
  <c r="IS3" i="13"/>
  <c r="IR3" i="13"/>
  <c r="IQ3" i="13"/>
  <c r="IP3" i="13"/>
  <c r="IO3" i="13"/>
  <c r="IN3" i="13"/>
  <c r="JY3" i="13" s="1"/>
  <c r="IM3" i="13"/>
  <c r="IL3" i="13"/>
  <c r="IK3" i="13"/>
  <c r="IJ3" i="13"/>
  <c r="JU3" i="13" s="1"/>
  <c r="II3" i="13"/>
  <c r="JT3" i="13" s="1"/>
  <c r="IH3" i="13"/>
  <c r="JS3" i="13" s="1"/>
  <c r="IG3" i="13"/>
  <c r="JR3" i="13" s="1"/>
  <c r="JQ3" i="13" s="1"/>
  <c r="JP3" i="13" s="1"/>
  <c r="IF3" i="13"/>
  <c r="GE3" i="13"/>
  <c r="AT3" i="13"/>
  <c r="AS3" i="13"/>
  <c r="AR3" i="13"/>
  <c r="AQ3" i="13"/>
  <c r="JY2" i="13"/>
  <c r="JS2" i="13"/>
  <c r="JR2" i="13"/>
  <c r="JQ2" i="13" s="1"/>
  <c r="JP2" i="13" s="1"/>
  <c r="JO2" i="13"/>
  <c r="JN2" i="13"/>
  <c r="JM2" i="13"/>
  <c r="JL2" i="13"/>
  <c r="JK2" i="13"/>
  <c r="JJ2" i="13"/>
  <c r="JI2" i="13"/>
  <c r="JH2" i="13"/>
  <c r="JG2" i="13"/>
  <c r="JF2" i="13"/>
  <c r="JE2" i="13"/>
  <c r="JD2" i="13"/>
  <c r="JC2" i="13"/>
  <c r="JB2" i="13"/>
  <c r="JA2" i="13"/>
  <c r="IZ2" i="13"/>
  <c r="IY2" i="13"/>
  <c r="IX2" i="13"/>
  <c r="IW2" i="13"/>
  <c r="IV2" i="13"/>
  <c r="IU2" i="13"/>
  <c r="IT2" i="13"/>
  <c r="IS2" i="13"/>
  <c r="IR2" i="13"/>
  <c r="IQ2" i="13"/>
  <c r="IP2" i="13"/>
  <c r="IO2" i="13"/>
  <c r="IN2" i="13"/>
  <c r="IM2" i="13"/>
  <c r="JX2" i="13" s="1"/>
  <c r="IL2" i="13"/>
  <c r="JW2" i="13" s="1"/>
  <c r="IK2" i="13"/>
  <c r="JV2" i="13" s="1"/>
  <c r="IJ2" i="13"/>
  <c r="JU2" i="13" s="1"/>
  <c r="II2" i="13"/>
  <c r="JT2" i="13" s="1"/>
  <c r="IH2" i="13"/>
  <c r="IG2" i="13"/>
  <c r="IF2" i="13"/>
  <c r="GE2" i="13"/>
  <c r="AT2" i="13"/>
  <c r="AS2" i="13"/>
  <c r="AR2" i="13"/>
  <c r="AQ2" i="13"/>
  <c r="IF2" i="10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N20" i="10"/>
  <c r="JY20" i="10" s="1"/>
  <c r="IM20" i="10"/>
  <c r="JX20" i="10" s="1"/>
  <c r="IL20" i="10"/>
  <c r="IK20" i="10"/>
  <c r="IJ20" i="10"/>
  <c r="II20" i="10"/>
  <c r="IH20" i="10"/>
  <c r="IG20" i="10"/>
  <c r="IO20" i="10"/>
  <c r="IF20" i="10"/>
  <c r="GE20" i="10"/>
  <c r="AT20" i="10"/>
  <c r="AS20" i="10"/>
  <c r="AR20" i="10"/>
  <c r="AQ20" i="10"/>
  <c r="JO19" i="10"/>
  <c r="JN19" i="10"/>
  <c r="JM19" i="10"/>
  <c r="JL19" i="10"/>
  <c r="JK19" i="10"/>
  <c r="JJ19" i="10"/>
  <c r="JT19" i="10" s="1"/>
  <c r="JI19" i="10"/>
  <c r="JH19" i="10"/>
  <c r="JG19" i="10"/>
  <c r="JF19" i="10"/>
  <c r="JE19" i="10"/>
  <c r="JD19" i="10"/>
  <c r="JC19" i="10"/>
  <c r="JB19" i="10"/>
  <c r="JU19" i="10" s="1"/>
  <c r="JA19" i="10"/>
  <c r="IZ19" i="10"/>
  <c r="IY19" i="10"/>
  <c r="IX19" i="10"/>
  <c r="IW19" i="10"/>
  <c r="IV19" i="10"/>
  <c r="IU19" i="10"/>
  <c r="IT19" i="10"/>
  <c r="IS19" i="10"/>
  <c r="IR19" i="10"/>
  <c r="IQ19" i="10"/>
  <c r="IP19" i="10"/>
  <c r="IN19" i="10"/>
  <c r="IM19" i="10"/>
  <c r="IL19" i="10"/>
  <c r="JW19" i="10" s="1"/>
  <c r="IK19" i="10"/>
  <c r="IJ19" i="10"/>
  <c r="II19" i="10"/>
  <c r="IH19" i="10"/>
  <c r="IG19" i="10"/>
  <c r="JR19" i="10" s="1"/>
  <c r="JQ19" i="10" s="1"/>
  <c r="JP19" i="10" s="1"/>
  <c r="IO19" i="10"/>
  <c r="IF19" i="10"/>
  <c r="GE19" i="10"/>
  <c r="AT19" i="10"/>
  <c r="AS19" i="10"/>
  <c r="AR19" i="10"/>
  <c r="AQ19" i="10"/>
  <c r="JO18" i="10"/>
  <c r="JN18" i="10"/>
  <c r="JM18" i="10"/>
  <c r="JL18" i="10"/>
  <c r="JK18" i="10"/>
  <c r="JJ18" i="10"/>
  <c r="JI18" i="10"/>
  <c r="JH18" i="10"/>
  <c r="JG18" i="10"/>
  <c r="JF18" i="10"/>
  <c r="JE18" i="10"/>
  <c r="JD18" i="10"/>
  <c r="JC18" i="10"/>
  <c r="JB18" i="10"/>
  <c r="JA18" i="10"/>
  <c r="IZ18" i="10"/>
  <c r="IY18" i="10"/>
  <c r="IX18" i="10"/>
  <c r="IW18" i="10"/>
  <c r="IV18" i="10"/>
  <c r="IU18" i="10"/>
  <c r="IT18" i="10"/>
  <c r="IS18" i="10"/>
  <c r="IR18" i="10"/>
  <c r="IQ18" i="10"/>
  <c r="IP18" i="10"/>
  <c r="IO18" i="10"/>
  <c r="IN18" i="10"/>
  <c r="JY18" i="10" s="1"/>
  <c r="IM18" i="10"/>
  <c r="IL18" i="10"/>
  <c r="IK18" i="10"/>
  <c r="IJ18" i="10"/>
  <c r="II18" i="10"/>
  <c r="IH18" i="10"/>
  <c r="IG18" i="10"/>
  <c r="IF18" i="10"/>
  <c r="GE18" i="10"/>
  <c r="AT18" i="10"/>
  <c r="AS18" i="10"/>
  <c r="AR18" i="10"/>
  <c r="AQ18" i="10"/>
  <c r="JO17" i="10"/>
  <c r="JN17" i="10"/>
  <c r="JM17" i="10"/>
  <c r="JL17" i="10"/>
  <c r="JK17" i="10"/>
  <c r="JJ17" i="10"/>
  <c r="JI17" i="10"/>
  <c r="JH17" i="10"/>
  <c r="JG17" i="10"/>
  <c r="JF17" i="10"/>
  <c r="JE17" i="10"/>
  <c r="JD17" i="10"/>
  <c r="JC17" i="10"/>
  <c r="JB17" i="10"/>
  <c r="JA17" i="10"/>
  <c r="IZ17" i="10"/>
  <c r="IY17" i="10"/>
  <c r="IX17" i="10"/>
  <c r="IW17" i="10"/>
  <c r="IV17" i="10"/>
  <c r="IU17" i="10"/>
  <c r="IT17" i="10"/>
  <c r="IS17" i="10"/>
  <c r="IR17" i="10"/>
  <c r="IQ17" i="10"/>
  <c r="IP17" i="10"/>
  <c r="IO17" i="10"/>
  <c r="IN17" i="10"/>
  <c r="IM17" i="10"/>
  <c r="IL17" i="10"/>
  <c r="IK17" i="10"/>
  <c r="IJ17" i="10"/>
  <c r="II17" i="10"/>
  <c r="IH17" i="10"/>
  <c r="IG17" i="10"/>
  <c r="IF17" i="10"/>
  <c r="GE17" i="10"/>
  <c r="AT17" i="10"/>
  <c r="AS17" i="10"/>
  <c r="AR17" i="10"/>
  <c r="AQ17" i="10"/>
  <c r="JO16" i="10"/>
  <c r="JN16" i="10"/>
  <c r="JM16" i="10"/>
  <c r="JW16" i="10" s="1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N16" i="10"/>
  <c r="IM16" i="10"/>
  <c r="IL16" i="10"/>
  <c r="IK16" i="10"/>
  <c r="IJ16" i="10"/>
  <c r="II16" i="10"/>
  <c r="JT16" i="10" s="1"/>
  <c r="IH16" i="10"/>
  <c r="IG16" i="10"/>
  <c r="IO16" i="10"/>
  <c r="IF16" i="10"/>
  <c r="GE16" i="10"/>
  <c r="AT16" i="10"/>
  <c r="AS16" i="10"/>
  <c r="AR16" i="10"/>
  <c r="AQ16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N15" i="10"/>
  <c r="IM15" i="10"/>
  <c r="IL15" i="10"/>
  <c r="IK15" i="10"/>
  <c r="JV15" i="10" s="1"/>
  <c r="IJ15" i="10"/>
  <c r="JU15" i="10" s="1"/>
  <c r="II15" i="10"/>
  <c r="IH15" i="10"/>
  <c r="IG15" i="10"/>
  <c r="JR15" i="10" s="1"/>
  <c r="JQ15" i="10" s="1"/>
  <c r="JP15" i="10" s="1"/>
  <c r="IF15" i="10"/>
  <c r="IO15" i="10"/>
  <c r="GE15" i="10"/>
  <c r="AT15" i="10"/>
  <c r="AS15" i="10"/>
  <c r="AR15" i="10"/>
  <c r="AQ15" i="10"/>
  <c r="JO14" i="10"/>
  <c r="JN14" i="10"/>
  <c r="JM14" i="10"/>
  <c r="JL14" i="10"/>
  <c r="JK14" i="10"/>
  <c r="JJ14" i="10"/>
  <c r="JI14" i="10"/>
  <c r="JH14" i="10"/>
  <c r="JG14" i="10"/>
  <c r="JF14" i="10"/>
  <c r="JE14" i="10"/>
  <c r="JD14" i="10"/>
  <c r="JC14" i="10"/>
  <c r="JB14" i="10"/>
  <c r="JA14" i="10"/>
  <c r="IZ14" i="10"/>
  <c r="IY14" i="10"/>
  <c r="IX14" i="10"/>
  <c r="IW14" i="10"/>
  <c r="IV14" i="10"/>
  <c r="IU14" i="10"/>
  <c r="IT14" i="10"/>
  <c r="IS14" i="10"/>
  <c r="IR14" i="10"/>
  <c r="IQ14" i="10"/>
  <c r="IP14" i="10"/>
  <c r="IN14" i="10"/>
  <c r="IM14" i="10"/>
  <c r="JX14" i="10" s="1"/>
  <c r="IL14" i="10"/>
  <c r="JW14" i="10" s="1"/>
  <c r="IK14" i="10"/>
  <c r="JV14" i="10" s="1"/>
  <c r="IJ14" i="10"/>
  <c r="II14" i="10"/>
  <c r="IH14" i="10"/>
  <c r="JS14" i="10" s="1"/>
  <c r="IG14" i="10"/>
  <c r="IF14" i="10"/>
  <c r="IO14" i="10"/>
  <c r="GE14" i="10"/>
  <c r="AT14" i="10"/>
  <c r="AS14" i="10"/>
  <c r="AR14" i="10"/>
  <c r="AQ14" i="10"/>
  <c r="JO13" i="10"/>
  <c r="JN13" i="10"/>
  <c r="JM13" i="10"/>
  <c r="JL13" i="10"/>
  <c r="JK13" i="10"/>
  <c r="JJ13" i="10"/>
  <c r="JI13" i="10"/>
  <c r="JH13" i="10"/>
  <c r="JG13" i="10"/>
  <c r="JF13" i="10"/>
  <c r="JE13" i="10"/>
  <c r="JD13" i="10"/>
  <c r="JC13" i="10"/>
  <c r="JB13" i="10"/>
  <c r="JA13" i="10"/>
  <c r="IZ13" i="10"/>
  <c r="IY13" i="10"/>
  <c r="IX13" i="10"/>
  <c r="IW13" i="10"/>
  <c r="IV13" i="10"/>
  <c r="IU13" i="10"/>
  <c r="IT13" i="10"/>
  <c r="IS13" i="10"/>
  <c r="IR13" i="10"/>
  <c r="IQ13" i="10"/>
  <c r="IP13" i="10"/>
  <c r="IO13" i="10"/>
  <c r="IN13" i="10"/>
  <c r="IM13" i="10"/>
  <c r="IL13" i="10"/>
  <c r="IK13" i="10"/>
  <c r="IJ13" i="10"/>
  <c r="JU13" i="10" s="1"/>
  <c r="II13" i="10"/>
  <c r="IH13" i="10"/>
  <c r="IG13" i="10"/>
  <c r="IF13" i="10"/>
  <c r="GE13" i="10"/>
  <c r="AT13" i="10"/>
  <c r="AS13" i="10"/>
  <c r="AR13" i="10"/>
  <c r="AQ13" i="10"/>
  <c r="JO12" i="10"/>
  <c r="JN12" i="10"/>
  <c r="JM12" i="10"/>
  <c r="JL12" i="10"/>
  <c r="JK12" i="10"/>
  <c r="JJ12" i="10"/>
  <c r="JI12" i="10"/>
  <c r="JH12" i="10"/>
  <c r="JG12" i="10"/>
  <c r="JF12" i="10"/>
  <c r="JE12" i="10"/>
  <c r="JD12" i="10"/>
  <c r="JC12" i="10"/>
  <c r="JB12" i="10"/>
  <c r="JA12" i="10"/>
  <c r="IZ12" i="10"/>
  <c r="IY12" i="10"/>
  <c r="IX12" i="10"/>
  <c r="IW12" i="10"/>
  <c r="IV12" i="10"/>
  <c r="IU12" i="10"/>
  <c r="IT12" i="10"/>
  <c r="IS12" i="10"/>
  <c r="IR12" i="10"/>
  <c r="IQ12" i="10"/>
  <c r="IP12" i="10"/>
  <c r="IN12" i="10"/>
  <c r="JY12" i="10" s="1"/>
  <c r="IM12" i="10"/>
  <c r="IL12" i="10"/>
  <c r="IK12" i="10"/>
  <c r="IJ12" i="10"/>
  <c r="JU12" i="10" s="1"/>
  <c r="II12" i="10"/>
  <c r="IH12" i="10"/>
  <c r="IG12" i="10"/>
  <c r="IO12" i="10"/>
  <c r="IF12" i="10"/>
  <c r="GE12" i="10"/>
  <c r="AT12" i="10"/>
  <c r="AS12" i="10"/>
  <c r="AR12" i="10"/>
  <c r="AQ12" i="10"/>
  <c r="JO11" i="10"/>
  <c r="JN11" i="10"/>
  <c r="JM11" i="10"/>
  <c r="JL11" i="10"/>
  <c r="JK11" i="10"/>
  <c r="JJ11" i="10"/>
  <c r="JI11" i="10"/>
  <c r="JH11" i="10"/>
  <c r="JG11" i="10"/>
  <c r="JF11" i="10"/>
  <c r="JE11" i="10"/>
  <c r="JD11" i="10"/>
  <c r="JC11" i="10"/>
  <c r="JB11" i="10"/>
  <c r="JA11" i="10"/>
  <c r="IZ11" i="10"/>
  <c r="IY11" i="10"/>
  <c r="IX11" i="10"/>
  <c r="IW11" i="10"/>
  <c r="IV11" i="10"/>
  <c r="IU11" i="10"/>
  <c r="IT11" i="10"/>
  <c r="IS11" i="10"/>
  <c r="IR11" i="10"/>
  <c r="IQ11" i="10"/>
  <c r="IP11" i="10"/>
  <c r="IN11" i="10"/>
  <c r="IM11" i="10"/>
  <c r="IL11" i="10"/>
  <c r="IK11" i="10"/>
  <c r="IJ11" i="10"/>
  <c r="II11" i="10"/>
  <c r="IH11" i="10"/>
  <c r="IG11" i="10"/>
  <c r="IO11" i="10"/>
  <c r="IF11" i="10"/>
  <c r="GE11" i="10"/>
  <c r="AT11" i="10"/>
  <c r="AS11" i="10"/>
  <c r="AR11" i="10"/>
  <c r="AQ11" i="10"/>
  <c r="JO10" i="10"/>
  <c r="JN10" i="10"/>
  <c r="JM10" i="10"/>
  <c r="JL10" i="10"/>
  <c r="JK10" i="10"/>
  <c r="JJ10" i="10"/>
  <c r="JI10" i="10"/>
  <c r="JH10" i="10"/>
  <c r="JG10" i="10"/>
  <c r="JF10" i="10"/>
  <c r="JE10" i="10"/>
  <c r="JD10" i="10"/>
  <c r="JC10" i="10"/>
  <c r="JB10" i="10"/>
  <c r="JA10" i="10"/>
  <c r="IZ10" i="10"/>
  <c r="IY10" i="10"/>
  <c r="IX10" i="10"/>
  <c r="IW10" i="10"/>
  <c r="IV10" i="10"/>
  <c r="IU10" i="10"/>
  <c r="IT10" i="10"/>
  <c r="IS10" i="10"/>
  <c r="IR10" i="10"/>
  <c r="IQ10" i="10"/>
  <c r="IP10" i="10"/>
  <c r="IO10" i="10"/>
  <c r="IN10" i="10"/>
  <c r="IM10" i="10"/>
  <c r="IL10" i="10"/>
  <c r="IK10" i="10"/>
  <c r="IJ10" i="10"/>
  <c r="II10" i="10"/>
  <c r="IH10" i="10"/>
  <c r="IG10" i="10"/>
  <c r="IF10" i="10"/>
  <c r="GE10" i="10"/>
  <c r="AT10" i="10"/>
  <c r="AS10" i="10"/>
  <c r="AR10" i="10"/>
  <c r="AQ10" i="10"/>
  <c r="JO9" i="10"/>
  <c r="JN9" i="10"/>
  <c r="JM9" i="10"/>
  <c r="JL9" i="10"/>
  <c r="JK9" i="10"/>
  <c r="JJ9" i="10"/>
  <c r="JI9" i="10"/>
  <c r="JH9" i="10"/>
  <c r="JG9" i="10"/>
  <c r="JF9" i="10"/>
  <c r="JE9" i="10"/>
  <c r="JD9" i="10"/>
  <c r="JC9" i="10"/>
  <c r="JB9" i="10"/>
  <c r="JA9" i="10"/>
  <c r="IZ9" i="10"/>
  <c r="IY9" i="10"/>
  <c r="IX9" i="10"/>
  <c r="IW9" i="10"/>
  <c r="IV9" i="10"/>
  <c r="IU9" i="10"/>
  <c r="IT9" i="10"/>
  <c r="IS9" i="10"/>
  <c r="IR9" i="10"/>
  <c r="IQ9" i="10"/>
  <c r="IP9" i="10"/>
  <c r="IN9" i="10"/>
  <c r="IM9" i="10"/>
  <c r="IL9" i="10"/>
  <c r="IK9" i="10"/>
  <c r="IJ9" i="10"/>
  <c r="II9" i="10"/>
  <c r="IH9" i="10"/>
  <c r="IG9" i="10"/>
  <c r="IO9" i="10"/>
  <c r="IF9" i="10"/>
  <c r="GE9" i="10"/>
  <c r="AT9" i="10"/>
  <c r="AS9" i="10"/>
  <c r="AR9" i="10"/>
  <c r="AQ9" i="10"/>
  <c r="JO8" i="10"/>
  <c r="JN8" i="10"/>
  <c r="JM8" i="10"/>
  <c r="JL8" i="10"/>
  <c r="JK8" i="10"/>
  <c r="JJ8" i="10"/>
  <c r="JI8" i="10"/>
  <c r="JH8" i="10"/>
  <c r="JG8" i="10"/>
  <c r="JF8" i="10"/>
  <c r="JE8" i="10"/>
  <c r="JD8" i="10"/>
  <c r="JC8" i="10"/>
  <c r="JB8" i="10"/>
  <c r="JA8" i="10"/>
  <c r="IZ8" i="10"/>
  <c r="IY8" i="10"/>
  <c r="IX8" i="10"/>
  <c r="IW8" i="10"/>
  <c r="IV8" i="10"/>
  <c r="IU8" i="10"/>
  <c r="IT8" i="10"/>
  <c r="IS8" i="10"/>
  <c r="IR8" i="10"/>
  <c r="IQ8" i="10"/>
  <c r="IP8" i="10"/>
  <c r="IN8" i="10"/>
  <c r="IM8" i="10"/>
  <c r="IL8" i="10"/>
  <c r="IK8" i="10"/>
  <c r="IJ8" i="10"/>
  <c r="II8" i="10"/>
  <c r="JT8" i="10" s="1"/>
  <c r="IH8" i="10"/>
  <c r="IG8" i="10"/>
  <c r="IO8" i="10"/>
  <c r="IF8" i="10"/>
  <c r="GE8" i="10"/>
  <c r="AT8" i="10"/>
  <c r="AS8" i="10"/>
  <c r="AR8" i="10"/>
  <c r="AQ8" i="10"/>
  <c r="JO7" i="10"/>
  <c r="JN7" i="10"/>
  <c r="JM7" i="10"/>
  <c r="JL7" i="10"/>
  <c r="JK7" i="10"/>
  <c r="JJ7" i="10"/>
  <c r="JI7" i="10"/>
  <c r="JH7" i="10"/>
  <c r="JG7" i="10"/>
  <c r="JF7" i="10"/>
  <c r="JE7" i="10"/>
  <c r="JD7" i="10"/>
  <c r="JC7" i="10"/>
  <c r="JB7" i="10"/>
  <c r="JA7" i="10"/>
  <c r="IZ7" i="10"/>
  <c r="IY7" i="10"/>
  <c r="IX7" i="10"/>
  <c r="IW7" i="10"/>
  <c r="IV7" i="10"/>
  <c r="IU7" i="10"/>
  <c r="IT7" i="10"/>
  <c r="IS7" i="10"/>
  <c r="IR7" i="10"/>
  <c r="IQ7" i="10"/>
  <c r="IP7" i="10"/>
  <c r="IN7" i="10"/>
  <c r="IM7" i="10"/>
  <c r="IL7" i="10"/>
  <c r="IK7" i="10"/>
  <c r="IJ7" i="10"/>
  <c r="II7" i="10"/>
  <c r="IH7" i="10"/>
  <c r="JS7" i="10" s="1"/>
  <c r="IG7" i="10"/>
  <c r="IF7" i="10"/>
  <c r="IO7" i="10"/>
  <c r="GE7" i="10"/>
  <c r="AT7" i="10"/>
  <c r="AS7" i="10"/>
  <c r="AR7" i="10"/>
  <c r="AQ7" i="10"/>
  <c r="JO6" i="10"/>
  <c r="JN6" i="10"/>
  <c r="JM6" i="10"/>
  <c r="JL6" i="10"/>
  <c r="JK6" i="10"/>
  <c r="JJ6" i="10"/>
  <c r="JI6" i="10"/>
  <c r="JH6" i="10"/>
  <c r="JG6" i="10"/>
  <c r="JF6" i="10"/>
  <c r="JE6" i="10"/>
  <c r="JD6" i="10"/>
  <c r="JC6" i="10"/>
  <c r="JB6" i="10"/>
  <c r="JA6" i="10"/>
  <c r="IZ6" i="10"/>
  <c r="IY6" i="10"/>
  <c r="IX6" i="10"/>
  <c r="IW6" i="10"/>
  <c r="IV6" i="10"/>
  <c r="IU6" i="10"/>
  <c r="IT6" i="10"/>
  <c r="IS6" i="10"/>
  <c r="IR6" i="10"/>
  <c r="IQ6" i="10"/>
  <c r="IP6" i="10"/>
  <c r="IN6" i="10"/>
  <c r="IM6" i="10"/>
  <c r="IL6" i="10"/>
  <c r="IK6" i="10"/>
  <c r="JV6" i="10" s="1"/>
  <c r="IJ6" i="10"/>
  <c r="II6" i="10"/>
  <c r="IH6" i="10"/>
  <c r="IG6" i="10"/>
  <c r="IO6" i="10"/>
  <c r="IF6" i="10"/>
  <c r="GE6" i="10"/>
  <c r="AT6" i="10"/>
  <c r="AS6" i="10"/>
  <c r="AR6" i="10"/>
  <c r="AQ6" i="10"/>
  <c r="JO5" i="10"/>
  <c r="JN5" i="10"/>
  <c r="JM5" i="10"/>
  <c r="JL5" i="10"/>
  <c r="JK5" i="10"/>
  <c r="JJ5" i="10"/>
  <c r="JI5" i="10"/>
  <c r="JH5" i="10"/>
  <c r="JG5" i="10"/>
  <c r="JF5" i="10"/>
  <c r="JE5" i="10"/>
  <c r="JD5" i="10"/>
  <c r="JC5" i="10"/>
  <c r="JB5" i="10"/>
  <c r="JA5" i="10"/>
  <c r="IZ5" i="10"/>
  <c r="IY5" i="10"/>
  <c r="IX5" i="10"/>
  <c r="IW5" i="10"/>
  <c r="IV5" i="10"/>
  <c r="IU5" i="10"/>
  <c r="IT5" i="10"/>
  <c r="IS5" i="10"/>
  <c r="IR5" i="10"/>
  <c r="IQ5" i="10"/>
  <c r="IP5" i="10"/>
  <c r="IO5" i="10"/>
  <c r="IN5" i="10"/>
  <c r="IM5" i="10"/>
  <c r="IL5" i="10"/>
  <c r="IK5" i="10"/>
  <c r="IJ5" i="10"/>
  <c r="II5" i="10"/>
  <c r="IH5" i="10"/>
  <c r="IG5" i="10"/>
  <c r="IF5" i="10"/>
  <c r="GE5" i="10"/>
  <c r="AT5" i="10"/>
  <c r="AS5" i="10"/>
  <c r="AR5" i="10"/>
  <c r="AQ5" i="10"/>
  <c r="JO4" i="10"/>
  <c r="JN4" i="10"/>
  <c r="JM4" i="10"/>
  <c r="JL4" i="10"/>
  <c r="JK4" i="10"/>
  <c r="JJ4" i="10"/>
  <c r="JI4" i="10"/>
  <c r="JH4" i="10"/>
  <c r="JR4" i="10" s="1"/>
  <c r="JQ4" i="10" s="1"/>
  <c r="JP4" i="10" s="1"/>
  <c r="JG4" i="10"/>
  <c r="JF4" i="10"/>
  <c r="JE4" i="10"/>
  <c r="JD4" i="10"/>
  <c r="JC4" i="10"/>
  <c r="JB4" i="10"/>
  <c r="JA4" i="10"/>
  <c r="IZ4" i="10"/>
  <c r="IY4" i="10"/>
  <c r="IX4" i="10"/>
  <c r="IW4" i="10"/>
  <c r="IV4" i="10"/>
  <c r="IU4" i="10"/>
  <c r="IT4" i="10"/>
  <c r="IS4" i="10"/>
  <c r="IR4" i="10"/>
  <c r="IQ4" i="10"/>
  <c r="IP4" i="10"/>
  <c r="IN4" i="10"/>
  <c r="IM4" i="10"/>
  <c r="JX4" i="10" s="1"/>
  <c r="IL4" i="10"/>
  <c r="IK4" i="10"/>
  <c r="IJ4" i="10"/>
  <c r="II4" i="10"/>
  <c r="IH4" i="10"/>
  <c r="IG4" i="10"/>
  <c r="IO4" i="10"/>
  <c r="IF4" i="10"/>
  <c r="GE4" i="10"/>
  <c r="AT4" i="10"/>
  <c r="AS4" i="10"/>
  <c r="AR4" i="10"/>
  <c r="AQ4" i="10"/>
  <c r="JO3" i="10"/>
  <c r="JN3" i="10"/>
  <c r="JM3" i="10"/>
  <c r="JL3" i="10"/>
  <c r="JK3" i="10"/>
  <c r="JJ3" i="10"/>
  <c r="JI3" i="10"/>
  <c r="JH3" i="10"/>
  <c r="JG3" i="10"/>
  <c r="JF3" i="10"/>
  <c r="JE3" i="10"/>
  <c r="JD3" i="10"/>
  <c r="JC3" i="10"/>
  <c r="JB3" i="10"/>
  <c r="JA3" i="10"/>
  <c r="IZ3" i="10"/>
  <c r="IY3" i="10"/>
  <c r="IX3" i="10"/>
  <c r="IW3" i="10"/>
  <c r="IV3" i="10"/>
  <c r="IU3" i="10"/>
  <c r="JW3" i="10" s="1"/>
  <c r="IT3" i="10"/>
  <c r="IS3" i="10"/>
  <c r="IR3" i="10"/>
  <c r="IQ3" i="10"/>
  <c r="IP3" i="10"/>
  <c r="IN3" i="10"/>
  <c r="IM3" i="10"/>
  <c r="IL3" i="10"/>
  <c r="IK3" i="10"/>
  <c r="JV3" i="10" s="1"/>
  <c r="IJ3" i="10"/>
  <c r="II3" i="10"/>
  <c r="IH3" i="10"/>
  <c r="IG3" i="10"/>
  <c r="IO3" i="10"/>
  <c r="IF3" i="10"/>
  <c r="GE3" i="10"/>
  <c r="AT3" i="10"/>
  <c r="AS3" i="10"/>
  <c r="AR3" i="10"/>
  <c r="AQ3" i="10"/>
  <c r="JO2" i="10"/>
  <c r="JN2" i="10"/>
  <c r="JM2" i="10"/>
  <c r="JL2" i="10"/>
  <c r="JK2" i="10"/>
  <c r="JJ2" i="10"/>
  <c r="JI2" i="10"/>
  <c r="JH2" i="10"/>
  <c r="JG2" i="10"/>
  <c r="JF2" i="10"/>
  <c r="JE2" i="10"/>
  <c r="JD2" i="10"/>
  <c r="JC2" i="10"/>
  <c r="JB2" i="10"/>
  <c r="JA2" i="10"/>
  <c r="IZ2" i="10"/>
  <c r="IY2" i="10"/>
  <c r="IX2" i="10"/>
  <c r="IW2" i="10"/>
  <c r="IV2" i="10"/>
  <c r="IU2" i="10"/>
  <c r="IT2" i="10"/>
  <c r="IS2" i="10"/>
  <c r="IR2" i="10"/>
  <c r="IQ2" i="10"/>
  <c r="IP2" i="10"/>
  <c r="IO2" i="10"/>
  <c r="IN2" i="10"/>
  <c r="IM2" i="10"/>
  <c r="IL2" i="10"/>
  <c r="IK2" i="10"/>
  <c r="IJ2" i="10"/>
  <c r="II2" i="10"/>
  <c r="IH2" i="10"/>
  <c r="JS2" i="10" s="1"/>
  <c r="IG2" i="10"/>
  <c r="GE2" i="10"/>
  <c r="AT2" i="10"/>
  <c r="AS2" i="10"/>
  <c r="AR2" i="10"/>
  <c r="AQ2" i="10"/>
  <c r="JS20" i="9"/>
  <c r="JR20" i="9"/>
  <c r="JQ20" i="9" s="1"/>
  <c r="JP20" i="9" s="1"/>
  <c r="JO20" i="9"/>
  <c r="JN20" i="9"/>
  <c r="JM20" i="9"/>
  <c r="JL20" i="9"/>
  <c r="JK20" i="9"/>
  <c r="JJ20" i="9"/>
  <c r="JI20" i="9"/>
  <c r="JH20" i="9"/>
  <c r="JG20" i="9"/>
  <c r="JF20" i="9"/>
  <c r="JE20" i="9"/>
  <c r="JD20" i="9"/>
  <c r="JC20" i="9"/>
  <c r="JB20" i="9"/>
  <c r="JA20" i="9"/>
  <c r="IZ20" i="9"/>
  <c r="IY20" i="9"/>
  <c r="IX20" i="9"/>
  <c r="IW20" i="9"/>
  <c r="IV20" i="9"/>
  <c r="IU20" i="9"/>
  <c r="IT20" i="9"/>
  <c r="IS20" i="9"/>
  <c r="IR20" i="9"/>
  <c r="IQ20" i="9"/>
  <c r="IP20" i="9"/>
  <c r="IN20" i="9"/>
  <c r="JY20" i="9" s="1"/>
  <c r="IM20" i="9"/>
  <c r="JX20" i="9" s="1"/>
  <c r="IL20" i="9"/>
  <c r="JW20" i="9" s="1"/>
  <c r="IK20" i="9"/>
  <c r="JV20" i="9" s="1"/>
  <c r="IJ20" i="9"/>
  <c r="JU20" i="9" s="1"/>
  <c r="II20" i="9"/>
  <c r="JT20" i="9" s="1"/>
  <c r="IH20" i="9"/>
  <c r="IG20" i="9"/>
  <c r="HE20" i="9"/>
  <c r="IO20" i="9" s="1"/>
  <c r="GV20" i="9"/>
  <c r="IF20" i="9" s="1"/>
  <c r="GE20" i="9"/>
  <c r="AT20" i="9"/>
  <c r="AS20" i="9"/>
  <c r="AR20" i="9"/>
  <c r="AQ20" i="9"/>
  <c r="JV19" i="9"/>
  <c r="JU19" i="9"/>
  <c r="JO19" i="9"/>
  <c r="JN19" i="9"/>
  <c r="JM19" i="9"/>
  <c r="JL19" i="9"/>
  <c r="JK19" i="9"/>
  <c r="JJ19" i="9"/>
  <c r="JI19" i="9"/>
  <c r="JH19" i="9"/>
  <c r="JG19" i="9"/>
  <c r="JF19" i="9"/>
  <c r="JE19" i="9"/>
  <c r="JD19" i="9"/>
  <c r="JC19" i="9"/>
  <c r="JB19" i="9"/>
  <c r="JA19" i="9"/>
  <c r="IZ19" i="9"/>
  <c r="IY19" i="9"/>
  <c r="IX19" i="9"/>
  <c r="IW19" i="9"/>
  <c r="IV19" i="9"/>
  <c r="IU19" i="9"/>
  <c r="JW19" i="9" s="1"/>
  <c r="IT19" i="9"/>
  <c r="IS19" i="9"/>
  <c r="IR19" i="9"/>
  <c r="IQ19" i="9"/>
  <c r="IP19" i="9"/>
  <c r="IO19" i="9"/>
  <c r="IN19" i="9"/>
  <c r="JY19" i="9" s="1"/>
  <c r="IM19" i="9"/>
  <c r="JX19" i="9" s="1"/>
  <c r="IL19" i="9"/>
  <c r="IK19" i="9"/>
  <c r="IJ19" i="9"/>
  <c r="II19" i="9"/>
  <c r="JT19" i="9" s="1"/>
  <c r="IH19" i="9"/>
  <c r="JS19" i="9" s="1"/>
  <c r="IG19" i="9"/>
  <c r="JR19" i="9" s="1"/>
  <c r="JQ19" i="9" s="1"/>
  <c r="JP19" i="9" s="1"/>
  <c r="HE19" i="9"/>
  <c r="GV19" i="9"/>
  <c r="IF19" i="9" s="1"/>
  <c r="GE19" i="9"/>
  <c r="AT19" i="9"/>
  <c r="AS19" i="9"/>
  <c r="AR19" i="9"/>
  <c r="AQ19" i="9"/>
  <c r="JY18" i="9"/>
  <c r="JO18" i="9"/>
  <c r="JN18" i="9"/>
  <c r="JM18" i="9"/>
  <c r="JL18" i="9"/>
  <c r="JK18" i="9"/>
  <c r="JJ18" i="9"/>
  <c r="JI18" i="9"/>
  <c r="JH18" i="9"/>
  <c r="JG18" i="9"/>
  <c r="JF18" i="9"/>
  <c r="JE18" i="9"/>
  <c r="JD18" i="9"/>
  <c r="JC18" i="9"/>
  <c r="JB18" i="9"/>
  <c r="JA18" i="9"/>
  <c r="IZ18" i="9"/>
  <c r="IY18" i="9"/>
  <c r="JR18" i="9" s="1"/>
  <c r="JQ18" i="9" s="1"/>
  <c r="JP18" i="9" s="1"/>
  <c r="IX18" i="9"/>
  <c r="IW18" i="9"/>
  <c r="IV18" i="9"/>
  <c r="IU18" i="9"/>
  <c r="IT18" i="9"/>
  <c r="IS18" i="9"/>
  <c r="IR18" i="9"/>
  <c r="IQ18" i="9"/>
  <c r="IP18" i="9"/>
  <c r="IN18" i="9"/>
  <c r="IM18" i="9"/>
  <c r="JX18" i="9" s="1"/>
  <c r="IL18" i="9"/>
  <c r="JW18" i="9" s="1"/>
  <c r="IK18" i="9"/>
  <c r="JV18" i="9" s="1"/>
  <c r="IJ18" i="9"/>
  <c r="JU18" i="9" s="1"/>
  <c r="II18" i="9"/>
  <c r="JT18" i="9" s="1"/>
  <c r="IH18" i="9"/>
  <c r="JS18" i="9" s="1"/>
  <c r="IG18" i="9"/>
  <c r="HE18" i="9"/>
  <c r="IO18" i="9" s="1"/>
  <c r="GV18" i="9"/>
  <c r="IF18" i="9" s="1"/>
  <c r="GE18" i="9"/>
  <c r="AT18" i="9"/>
  <c r="AS18" i="9"/>
  <c r="AR18" i="9"/>
  <c r="AQ18" i="9"/>
  <c r="JU17" i="9"/>
  <c r="JS17" i="9"/>
  <c r="JO17" i="9"/>
  <c r="JN17" i="9"/>
  <c r="JM17" i="9"/>
  <c r="JL17" i="9"/>
  <c r="JK17" i="9"/>
  <c r="JJ17" i="9"/>
  <c r="JI17" i="9"/>
  <c r="JH17" i="9"/>
  <c r="JG17" i="9"/>
  <c r="JF17" i="9"/>
  <c r="JE17" i="9"/>
  <c r="JD17" i="9"/>
  <c r="JC17" i="9"/>
  <c r="JV17" i="9" s="1"/>
  <c r="JB17" i="9"/>
  <c r="JA17" i="9"/>
  <c r="IZ17" i="9"/>
  <c r="IY17" i="9"/>
  <c r="IX17" i="9"/>
  <c r="IW17" i="9"/>
  <c r="IV17" i="9"/>
  <c r="IU17" i="9"/>
  <c r="IT17" i="9"/>
  <c r="IS17" i="9"/>
  <c r="IR17" i="9"/>
  <c r="IQ17" i="9"/>
  <c r="IP17" i="9"/>
  <c r="IO17" i="9"/>
  <c r="IN17" i="9"/>
  <c r="JY17" i="9" s="1"/>
  <c r="IM17" i="9"/>
  <c r="JX17" i="9" s="1"/>
  <c r="IL17" i="9"/>
  <c r="JW17" i="9" s="1"/>
  <c r="IK17" i="9"/>
  <c r="IJ17" i="9"/>
  <c r="II17" i="9"/>
  <c r="JT17" i="9" s="1"/>
  <c r="IH17" i="9"/>
  <c r="IG17" i="9"/>
  <c r="JR17" i="9" s="1"/>
  <c r="JQ17" i="9" s="1"/>
  <c r="JP17" i="9" s="1"/>
  <c r="HE17" i="9"/>
  <c r="GV17" i="9"/>
  <c r="IF17" i="9" s="1"/>
  <c r="GE17" i="9"/>
  <c r="AT17" i="9"/>
  <c r="AS17" i="9"/>
  <c r="AR17" i="9"/>
  <c r="AQ17" i="9"/>
  <c r="JY16" i="9"/>
  <c r="JW16" i="9"/>
  <c r="JO16" i="9"/>
  <c r="JN16" i="9"/>
  <c r="JM16" i="9"/>
  <c r="JL16" i="9"/>
  <c r="JK16" i="9"/>
  <c r="JJ16" i="9"/>
  <c r="JI16" i="9"/>
  <c r="JH16" i="9"/>
  <c r="JG16" i="9"/>
  <c r="JF16" i="9"/>
  <c r="JE16" i="9"/>
  <c r="JD16" i="9"/>
  <c r="JC16" i="9"/>
  <c r="JB16" i="9"/>
  <c r="JA16" i="9"/>
  <c r="IZ16" i="9"/>
  <c r="IY16" i="9"/>
  <c r="JR16" i="9" s="1"/>
  <c r="JQ16" i="9" s="1"/>
  <c r="JP16" i="9" s="1"/>
  <c r="IX16" i="9"/>
  <c r="IW16" i="9"/>
  <c r="IV16" i="9"/>
  <c r="IU16" i="9"/>
  <c r="IT16" i="9"/>
  <c r="IS16" i="9"/>
  <c r="IR16" i="9"/>
  <c r="IQ16" i="9"/>
  <c r="IP16" i="9"/>
  <c r="IN16" i="9"/>
  <c r="IM16" i="9"/>
  <c r="JX16" i="9" s="1"/>
  <c r="IL16" i="9"/>
  <c r="IK16" i="9"/>
  <c r="JV16" i="9" s="1"/>
  <c r="IJ16" i="9"/>
  <c r="JU16" i="9" s="1"/>
  <c r="II16" i="9"/>
  <c r="JT16" i="9" s="1"/>
  <c r="IH16" i="9"/>
  <c r="JS16" i="9" s="1"/>
  <c r="IG16" i="9"/>
  <c r="HE16" i="9"/>
  <c r="IO16" i="9" s="1"/>
  <c r="GV16" i="9"/>
  <c r="IF16" i="9" s="1"/>
  <c r="GE16" i="9"/>
  <c r="AT16" i="9"/>
  <c r="AS16" i="9"/>
  <c r="AR16" i="9"/>
  <c r="AQ16" i="9"/>
  <c r="JU15" i="9"/>
  <c r="JS15" i="9"/>
  <c r="JO15" i="9"/>
  <c r="JN15" i="9"/>
  <c r="JM15" i="9"/>
  <c r="JL15" i="9"/>
  <c r="JK15" i="9"/>
  <c r="JJ15" i="9"/>
  <c r="JI15" i="9"/>
  <c r="JH15" i="9"/>
  <c r="JG15" i="9"/>
  <c r="JF15" i="9"/>
  <c r="JE15" i="9"/>
  <c r="JD15" i="9"/>
  <c r="JC15" i="9"/>
  <c r="JV15" i="9" s="1"/>
  <c r="JB15" i="9"/>
  <c r="JA15" i="9"/>
  <c r="IZ15" i="9"/>
  <c r="IY15" i="9"/>
  <c r="IX15" i="9"/>
  <c r="IW15" i="9"/>
  <c r="IV15" i="9"/>
  <c r="IU15" i="9"/>
  <c r="IT15" i="9"/>
  <c r="IS15" i="9"/>
  <c r="IR15" i="9"/>
  <c r="IQ15" i="9"/>
  <c r="IP15" i="9"/>
  <c r="IO15" i="9"/>
  <c r="IN15" i="9"/>
  <c r="JY15" i="9" s="1"/>
  <c r="IM15" i="9"/>
  <c r="JX15" i="9" s="1"/>
  <c r="IL15" i="9"/>
  <c r="JW15" i="9" s="1"/>
  <c r="IK15" i="9"/>
  <c r="IJ15" i="9"/>
  <c r="II15" i="9"/>
  <c r="JT15" i="9" s="1"/>
  <c r="IH15" i="9"/>
  <c r="IG15" i="9"/>
  <c r="JR15" i="9" s="1"/>
  <c r="JQ15" i="9" s="1"/>
  <c r="JP15" i="9" s="1"/>
  <c r="HE15" i="9"/>
  <c r="GV15" i="9"/>
  <c r="IF15" i="9" s="1"/>
  <c r="GE15" i="9"/>
  <c r="AT15" i="9"/>
  <c r="AS15" i="9"/>
  <c r="AR15" i="9"/>
  <c r="AQ15" i="9"/>
  <c r="JY14" i="9"/>
  <c r="JW14" i="9"/>
  <c r="JO14" i="9"/>
  <c r="JN14" i="9"/>
  <c r="JM14" i="9"/>
  <c r="JL14" i="9"/>
  <c r="JK14" i="9"/>
  <c r="JJ14" i="9"/>
  <c r="JI14" i="9"/>
  <c r="JH14" i="9"/>
  <c r="JG14" i="9"/>
  <c r="JF14" i="9"/>
  <c r="JE14" i="9"/>
  <c r="JD14" i="9"/>
  <c r="JC14" i="9"/>
  <c r="JB14" i="9"/>
  <c r="JA14" i="9"/>
  <c r="IZ14" i="9"/>
  <c r="IY14" i="9"/>
  <c r="JR14" i="9" s="1"/>
  <c r="JQ14" i="9" s="1"/>
  <c r="JP14" i="9" s="1"/>
  <c r="IX14" i="9"/>
  <c r="IW14" i="9"/>
  <c r="IV14" i="9"/>
  <c r="IU14" i="9"/>
  <c r="IT14" i="9"/>
  <c r="IS14" i="9"/>
  <c r="IR14" i="9"/>
  <c r="IQ14" i="9"/>
  <c r="IP14" i="9"/>
  <c r="IN14" i="9"/>
  <c r="IM14" i="9"/>
  <c r="JX14" i="9" s="1"/>
  <c r="IL14" i="9"/>
  <c r="IK14" i="9"/>
  <c r="JV14" i="9" s="1"/>
  <c r="IJ14" i="9"/>
  <c r="JU14" i="9" s="1"/>
  <c r="II14" i="9"/>
  <c r="JT14" i="9" s="1"/>
  <c r="IH14" i="9"/>
  <c r="JS14" i="9" s="1"/>
  <c r="IG14" i="9"/>
  <c r="HE14" i="9"/>
  <c r="IO14" i="9" s="1"/>
  <c r="GV14" i="9"/>
  <c r="IF14" i="9" s="1"/>
  <c r="GE14" i="9"/>
  <c r="AT14" i="9"/>
  <c r="AS14" i="9"/>
  <c r="AR14" i="9"/>
  <c r="AQ14" i="9"/>
  <c r="JU13" i="9"/>
  <c r="JS13" i="9"/>
  <c r="JO13" i="9"/>
  <c r="JN13" i="9"/>
  <c r="JM13" i="9"/>
  <c r="JL13" i="9"/>
  <c r="JK13" i="9"/>
  <c r="JJ13" i="9"/>
  <c r="JI13" i="9"/>
  <c r="JH13" i="9"/>
  <c r="JG13" i="9"/>
  <c r="JF13" i="9"/>
  <c r="JE13" i="9"/>
  <c r="JD13" i="9"/>
  <c r="JC13" i="9"/>
  <c r="JV13" i="9" s="1"/>
  <c r="JB13" i="9"/>
  <c r="JA13" i="9"/>
  <c r="IZ13" i="9"/>
  <c r="IY13" i="9"/>
  <c r="IX13" i="9"/>
  <c r="IW13" i="9"/>
  <c r="IV13" i="9"/>
  <c r="IU13" i="9"/>
  <c r="IT13" i="9"/>
  <c r="IS13" i="9"/>
  <c r="IR13" i="9"/>
  <c r="IQ13" i="9"/>
  <c r="IP13" i="9"/>
  <c r="IO13" i="9"/>
  <c r="IN13" i="9"/>
  <c r="JY13" i="9" s="1"/>
  <c r="IM13" i="9"/>
  <c r="JX13" i="9" s="1"/>
  <c r="IL13" i="9"/>
  <c r="JW13" i="9" s="1"/>
  <c r="IK13" i="9"/>
  <c r="IJ13" i="9"/>
  <c r="II13" i="9"/>
  <c r="JT13" i="9" s="1"/>
  <c r="IH13" i="9"/>
  <c r="IG13" i="9"/>
  <c r="JR13" i="9" s="1"/>
  <c r="JQ13" i="9" s="1"/>
  <c r="JP13" i="9" s="1"/>
  <c r="HE13" i="9"/>
  <c r="GV13" i="9"/>
  <c r="IF13" i="9" s="1"/>
  <c r="GE13" i="9"/>
  <c r="AT13" i="9"/>
  <c r="AS13" i="9"/>
  <c r="AR13" i="9"/>
  <c r="AQ13" i="9"/>
  <c r="JY12" i="9"/>
  <c r="JW12" i="9"/>
  <c r="JO12" i="9"/>
  <c r="JN12" i="9"/>
  <c r="JM12" i="9"/>
  <c r="JL12" i="9"/>
  <c r="JK12" i="9"/>
  <c r="JJ12" i="9"/>
  <c r="JI12" i="9"/>
  <c r="JH12" i="9"/>
  <c r="JG12" i="9"/>
  <c r="JF12" i="9"/>
  <c r="JE12" i="9"/>
  <c r="JD12" i="9"/>
  <c r="JC12" i="9"/>
  <c r="JB12" i="9"/>
  <c r="JA12" i="9"/>
  <c r="IZ12" i="9"/>
  <c r="IY12" i="9"/>
  <c r="JR12" i="9" s="1"/>
  <c r="JQ12" i="9" s="1"/>
  <c r="JP12" i="9" s="1"/>
  <c r="IX12" i="9"/>
  <c r="IW12" i="9"/>
  <c r="IV12" i="9"/>
  <c r="IU12" i="9"/>
  <c r="IT12" i="9"/>
  <c r="IS12" i="9"/>
  <c r="IR12" i="9"/>
  <c r="IQ12" i="9"/>
  <c r="IP12" i="9"/>
  <c r="IN12" i="9"/>
  <c r="IM12" i="9"/>
  <c r="JX12" i="9" s="1"/>
  <c r="IL12" i="9"/>
  <c r="IK12" i="9"/>
  <c r="JV12" i="9" s="1"/>
  <c r="IJ12" i="9"/>
  <c r="JU12" i="9" s="1"/>
  <c r="II12" i="9"/>
  <c r="JT12" i="9" s="1"/>
  <c r="IH12" i="9"/>
  <c r="JS12" i="9" s="1"/>
  <c r="IG12" i="9"/>
  <c r="HE12" i="9"/>
  <c r="IO12" i="9" s="1"/>
  <c r="GV12" i="9"/>
  <c r="IF12" i="9" s="1"/>
  <c r="GE12" i="9"/>
  <c r="AT12" i="9"/>
  <c r="AS12" i="9"/>
  <c r="AR12" i="9"/>
  <c r="AQ12" i="9"/>
  <c r="JU11" i="9"/>
  <c r="JS11" i="9"/>
  <c r="JO11" i="9"/>
  <c r="JN11" i="9"/>
  <c r="JM11" i="9"/>
  <c r="JL11" i="9"/>
  <c r="JK11" i="9"/>
  <c r="JJ11" i="9"/>
  <c r="JI11" i="9"/>
  <c r="JH11" i="9"/>
  <c r="JG11" i="9"/>
  <c r="JF11" i="9"/>
  <c r="JE11" i="9"/>
  <c r="JD11" i="9"/>
  <c r="JC11" i="9"/>
  <c r="JV11" i="9" s="1"/>
  <c r="JB11" i="9"/>
  <c r="JA11" i="9"/>
  <c r="IZ11" i="9"/>
  <c r="IY11" i="9"/>
  <c r="IX11" i="9"/>
  <c r="IW11" i="9"/>
  <c r="IV11" i="9"/>
  <c r="IU11" i="9"/>
  <c r="IT11" i="9"/>
  <c r="IS11" i="9"/>
  <c r="IR11" i="9"/>
  <c r="IQ11" i="9"/>
  <c r="IP11" i="9"/>
  <c r="IO11" i="9"/>
  <c r="IN11" i="9"/>
  <c r="JY11" i="9" s="1"/>
  <c r="IM11" i="9"/>
  <c r="JX11" i="9" s="1"/>
  <c r="IL11" i="9"/>
  <c r="JW11" i="9" s="1"/>
  <c r="IK11" i="9"/>
  <c r="IJ11" i="9"/>
  <c r="II11" i="9"/>
  <c r="JT11" i="9" s="1"/>
  <c r="IH11" i="9"/>
  <c r="IG11" i="9"/>
  <c r="JR11" i="9" s="1"/>
  <c r="JQ11" i="9" s="1"/>
  <c r="JP11" i="9" s="1"/>
  <c r="HE11" i="9"/>
  <c r="GV11" i="9"/>
  <c r="IF11" i="9" s="1"/>
  <c r="GE11" i="9"/>
  <c r="AT11" i="9"/>
  <c r="AS11" i="9"/>
  <c r="AR11" i="9"/>
  <c r="AQ11" i="9"/>
  <c r="JY10" i="9"/>
  <c r="JW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JR10" i="9" s="1"/>
  <c r="JQ10" i="9" s="1"/>
  <c r="JP10" i="9" s="1"/>
  <c r="IX10" i="9"/>
  <c r="IW10" i="9"/>
  <c r="IV10" i="9"/>
  <c r="IU10" i="9"/>
  <c r="IT10" i="9"/>
  <c r="IS10" i="9"/>
  <c r="IR10" i="9"/>
  <c r="IQ10" i="9"/>
  <c r="IP10" i="9"/>
  <c r="IN10" i="9"/>
  <c r="IM10" i="9"/>
  <c r="JX10" i="9" s="1"/>
  <c r="IL10" i="9"/>
  <c r="IK10" i="9"/>
  <c r="JV10" i="9" s="1"/>
  <c r="IJ10" i="9"/>
  <c r="JU10" i="9" s="1"/>
  <c r="II10" i="9"/>
  <c r="JT10" i="9" s="1"/>
  <c r="IH10" i="9"/>
  <c r="JS10" i="9" s="1"/>
  <c r="IG10" i="9"/>
  <c r="HE10" i="9"/>
  <c r="IO10" i="9" s="1"/>
  <c r="GV10" i="9"/>
  <c r="IF10" i="9" s="1"/>
  <c r="GE10" i="9"/>
  <c r="AT10" i="9"/>
  <c r="AS10" i="9"/>
  <c r="AR10" i="9"/>
  <c r="AQ10" i="9"/>
  <c r="JU9" i="9"/>
  <c r="JS9" i="9"/>
  <c r="JO9" i="9"/>
  <c r="JN9" i="9"/>
  <c r="JM9" i="9"/>
  <c r="JL9" i="9"/>
  <c r="JK9" i="9"/>
  <c r="JJ9" i="9"/>
  <c r="JI9" i="9"/>
  <c r="JH9" i="9"/>
  <c r="JG9" i="9"/>
  <c r="JF9" i="9"/>
  <c r="JE9" i="9"/>
  <c r="JD9" i="9"/>
  <c r="JC9" i="9"/>
  <c r="JV9" i="9" s="1"/>
  <c r="JB9" i="9"/>
  <c r="JA9" i="9"/>
  <c r="IZ9" i="9"/>
  <c r="IY9" i="9"/>
  <c r="IX9" i="9"/>
  <c r="IW9" i="9"/>
  <c r="IV9" i="9"/>
  <c r="IU9" i="9"/>
  <c r="IT9" i="9"/>
  <c r="IS9" i="9"/>
  <c r="IR9" i="9"/>
  <c r="IQ9" i="9"/>
  <c r="IP9" i="9"/>
  <c r="IO9" i="9"/>
  <c r="IN9" i="9"/>
  <c r="JY9" i="9" s="1"/>
  <c r="IM9" i="9"/>
  <c r="JX9" i="9" s="1"/>
  <c r="IL9" i="9"/>
  <c r="JW9" i="9" s="1"/>
  <c r="IK9" i="9"/>
  <c r="IJ9" i="9"/>
  <c r="II9" i="9"/>
  <c r="JT9" i="9" s="1"/>
  <c r="IH9" i="9"/>
  <c r="IG9" i="9"/>
  <c r="JR9" i="9" s="1"/>
  <c r="JQ9" i="9" s="1"/>
  <c r="JP9" i="9" s="1"/>
  <c r="HE9" i="9"/>
  <c r="GV9" i="9"/>
  <c r="IF9" i="9" s="1"/>
  <c r="GE9" i="9"/>
  <c r="AT9" i="9"/>
  <c r="AS9" i="9"/>
  <c r="AR9" i="9"/>
  <c r="AQ9" i="9"/>
  <c r="JY8" i="9"/>
  <c r="JW8" i="9"/>
  <c r="JO8" i="9"/>
  <c r="JN8" i="9"/>
  <c r="JM8" i="9"/>
  <c r="JL8" i="9"/>
  <c r="JK8" i="9"/>
  <c r="JJ8" i="9"/>
  <c r="JI8" i="9"/>
  <c r="JH8" i="9"/>
  <c r="JG8" i="9"/>
  <c r="JF8" i="9"/>
  <c r="JE8" i="9"/>
  <c r="JD8" i="9"/>
  <c r="JC8" i="9"/>
  <c r="JB8" i="9"/>
  <c r="JA8" i="9"/>
  <c r="IZ8" i="9"/>
  <c r="IY8" i="9"/>
  <c r="JR8" i="9" s="1"/>
  <c r="JQ8" i="9" s="1"/>
  <c r="JP8" i="9" s="1"/>
  <c r="IX8" i="9"/>
  <c r="IW8" i="9"/>
  <c r="IV8" i="9"/>
  <c r="IU8" i="9"/>
  <c r="IT8" i="9"/>
  <c r="IS8" i="9"/>
  <c r="IR8" i="9"/>
  <c r="IQ8" i="9"/>
  <c r="IP8" i="9"/>
  <c r="IN8" i="9"/>
  <c r="IM8" i="9"/>
  <c r="JX8" i="9" s="1"/>
  <c r="IL8" i="9"/>
  <c r="IK8" i="9"/>
  <c r="JV8" i="9" s="1"/>
  <c r="IJ8" i="9"/>
  <c r="JU8" i="9" s="1"/>
  <c r="II8" i="9"/>
  <c r="JT8" i="9" s="1"/>
  <c r="IH8" i="9"/>
  <c r="JS8" i="9" s="1"/>
  <c r="IG8" i="9"/>
  <c r="HE8" i="9"/>
  <c r="IO8" i="9" s="1"/>
  <c r="GV8" i="9"/>
  <c r="IF8" i="9" s="1"/>
  <c r="GE8" i="9"/>
  <c r="AT8" i="9"/>
  <c r="AS8" i="9"/>
  <c r="AR8" i="9"/>
  <c r="AQ8" i="9"/>
  <c r="JU7" i="9"/>
  <c r="JS7" i="9"/>
  <c r="JO7" i="9"/>
  <c r="JN7" i="9"/>
  <c r="JM7" i="9"/>
  <c r="JL7" i="9"/>
  <c r="JK7" i="9"/>
  <c r="JJ7" i="9"/>
  <c r="JI7" i="9"/>
  <c r="JH7" i="9"/>
  <c r="JG7" i="9"/>
  <c r="JF7" i="9"/>
  <c r="JE7" i="9"/>
  <c r="JD7" i="9"/>
  <c r="JC7" i="9"/>
  <c r="JV7" i="9" s="1"/>
  <c r="JB7" i="9"/>
  <c r="JA7" i="9"/>
  <c r="IZ7" i="9"/>
  <c r="IY7" i="9"/>
  <c r="IX7" i="9"/>
  <c r="IW7" i="9"/>
  <c r="IV7" i="9"/>
  <c r="IU7" i="9"/>
  <c r="IT7" i="9"/>
  <c r="IS7" i="9"/>
  <c r="IR7" i="9"/>
  <c r="IQ7" i="9"/>
  <c r="IP7" i="9"/>
  <c r="IO7" i="9"/>
  <c r="IN7" i="9"/>
  <c r="JY7" i="9" s="1"/>
  <c r="IM7" i="9"/>
  <c r="JX7" i="9" s="1"/>
  <c r="IL7" i="9"/>
  <c r="JW7" i="9" s="1"/>
  <c r="IK7" i="9"/>
  <c r="IJ7" i="9"/>
  <c r="II7" i="9"/>
  <c r="JT7" i="9" s="1"/>
  <c r="IH7" i="9"/>
  <c r="IG7" i="9"/>
  <c r="JR7" i="9" s="1"/>
  <c r="JQ7" i="9" s="1"/>
  <c r="JP7" i="9" s="1"/>
  <c r="HE7" i="9"/>
  <c r="GV7" i="9"/>
  <c r="IF7" i="9" s="1"/>
  <c r="GE7" i="9"/>
  <c r="AT7" i="9"/>
  <c r="AS7" i="9"/>
  <c r="AR7" i="9"/>
  <c r="AQ7" i="9"/>
  <c r="JY6" i="9"/>
  <c r="JW6" i="9"/>
  <c r="JO6" i="9"/>
  <c r="JN6" i="9"/>
  <c r="JM6" i="9"/>
  <c r="JL6" i="9"/>
  <c r="JK6" i="9"/>
  <c r="JJ6" i="9"/>
  <c r="JI6" i="9"/>
  <c r="JH6" i="9"/>
  <c r="JG6" i="9"/>
  <c r="JF6" i="9"/>
  <c r="JE6" i="9"/>
  <c r="JD6" i="9"/>
  <c r="JC6" i="9"/>
  <c r="JB6" i="9"/>
  <c r="JA6" i="9"/>
  <c r="IZ6" i="9"/>
  <c r="IY6" i="9"/>
  <c r="JR6" i="9" s="1"/>
  <c r="JQ6" i="9" s="1"/>
  <c r="JP6" i="9" s="1"/>
  <c r="IX6" i="9"/>
  <c r="IW6" i="9"/>
  <c r="IV6" i="9"/>
  <c r="IU6" i="9"/>
  <c r="IT6" i="9"/>
  <c r="IS6" i="9"/>
  <c r="IR6" i="9"/>
  <c r="IQ6" i="9"/>
  <c r="IP6" i="9"/>
  <c r="IN6" i="9"/>
  <c r="IM6" i="9"/>
  <c r="JX6" i="9" s="1"/>
  <c r="IL6" i="9"/>
  <c r="IK6" i="9"/>
  <c r="JV6" i="9" s="1"/>
  <c r="IJ6" i="9"/>
  <c r="JU6" i="9" s="1"/>
  <c r="II6" i="9"/>
  <c r="JT6" i="9" s="1"/>
  <c r="IH6" i="9"/>
  <c r="JS6" i="9" s="1"/>
  <c r="IG6" i="9"/>
  <c r="HE6" i="9"/>
  <c r="IO6" i="9" s="1"/>
  <c r="GV6" i="9"/>
  <c r="IF6" i="9" s="1"/>
  <c r="GE6" i="9"/>
  <c r="AT6" i="9"/>
  <c r="AS6" i="9"/>
  <c r="AR6" i="9"/>
  <c r="AQ6" i="9"/>
  <c r="JU5" i="9"/>
  <c r="JS5" i="9"/>
  <c r="JO5" i="9"/>
  <c r="JN5" i="9"/>
  <c r="JM5" i="9"/>
  <c r="JL5" i="9"/>
  <c r="JK5" i="9"/>
  <c r="JJ5" i="9"/>
  <c r="JI5" i="9"/>
  <c r="JH5" i="9"/>
  <c r="JG5" i="9"/>
  <c r="JF5" i="9"/>
  <c r="JE5" i="9"/>
  <c r="JD5" i="9"/>
  <c r="JC5" i="9"/>
  <c r="JV5" i="9" s="1"/>
  <c r="JB5" i="9"/>
  <c r="JA5" i="9"/>
  <c r="IZ5" i="9"/>
  <c r="IY5" i="9"/>
  <c r="IX5" i="9"/>
  <c r="IW5" i="9"/>
  <c r="IV5" i="9"/>
  <c r="IU5" i="9"/>
  <c r="IT5" i="9"/>
  <c r="IS5" i="9"/>
  <c r="IR5" i="9"/>
  <c r="IQ5" i="9"/>
  <c r="IP5" i="9"/>
  <c r="IO5" i="9"/>
  <c r="IN5" i="9"/>
  <c r="JY5" i="9" s="1"/>
  <c r="IM5" i="9"/>
  <c r="JX5" i="9" s="1"/>
  <c r="IL5" i="9"/>
  <c r="JW5" i="9" s="1"/>
  <c r="IK5" i="9"/>
  <c r="IJ5" i="9"/>
  <c r="II5" i="9"/>
  <c r="JT5" i="9" s="1"/>
  <c r="IH5" i="9"/>
  <c r="IG5" i="9"/>
  <c r="JR5" i="9" s="1"/>
  <c r="JQ5" i="9" s="1"/>
  <c r="JP5" i="9" s="1"/>
  <c r="HE5" i="9"/>
  <c r="GV5" i="9"/>
  <c r="IF5" i="9" s="1"/>
  <c r="GE5" i="9"/>
  <c r="AT5" i="9"/>
  <c r="AS5" i="9"/>
  <c r="AR5" i="9"/>
  <c r="AQ5" i="9"/>
  <c r="JY4" i="9"/>
  <c r="JW4" i="9"/>
  <c r="JO4" i="9"/>
  <c r="JN4" i="9"/>
  <c r="JM4" i="9"/>
  <c r="JL4" i="9"/>
  <c r="JK4" i="9"/>
  <c r="JJ4" i="9"/>
  <c r="JI4" i="9"/>
  <c r="JH4" i="9"/>
  <c r="JG4" i="9"/>
  <c r="JF4" i="9"/>
  <c r="JE4" i="9"/>
  <c r="JD4" i="9"/>
  <c r="JC4" i="9"/>
  <c r="JB4" i="9"/>
  <c r="JA4" i="9"/>
  <c r="IZ4" i="9"/>
  <c r="IY4" i="9"/>
  <c r="JR4" i="9" s="1"/>
  <c r="JQ4" i="9" s="1"/>
  <c r="JP4" i="9" s="1"/>
  <c r="IX4" i="9"/>
  <c r="IW4" i="9"/>
  <c r="IV4" i="9"/>
  <c r="IU4" i="9"/>
  <c r="IT4" i="9"/>
  <c r="IS4" i="9"/>
  <c r="IR4" i="9"/>
  <c r="IQ4" i="9"/>
  <c r="IP4" i="9"/>
  <c r="IN4" i="9"/>
  <c r="IM4" i="9"/>
  <c r="JX4" i="9" s="1"/>
  <c r="IL4" i="9"/>
  <c r="IK4" i="9"/>
  <c r="JV4" i="9" s="1"/>
  <c r="IJ4" i="9"/>
  <c r="JU4" i="9" s="1"/>
  <c r="II4" i="9"/>
  <c r="JT4" i="9" s="1"/>
  <c r="IH4" i="9"/>
  <c r="JS4" i="9" s="1"/>
  <c r="IG4" i="9"/>
  <c r="HE4" i="9"/>
  <c r="IO4" i="9" s="1"/>
  <c r="GV4" i="9"/>
  <c r="IF4" i="9" s="1"/>
  <c r="GE4" i="9"/>
  <c r="AT4" i="9"/>
  <c r="AS4" i="9"/>
  <c r="AR4" i="9"/>
  <c r="AQ4" i="9"/>
  <c r="JU3" i="9"/>
  <c r="JS3" i="9"/>
  <c r="JO3" i="9"/>
  <c r="JN3" i="9"/>
  <c r="JM3" i="9"/>
  <c r="JL3" i="9"/>
  <c r="JK3" i="9"/>
  <c r="JJ3" i="9"/>
  <c r="JI3" i="9"/>
  <c r="JH3" i="9"/>
  <c r="JG3" i="9"/>
  <c r="JF3" i="9"/>
  <c r="JE3" i="9"/>
  <c r="JD3" i="9"/>
  <c r="JC3" i="9"/>
  <c r="JV3" i="9" s="1"/>
  <c r="JB3" i="9"/>
  <c r="JA3" i="9"/>
  <c r="IZ3" i="9"/>
  <c r="IY3" i="9"/>
  <c r="IX3" i="9"/>
  <c r="IW3" i="9"/>
  <c r="IV3" i="9"/>
  <c r="IU3" i="9"/>
  <c r="IT3" i="9"/>
  <c r="IS3" i="9"/>
  <c r="IR3" i="9"/>
  <c r="IQ3" i="9"/>
  <c r="IP3" i="9"/>
  <c r="IO3" i="9"/>
  <c r="IN3" i="9"/>
  <c r="JY3" i="9" s="1"/>
  <c r="IM3" i="9"/>
  <c r="JX3" i="9" s="1"/>
  <c r="IL3" i="9"/>
  <c r="JW3" i="9" s="1"/>
  <c r="IK3" i="9"/>
  <c r="IJ3" i="9"/>
  <c r="II3" i="9"/>
  <c r="JT3" i="9" s="1"/>
  <c r="IH3" i="9"/>
  <c r="IG3" i="9"/>
  <c r="JR3" i="9" s="1"/>
  <c r="JQ3" i="9" s="1"/>
  <c r="JP3" i="9" s="1"/>
  <c r="HE3" i="9"/>
  <c r="GV3" i="9"/>
  <c r="IF3" i="9" s="1"/>
  <c r="GE3" i="9"/>
  <c r="AT3" i="9"/>
  <c r="AS3" i="9"/>
  <c r="AR3" i="9"/>
  <c r="AQ3" i="9"/>
  <c r="JY2" i="9"/>
  <c r="JW2" i="9"/>
  <c r="JO2" i="9"/>
  <c r="JN2" i="9"/>
  <c r="JM2" i="9"/>
  <c r="JL2" i="9"/>
  <c r="JK2" i="9"/>
  <c r="JJ2" i="9"/>
  <c r="JI2" i="9"/>
  <c r="JH2" i="9"/>
  <c r="JG2" i="9"/>
  <c r="JF2" i="9"/>
  <c r="JE2" i="9"/>
  <c r="JD2" i="9"/>
  <c r="JC2" i="9"/>
  <c r="JB2" i="9"/>
  <c r="JA2" i="9"/>
  <c r="IZ2" i="9"/>
  <c r="IY2" i="9"/>
  <c r="JR2" i="9" s="1"/>
  <c r="JQ2" i="9" s="1"/>
  <c r="JP2" i="9" s="1"/>
  <c r="IX2" i="9"/>
  <c r="IW2" i="9"/>
  <c r="IV2" i="9"/>
  <c r="IU2" i="9"/>
  <c r="IT2" i="9"/>
  <c r="IS2" i="9"/>
  <c r="IR2" i="9"/>
  <c r="IQ2" i="9"/>
  <c r="IP2" i="9"/>
  <c r="IN2" i="9"/>
  <c r="IM2" i="9"/>
  <c r="JX2" i="9" s="1"/>
  <c r="IL2" i="9"/>
  <c r="IK2" i="9"/>
  <c r="JV2" i="9" s="1"/>
  <c r="IJ2" i="9"/>
  <c r="JU2" i="9" s="1"/>
  <c r="II2" i="9"/>
  <c r="JT2" i="9" s="1"/>
  <c r="IH2" i="9"/>
  <c r="JS2" i="9" s="1"/>
  <c r="IG2" i="9"/>
  <c r="HE2" i="9"/>
  <c r="IO2" i="9" s="1"/>
  <c r="GV2" i="9"/>
  <c r="IF2" i="9" s="1"/>
  <c r="GE2" i="9"/>
  <c r="AT2" i="9"/>
  <c r="AS2" i="9"/>
  <c r="AR2" i="9"/>
  <c r="AQ2" i="9"/>
  <c r="GE2" i="7"/>
  <c r="GE3" i="7"/>
  <c r="GE4" i="7"/>
  <c r="GE5" i="7"/>
  <c r="GE6" i="7"/>
  <c r="GE7" i="7"/>
  <c r="GE8" i="7"/>
  <c r="GE9" i="7"/>
  <c r="GE10" i="7"/>
  <c r="GE11" i="7"/>
  <c r="GE12" i="7"/>
  <c r="GE13" i="7"/>
  <c r="GE14" i="7"/>
  <c r="GE15" i="7"/>
  <c r="GE16" i="7"/>
  <c r="GE17" i="7"/>
  <c r="GE18" i="7"/>
  <c r="GE19" i="7"/>
  <c r="GE20" i="7"/>
  <c r="GL2" i="7"/>
  <c r="GL3" i="7"/>
  <c r="GL4" i="7"/>
  <c r="GL5" i="7"/>
  <c r="GL6" i="7"/>
  <c r="GL7" i="7"/>
  <c r="GL8" i="7"/>
  <c r="GL9" i="7"/>
  <c r="GL10" i="7"/>
  <c r="GL11" i="7"/>
  <c r="GL12" i="7"/>
  <c r="GL13" i="7"/>
  <c r="GL14" i="7"/>
  <c r="GL15" i="7"/>
  <c r="GL16" i="7"/>
  <c r="GL17" i="7"/>
  <c r="GL18" i="7"/>
  <c r="GL19" i="7"/>
  <c r="GL20" i="7"/>
  <c r="GM2" i="7"/>
  <c r="GM3" i="7"/>
  <c r="GM4" i="7"/>
  <c r="GM5" i="7"/>
  <c r="GM6" i="7"/>
  <c r="GM7" i="7"/>
  <c r="GM8" i="7"/>
  <c r="GM9" i="7"/>
  <c r="GM10" i="7"/>
  <c r="GM11" i="7"/>
  <c r="GM12" i="7"/>
  <c r="GM13" i="7"/>
  <c r="GM14" i="7"/>
  <c r="GM15" i="7"/>
  <c r="GM16" i="7"/>
  <c r="GM17" i="7"/>
  <c r="GM18" i="7"/>
  <c r="GM19" i="7"/>
  <c r="GM20" i="7"/>
  <c r="GN2" i="7"/>
  <c r="GN3" i="7"/>
  <c r="GN4" i="7"/>
  <c r="GN5" i="7"/>
  <c r="GN6" i="7"/>
  <c r="GN7" i="7"/>
  <c r="GN8" i="7"/>
  <c r="GN9" i="7"/>
  <c r="GN10" i="7"/>
  <c r="GN11" i="7"/>
  <c r="GN12" i="7"/>
  <c r="GN13" i="7"/>
  <c r="GN14" i="7"/>
  <c r="GN15" i="7"/>
  <c r="GN16" i="7"/>
  <c r="GN17" i="7"/>
  <c r="GN18" i="7"/>
  <c r="GN19" i="7"/>
  <c r="GN20" i="7"/>
  <c r="GO2" i="7"/>
  <c r="GO3" i="7"/>
  <c r="GO4" i="7"/>
  <c r="GO5" i="7"/>
  <c r="GO6" i="7"/>
  <c r="GO7" i="7"/>
  <c r="GO8" i="7"/>
  <c r="GO9" i="7"/>
  <c r="GO10" i="7"/>
  <c r="GO11" i="7"/>
  <c r="GO12" i="7"/>
  <c r="GO13" i="7"/>
  <c r="GO14" i="7"/>
  <c r="GO15" i="7"/>
  <c r="GO16" i="7"/>
  <c r="GO17" i="7"/>
  <c r="GO18" i="7"/>
  <c r="GO19" i="7"/>
  <c r="GO20" i="7"/>
  <c r="GP2" i="7"/>
  <c r="GP3" i="7"/>
  <c r="GP4" i="7"/>
  <c r="GP5" i="7"/>
  <c r="GP6" i="7"/>
  <c r="GP7" i="7"/>
  <c r="GP8" i="7"/>
  <c r="GP9" i="7"/>
  <c r="GP10" i="7"/>
  <c r="GP11" i="7"/>
  <c r="GP12" i="7"/>
  <c r="GP13" i="7"/>
  <c r="GP14" i="7"/>
  <c r="GP15" i="7"/>
  <c r="GP16" i="7"/>
  <c r="GP17" i="7"/>
  <c r="GP18" i="7"/>
  <c r="GP19" i="7"/>
  <c r="GP20" i="7"/>
  <c r="GQ2" i="7"/>
  <c r="GQ3" i="7"/>
  <c r="GQ4" i="7"/>
  <c r="GQ5" i="7"/>
  <c r="GQ6" i="7"/>
  <c r="GQ7" i="7"/>
  <c r="GQ8" i="7"/>
  <c r="GQ9" i="7"/>
  <c r="GQ10" i="7"/>
  <c r="GQ11" i="7"/>
  <c r="GQ12" i="7"/>
  <c r="GQ13" i="7"/>
  <c r="GQ14" i="7"/>
  <c r="GQ15" i="7"/>
  <c r="GQ16" i="7"/>
  <c r="GQ17" i="7"/>
  <c r="GQ18" i="7"/>
  <c r="GQ19" i="7"/>
  <c r="GQ20" i="7"/>
  <c r="GR2" i="7"/>
  <c r="GR3" i="7"/>
  <c r="GR4" i="7"/>
  <c r="GR5" i="7"/>
  <c r="GR6" i="7"/>
  <c r="GR7" i="7"/>
  <c r="GR8" i="7"/>
  <c r="GR9" i="7"/>
  <c r="GR10" i="7"/>
  <c r="GR11" i="7"/>
  <c r="GR12" i="7"/>
  <c r="GR13" i="7"/>
  <c r="GR14" i="7"/>
  <c r="GR15" i="7"/>
  <c r="GR16" i="7"/>
  <c r="GR17" i="7"/>
  <c r="GR18" i="7"/>
  <c r="GR19" i="7"/>
  <c r="GR20" i="7"/>
  <c r="JO2" i="7"/>
  <c r="JO3" i="7"/>
  <c r="JO4" i="7"/>
  <c r="JO5" i="7"/>
  <c r="JO6" i="7"/>
  <c r="JO7" i="7"/>
  <c r="JO8" i="7"/>
  <c r="JO9" i="7"/>
  <c r="JO10" i="7"/>
  <c r="JO11" i="7"/>
  <c r="JO12" i="7"/>
  <c r="JO13" i="7"/>
  <c r="JO14" i="7"/>
  <c r="JO15" i="7"/>
  <c r="JO16" i="7"/>
  <c r="JO17" i="7"/>
  <c r="JO18" i="7"/>
  <c r="JO19" i="7"/>
  <c r="JO20" i="7"/>
  <c r="JN2" i="7"/>
  <c r="JN3" i="7"/>
  <c r="JN4" i="7"/>
  <c r="JN5" i="7"/>
  <c r="JN6" i="7"/>
  <c r="JN7" i="7"/>
  <c r="JN8" i="7"/>
  <c r="JN9" i="7"/>
  <c r="JN10" i="7"/>
  <c r="JN11" i="7"/>
  <c r="JN12" i="7"/>
  <c r="JN13" i="7"/>
  <c r="JN14" i="7"/>
  <c r="JN15" i="7"/>
  <c r="JN16" i="7"/>
  <c r="JN17" i="7"/>
  <c r="JN18" i="7"/>
  <c r="JN19" i="7"/>
  <c r="JN20" i="7"/>
  <c r="JM2" i="7"/>
  <c r="JM3" i="7"/>
  <c r="JM4" i="7"/>
  <c r="JM5" i="7"/>
  <c r="JM6" i="7"/>
  <c r="JM7" i="7"/>
  <c r="JM8" i="7"/>
  <c r="JM9" i="7"/>
  <c r="JM10" i="7"/>
  <c r="JM11" i="7"/>
  <c r="JM12" i="7"/>
  <c r="JM13" i="7"/>
  <c r="JM14" i="7"/>
  <c r="JM15" i="7"/>
  <c r="JM16" i="7"/>
  <c r="JM17" i="7"/>
  <c r="JM18" i="7"/>
  <c r="JM19" i="7"/>
  <c r="JM20" i="7"/>
  <c r="JL2" i="7"/>
  <c r="JL3" i="7"/>
  <c r="JL4" i="7"/>
  <c r="JL5" i="7"/>
  <c r="JL6" i="7"/>
  <c r="JL7" i="7"/>
  <c r="JL8" i="7"/>
  <c r="JL9" i="7"/>
  <c r="JL10" i="7"/>
  <c r="JL11" i="7"/>
  <c r="JL12" i="7"/>
  <c r="JL13" i="7"/>
  <c r="JL14" i="7"/>
  <c r="JL15" i="7"/>
  <c r="JL16" i="7"/>
  <c r="JL17" i="7"/>
  <c r="JL18" i="7"/>
  <c r="JL19" i="7"/>
  <c r="JL20" i="7"/>
  <c r="JK2" i="7"/>
  <c r="JK3" i="7"/>
  <c r="JK4" i="7"/>
  <c r="JK5" i="7"/>
  <c r="JK6" i="7"/>
  <c r="JK7" i="7"/>
  <c r="JK8" i="7"/>
  <c r="JK9" i="7"/>
  <c r="JK10" i="7"/>
  <c r="JK11" i="7"/>
  <c r="JK12" i="7"/>
  <c r="JK13" i="7"/>
  <c r="JK14" i="7"/>
  <c r="JK15" i="7"/>
  <c r="JK16" i="7"/>
  <c r="JK17" i="7"/>
  <c r="JK18" i="7"/>
  <c r="JK19" i="7"/>
  <c r="JK20" i="7"/>
  <c r="JJ2" i="7"/>
  <c r="JJ3" i="7"/>
  <c r="JJ4" i="7"/>
  <c r="JJ5" i="7"/>
  <c r="JJ6" i="7"/>
  <c r="JJ7" i="7"/>
  <c r="JJ8" i="7"/>
  <c r="JJ9" i="7"/>
  <c r="JJ10" i="7"/>
  <c r="JJ11" i="7"/>
  <c r="JJ12" i="7"/>
  <c r="JJ13" i="7"/>
  <c r="JJ14" i="7"/>
  <c r="JJ15" i="7"/>
  <c r="JJ16" i="7"/>
  <c r="JJ17" i="7"/>
  <c r="JJ18" i="7"/>
  <c r="JJ19" i="7"/>
  <c r="JJ20" i="7"/>
  <c r="JI2" i="7"/>
  <c r="JI3" i="7"/>
  <c r="JI4" i="7"/>
  <c r="JI5" i="7"/>
  <c r="JI6" i="7"/>
  <c r="JI7" i="7"/>
  <c r="JI8" i="7"/>
  <c r="JI9" i="7"/>
  <c r="JI10" i="7"/>
  <c r="JI11" i="7"/>
  <c r="JI12" i="7"/>
  <c r="JI13" i="7"/>
  <c r="JI14" i="7"/>
  <c r="JI15" i="7"/>
  <c r="JI16" i="7"/>
  <c r="JI17" i="7"/>
  <c r="JI18" i="7"/>
  <c r="JI19" i="7"/>
  <c r="JI20" i="7"/>
  <c r="JH2" i="7"/>
  <c r="JH3" i="7"/>
  <c r="JH4" i="7"/>
  <c r="JH5" i="7"/>
  <c r="JH6" i="7"/>
  <c r="JH7" i="7"/>
  <c r="JH8" i="7"/>
  <c r="JH9" i="7"/>
  <c r="JH10" i="7"/>
  <c r="JH11" i="7"/>
  <c r="JH12" i="7"/>
  <c r="JH13" i="7"/>
  <c r="JH14" i="7"/>
  <c r="JH15" i="7"/>
  <c r="JH16" i="7"/>
  <c r="JH17" i="7"/>
  <c r="JH18" i="7"/>
  <c r="JH19" i="7"/>
  <c r="JH20" i="7"/>
  <c r="JG2" i="7"/>
  <c r="JG3" i="7"/>
  <c r="JG4" i="7"/>
  <c r="JG5" i="7"/>
  <c r="JG6" i="7"/>
  <c r="JG7" i="7"/>
  <c r="JG8" i="7"/>
  <c r="JG9" i="7"/>
  <c r="JG10" i="7"/>
  <c r="JG11" i="7"/>
  <c r="JG12" i="7"/>
  <c r="JG13" i="7"/>
  <c r="JG14" i="7"/>
  <c r="JG15" i="7"/>
  <c r="JG16" i="7"/>
  <c r="JG17" i="7"/>
  <c r="JG18" i="7"/>
  <c r="JG19" i="7"/>
  <c r="JG20" i="7"/>
  <c r="JF2" i="7"/>
  <c r="JF3" i="7"/>
  <c r="JF4" i="7"/>
  <c r="JF5" i="7"/>
  <c r="JF6" i="7"/>
  <c r="JF7" i="7"/>
  <c r="JF8" i="7"/>
  <c r="JF9" i="7"/>
  <c r="JF10" i="7"/>
  <c r="JF11" i="7"/>
  <c r="JF12" i="7"/>
  <c r="JF13" i="7"/>
  <c r="JF14" i="7"/>
  <c r="JF15" i="7"/>
  <c r="JF16" i="7"/>
  <c r="JF17" i="7"/>
  <c r="JF18" i="7"/>
  <c r="JF19" i="7"/>
  <c r="JF20" i="7"/>
  <c r="JE2" i="7"/>
  <c r="JE3" i="7"/>
  <c r="JE4" i="7"/>
  <c r="JE5" i="7"/>
  <c r="JE6" i="7"/>
  <c r="JE7" i="7"/>
  <c r="JE8" i="7"/>
  <c r="JE9" i="7"/>
  <c r="JE10" i="7"/>
  <c r="JE11" i="7"/>
  <c r="JE12" i="7"/>
  <c r="JE13" i="7"/>
  <c r="JE14" i="7"/>
  <c r="JE15" i="7"/>
  <c r="JE16" i="7"/>
  <c r="JE17" i="7"/>
  <c r="JE18" i="7"/>
  <c r="JE19" i="7"/>
  <c r="JE20" i="7"/>
  <c r="JD2" i="7"/>
  <c r="JD3" i="7"/>
  <c r="JD4" i="7"/>
  <c r="JD5" i="7"/>
  <c r="JD6" i="7"/>
  <c r="JD7" i="7"/>
  <c r="JD8" i="7"/>
  <c r="JD9" i="7"/>
  <c r="JD10" i="7"/>
  <c r="JD11" i="7"/>
  <c r="JD12" i="7"/>
  <c r="JD13" i="7"/>
  <c r="JD14" i="7"/>
  <c r="JD15" i="7"/>
  <c r="JD16" i="7"/>
  <c r="JD17" i="7"/>
  <c r="JD18" i="7"/>
  <c r="JD19" i="7"/>
  <c r="JD20" i="7"/>
  <c r="JC2" i="7"/>
  <c r="JC3" i="7"/>
  <c r="JC4" i="7"/>
  <c r="JC5" i="7"/>
  <c r="JC6" i="7"/>
  <c r="JC7" i="7"/>
  <c r="JC8" i="7"/>
  <c r="JC9" i="7"/>
  <c r="JC10" i="7"/>
  <c r="JC11" i="7"/>
  <c r="JC12" i="7"/>
  <c r="JC13" i="7"/>
  <c r="JC14" i="7"/>
  <c r="JC15" i="7"/>
  <c r="JC16" i="7"/>
  <c r="JC17" i="7"/>
  <c r="JC18" i="7"/>
  <c r="JC19" i="7"/>
  <c r="JC20" i="7"/>
  <c r="JB2" i="7"/>
  <c r="JB3" i="7"/>
  <c r="JB4" i="7"/>
  <c r="JB5" i="7"/>
  <c r="JB6" i="7"/>
  <c r="JB7" i="7"/>
  <c r="JB8" i="7"/>
  <c r="JB9" i="7"/>
  <c r="JB10" i="7"/>
  <c r="JB11" i="7"/>
  <c r="JB12" i="7"/>
  <c r="JB13" i="7"/>
  <c r="JB14" i="7"/>
  <c r="JB15" i="7"/>
  <c r="JB16" i="7"/>
  <c r="JB17" i="7"/>
  <c r="JB18" i="7"/>
  <c r="JB19" i="7"/>
  <c r="JB20" i="7"/>
  <c r="JA2" i="7"/>
  <c r="JA3" i="7"/>
  <c r="JA4" i="7"/>
  <c r="JA5" i="7"/>
  <c r="JA6" i="7"/>
  <c r="JA7" i="7"/>
  <c r="JA8" i="7"/>
  <c r="JA9" i="7"/>
  <c r="JA10" i="7"/>
  <c r="JA11" i="7"/>
  <c r="JA12" i="7"/>
  <c r="JA13" i="7"/>
  <c r="JA14" i="7"/>
  <c r="JA15" i="7"/>
  <c r="JA16" i="7"/>
  <c r="JA17" i="7"/>
  <c r="JA18" i="7"/>
  <c r="JA19" i="7"/>
  <c r="JA20" i="7"/>
  <c r="IZ2" i="7"/>
  <c r="IZ3" i="7"/>
  <c r="IZ4" i="7"/>
  <c r="IZ5" i="7"/>
  <c r="IZ6" i="7"/>
  <c r="IZ7" i="7"/>
  <c r="IZ8" i="7"/>
  <c r="IZ9" i="7"/>
  <c r="IZ10" i="7"/>
  <c r="IZ11" i="7"/>
  <c r="IZ12" i="7"/>
  <c r="IZ13" i="7"/>
  <c r="IZ14" i="7"/>
  <c r="IZ15" i="7"/>
  <c r="IZ16" i="7"/>
  <c r="IZ17" i="7"/>
  <c r="IZ18" i="7"/>
  <c r="IZ19" i="7"/>
  <c r="IZ20" i="7"/>
  <c r="IY2" i="7"/>
  <c r="IY3" i="7"/>
  <c r="IY4" i="7"/>
  <c r="IY5" i="7"/>
  <c r="IY6" i="7"/>
  <c r="IY7" i="7"/>
  <c r="IY8" i="7"/>
  <c r="IY9" i="7"/>
  <c r="IY10" i="7"/>
  <c r="IY11" i="7"/>
  <c r="IY12" i="7"/>
  <c r="IY13" i="7"/>
  <c r="IY14" i="7"/>
  <c r="IY15" i="7"/>
  <c r="IY16" i="7"/>
  <c r="IY17" i="7"/>
  <c r="IY18" i="7"/>
  <c r="IY19" i="7"/>
  <c r="IY20" i="7"/>
  <c r="IX2" i="7"/>
  <c r="IX3" i="7"/>
  <c r="IX4" i="7"/>
  <c r="IX5" i="7"/>
  <c r="IX6" i="7"/>
  <c r="IX7" i="7"/>
  <c r="IX8" i="7"/>
  <c r="IX9" i="7"/>
  <c r="IX10" i="7"/>
  <c r="IX11" i="7"/>
  <c r="IX12" i="7"/>
  <c r="IX13" i="7"/>
  <c r="IX14" i="7"/>
  <c r="IX15" i="7"/>
  <c r="IX16" i="7"/>
  <c r="IX17" i="7"/>
  <c r="IX18" i="7"/>
  <c r="IX19" i="7"/>
  <c r="IX20" i="7"/>
  <c r="IW2" i="7"/>
  <c r="IW3" i="7"/>
  <c r="IW4" i="7"/>
  <c r="IW5" i="7"/>
  <c r="IW6" i="7"/>
  <c r="IW7" i="7"/>
  <c r="IW8" i="7"/>
  <c r="IW9" i="7"/>
  <c r="IW10" i="7"/>
  <c r="IW11" i="7"/>
  <c r="IW12" i="7"/>
  <c r="IW13" i="7"/>
  <c r="IW14" i="7"/>
  <c r="IW15" i="7"/>
  <c r="IW16" i="7"/>
  <c r="IW17" i="7"/>
  <c r="IW18" i="7"/>
  <c r="IW19" i="7"/>
  <c r="IW20" i="7"/>
  <c r="IV2" i="7"/>
  <c r="IV3" i="7"/>
  <c r="IV4" i="7"/>
  <c r="IV5" i="7"/>
  <c r="IV6" i="7"/>
  <c r="IV7" i="7"/>
  <c r="IV8" i="7"/>
  <c r="IV9" i="7"/>
  <c r="IV10" i="7"/>
  <c r="IV11" i="7"/>
  <c r="IV12" i="7"/>
  <c r="IV13" i="7"/>
  <c r="IV14" i="7"/>
  <c r="IV15" i="7"/>
  <c r="IV16" i="7"/>
  <c r="IV17" i="7"/>
  <c r="IV18" i="7"/>
  <c r="IV19" i="7"/>
  <c r="IV20" i="7"/>
  <c r="IU2" i="7"/>
  <c r="IU3" i="7"/>
  <c r="IU4" i="7"/>
  <c r="IU5" i="7"/>
  <c r="IU6" i="7"/>
  <c r="IU7" i="7"/>
  <c r="IU8" i="7"/>
  <c r="IU9" i="7"/>
  <c r="IU10" i="7"/>
  <c r="IU11" i="7"/>
  <c r="IU12" i="7"/>
  <c r="IU13" i="7"/>
  <c r="IU14" i="7"/>
  <c r="IU15" i="7"/>
  <c r="IU16" i="7"/>
  <c r="IU17" i="7"/>
  <c r="IU18" i="7"/>
  <c r="IU19" i="7"/>
  <c r="IU20" i="7"/>
  <c r="IT2" i="7"/>
  <c r="IT3" i="7"/>
  <c r="IT4" i="7"/>
  <c r="IT5" i="7"/>
  <c r="IT6" i="7"/>
  <c r="IT7" i="7"/>
  <c r="IT8" i="7"/>
  <c r="IT9" i="7"/>
  <c r="IT10" i="7"/>
  <c r="IT11" i="7"/>
  <c r="IT12" i="7"/>
  <c r="IT13" i="7"/>
  <c r="IT14" i="7"/>
  <c r="IT15" i="7"/>
  <c r="IT16" i="7"/>
  <c r="IT17" i="7"/>
  <c r="IT18" i="7"/>
  <c r="IT19" i="7"/>
  <c r="IT20" i="7"/>
  <c r="IS2" i="7"/>
  <c r="IS3" i="7"/>
  <c r="IS4" i="7"/>
  <c r="IS5" i="7"/>
  <c r="IS6" i="7"/>
  <c r="IS7" i="7"/>
  <c r="IS8" i="7"/>
  <c r="IS9" i="7"/>
  <c r="IS10" i="7"/>
  <c r="IS11" i="7"/>
  <c r="IS12" i="7"/>
  <c r="IS13" i="7"/>
  <c r="IS14" i="7"/>
  <c r="IS15" i="7"/>
  <c r="IS16" i="7"/>
  <c r="IS17" i="7"/>
  <c r="IS18" i="7"/>
  <c r="IS19" i="7"/>
  <c r="IS20" i="7"/>
  <c r="IR2" i="7"/>
  <c r="IR3" i="7"/>
  <c r="IR4" i="7"/>
  <c r="IR5" i="7"/>
  <c r="IR6" i="7"/>
  <c r="IR7" i="7"/>
  <c r="IR8" i="7"/>
  <c r="IR9" i="7"/>
  <c r="IR10" i="7"/>
  <c r="IR11" i="7"/>
  <c r="IR12" i="7"/>
  <c r="IR13" i="7"/>
  <c r="IR14" i="7"/>
  <c r="IR15" i="7"/>
  <c r="IR16" i="7"/>
  <c r="IR17" i="7"/>
  <c r="IR18" i="7"/>
  <c r="IR19" i="7"/>
  <c r="IR20" i="7"/>
  <c r="IQ2" i="7"/>
  <c r="IQ3" i="7"/>
  <c r="IQ4" i="7"/>
  <c r="IQ5" i="7"/>
  <c r="IQ6" i="7"/>
  <c r="IQ7" i="7"/>
  <c r="IQ8" i="7"/>
  <c r="IQ9" i="7"/>
  <c r="IQ10" i="7"/>
  <c r="IQ11" i="7"/>
  <c r="IQ12" i="7"/>
  <c r="IQ13" i="7"/>
  <c r="IQ14" i="7"/>
  <c r="IQ15" i="7"/>
  <c r="IQ16" i="7"/>
  <c r="IQ17" i="7"/>
  <c r="IQ18" i="7"/>
  <c r="IQ19" i="7"/>
  <c r="IQ20" i="7"/>
  <c r="IP2" i="7"/>
  <c r="IP3" i="7"/>
  <c r="IP4" i="7"/>
  <c r="IP5" i="7"/>
  <c r="IP6" i="7"/>
  <c r="IP7" i="7"/>
  <c r="IP8" i="7"/>
  <c r="IP9" i="7"/>
  <c r="IP10" i="7"/>
  <c r="IP11" i="7"/>
  <c r="IP12" i="7"/>
  <c r="IP13" i="7"/>
  <c r="IP14" i="7"/>
  <c r="IP15" i="7"/>
  <c r="IP16" i="7"/>
  <c r="IP17" i="7"/>
  <c r="IP18" i="7"/>
  <c r="IP19" i="7"/>
  <c r="IP20" i="7"/>
  <c r="IN2" i="7"/>
  <c r="IN3" i="7"/>
  <c r="IN4" i="7"/>
  <c r="IN5" i="7"/>
  <c r="IN6" i="7"/>
  <c r="IN7" i="7"/>
  <c r="IN8" i="7"/>
  <c r="IN9" i="7"/>
  <c r="JY9" i="7" s="1"/>
  <c r="IN10" i="7"/>
  <c r="IN11" i="7"/>
  <c r="IN12" i="7"/>
  <c r="IN13" i="7"/>
  <c r="IN14" i="7"/>
  <c r="IN15" i="7"/>
  <c r="IN16" i="7"/>
  <c r="IN17" i="7"/>
  <c r="JY17" i="7" s="1"/>
  <c r="IN18" i="7"/>
  <c r="IN19" i="7"/>
  <c r="IN20" i="7"/>
  <c r="IM2" i="7"/>
  <c r="IM3" i="7"/>
  <c r="IM4" i="7"/>
  <c r="IM5" i="7"/>
  <c r="IM6" i="7"/>
  <c r="JX6" i="7" s="1"/>
  <c r="IM7" i="7"/>
  <c r="IM8" i="7"/>
  <c r="IM9" i="7"/>
  <c r="IM10" i="7"/>
  <c r="IM11" i="7"/>
  <c r="IM12" i="7"/>
  <c r="IM13" i="7"/>
  <c r="IM14" i="7"/>
  <c r="JX14" i="7" s="1"/>
  <c r="IM15" i="7"/>
  <c r="IM16" i="7"/>
  <c r="IM17" i="7"/>
  <c r="IM18" i="7"/>
  <c r="IM19" i="7"/>
  <c r="IM20" i="7"/>
  <c r="IL2" i="7"/>
  <c r="IL3" i="7"/>
  <c r="JW3" i="7" s="1"/>
  <c r="IL4" i="7"/>
  <c r="IL5" i="7"/>
  <c r="IL6" i="7"/>
  <c r="IL7" i="7"/>
  <c r="IL8" i="7"/>
  <c r="IL9" i="7"/>
  <c r="IL10" i="7"/>
  <c r="IL11" i="7"/>
  <c r="JW11" i="7" s="1"/>
  <c r="IL12" i="7"/>
  <c r="IL13" i="7"/>
  <c r="IL14" i="7"/>
  <c r="IL15" i="7"/>
  <c r="IL16" i="7"/>
  <c r="IL17" i="7"/>
  <c r="IL18" i="7"/>
  <c r="IL19" i="7"/>
  <c r="JW19" i="7" s="1"/>
  <c r="IL20" i="7"/>
  <c r="IK2" i="7"/>
  <c r="IK3" i="7"/>
  <c r="IK4" i="7"/>
  <c r="IK5" i="7"/>
  <c r="IK6" i="7"/>
  <c r="IK7" i="7"/>
  <c r="IK8" i="7"/>
  <c r="JV8" i="7" s="1"/>
  <c r="IK9" i="7"/>
  <c r="IK10" i="7"/>
  <c r="IK11" i="7"/>
  <c r="IK12" i="7"/>
  <c r="IK13" i="7"/>
  <c r="IK14" i="7"/>
  <c r="IK15" i="7"/>
  <c r="IK16" i="7"/>
  <c r="JV16" i="7" s="1"/>
  <c r="IK17" i="7"/>
  <c r="IK18" i="7"/>
  <c r="IK19" i="7"/>
  <c r="JV19" i="7" s="1"/>
  <c r="IK20" i="7"/>
  <c r="IJ2" i="7"/>
  <c r="IJ3" i="7"/>
  <c r="IJ4" i="7"/>
  <c r="IJ5" i="7"/>
  <c r="JU5" i="7" s="1"/>
  <c r="IJ6" i="7"/>
  <c r="IJ7" i="7"/>
  <c r="IJ8" i="7"/>
  <c r="IJ9" i="7"/>
  <c r="IJ10" i="7"/>
  <c r="IJ11" i="7"/>
  <c r="IJ12" i="7"/>
  <c r="IJ13" i="7"/>
  <c r="JU13" i="7" s="1"/>
  <c r="IJ14" i="7"/>
  <c r="IJ15" i="7"/>
  <c r="IJ16" i="7"/>
  <c r="IJ17" i="7"/>
  <c r="IJ18" i="7"/>
  <c r="IJ19" i="7"/>
  <c r="IJ20" i="7"/>
  <c r="II2" i="7"/>
  <c r="JT2" i="7" s="1"/>
  <c r="II3" i="7"/>
  <c r="II4" i="7"/>
  <c r="II5" i="7"/>
  <c r="II6" i="7"/>
  <c r="II7" i="7"/>
  <c r="II8" i="7"/>
  <c r="II9" i="7"/>
  <c r="II10" i="7"/>
  <c r="JT10" i="7" s="1"/>
  <c r="II11" i="7"/>
  <c r="II12" i="7"/>
  <c r="II13" i="7"/>
  <c r="JT13" i="7" s="1"/>
  <c r="II14" i="7"/>
  <c r="II15" i="7"/>
  <c r="II16" i="7"/>
  <c r="II17" i="7"/>
  <c r="II18" i="7"/>
  <c r="JT18" i="7" s="1"/>
  <c r="II19" i="7"/>
  <c r="II20" i="7"/>
  <c r="IH2" i="7"/>
  <c r="IH3" i="7"/>
  <c r="IH4" i="7"/>
  <c r="IH5" i="7"/>
  <c r="IH6" i="7"/>
  <c r="IH7" i="7"/>
  <c r="JS7" i="7" s="1"/>
  <c r="IH8" i="7"/>
  <c r="IH9" i="7"/>
  <c r="IH10" i="7"/>
  <c r="IH11" i="7"/>
  <c r="IH12" i="7"/>
  <c r="IH13" i="7"/>
  <c r="IH14" i="7"/>
  <c r="IH15" i="7"/>
  <c r="JS15" i="7" s="1"/>
  <c r="IH16" i="7"/>
  <c r="IH17" i="7"/>
  <c r="IH18" i="7"/>
  <c r="IH19" i="7"/>
  <c r="IH20" i="7"/>
  <c r="IG2" i="7"/>
  <c r="IG3" i="7"/>
  <c r="IG4" i="7"/>
  <c r="JR4" i="7" s="1"/>
  <c r="JQ4" i="7" s="1"/>
  <c r="JP4" i="7" s="1"/>
  <c r="IG5" i="7"/>
  <c r="IG6" i="7"/>
  <c r="IG7" i="7"/>
  <c r="IG8" i="7"/>
  <c r="IG9" i="7"/>
  <c r="IG10" i="7"/>
  <c r="IG11" i="7"/>
  <c r="IG12" i="7"/>
  <c r="JR12" i="7" s="1"/>
  <c r="JQ12" i="7" s="1"/>
  <c r="JP12" i="7" s="1"/>
  <c r="IG13" i="7"/>
  <c r="IG14" i="7"/>
  <c r="IG15" i="7"/>
  <c r="IG16" i="7"/>
  <c r="IG17" i="7"/>
  <c r="IG18" i="7"/>
  <c r="IG19" i="7"/>
  <c r="IG20" i="7"/>
  <c r="JR20" i="7" s="1"/>
  <c r="JQ20" i="7" s="1"/>
  <c r="JP20" i="7" s="1"/>
  <c r="HE20" i="7"/>
  <c r="IO20" i="7" s="1"/>
  <c r="GV20" i="7"/>
  <c r="IF20" i="7" s="1"/>
  <c r="AT20" i="7"/>
  <c r="AS20" i="7"/>
  <c r="AR20" i="7"/>
  <c r="AQ20" i="7"/>
  <c r="HE19" i="7"/>
  <c r="IO19" i="7" s="1"/>
  <c r="GV19" i="7"/>
  <c r="IF19" i="7" s="1"/>
  <c r="AT19" i="7"/>
  <c r="AS19" i="7"/>
  <c r="AR19" i="7"/>
  <c r="AQ19" i="7"/>
  <c r="HE18" i="7"/>
  <c r="IO18" i="7" s="1"/>
  <c r="GV18" i="7"/>
  <c r="IF18" i="7" s="1"/>
  <c r="AT18" i="7"/>
  <c r="AS18" i="7"/>
  <c r="AR18" i="7"/>
  <c r="AQ18" i="7"/>
  <c r="HE17" i="7"/>
  <c r="IO17" i="7" s="1"/>
  <c r="GV17" i="7"/>
  <c r="IF17" i="7" s="1"/>
  <c r="AT17" i="7"/>
  <c r="AS17" i="7"/>
  <c r="AR17" i="7"/>
  <c r="AQ17" i="7"/>
  <c r="HE16" i="7"/>
  <c r="IO16" i="7" s="1"/>
  <c r="GV16" i="7"/>
  <c r="IF16" i="7" s="1"/>
  <c r="AT16" i="7"/>
  <c r="AS16" i="7"/>
  <c r="AR16" i="7"/>
  <c r="AQ16" i="7"/>
  <c r="HE15" i="7"/>
  <c r="IO15" i="7" s="1"/>
  <c r="GV15" i="7"/>
  <c r="IF15" i="7" s="1"/>
  <c r="AT15" i="7"/>
  <c r="AS15" i="7"/>
  <c r="AR15" i="7"/>
  <c r="AQ15" i="7"/>
  <c r="HE14" i="7"/>
  <c r="IO14" i="7" s="1"/>
  <c r="GV14" i="7"/>
  <c r="IF14" i="7" s="1"/>
  <c r="AT14" i="7"/>
  <c r="AS14" i="7"/>
  <c r="AR14" i="7"/>
  <c r="AQ14" i="7"/>
  <c r="HE13" i="7"/>
  <c r="IO13" i="7" s="1"/>
  <c r="GV13" i="7"/>
  <c r="IF13" i="7" s="1"/>
  <c r="AT13" i="7"/>
  <c r="AS13" i="7"/>
  <c r="AR13" i="7"/>
  <c r="AQ13" i="7"/>
  <c r="HE12" i="7"/>
  <c r="IO12" i="7" s="1"/>
  <c r="GV12" i="7"/>
  <c r="IF12" i="7" s="1"/>
  <c r="AT12" i="7"/>
  <c r="AS12" i="7"/>
  <c r="AR12" i="7"/>
  <c r="AQ12" i="7"/>
  <c r="HE11" i="7"/>
  <c r="IO11" i="7" s="1"/>
  <c r="GV11" i="7"/>
  <c r="IF11" i="7" s="1"/>
  <c r="AT11" i="7"/>
  <c r="AS11" i="7"/>
  <c r="AR11" i="7"/>
  <c r="AQ11" i="7"/>
  <c r="HE10" i="7"/>
  <c r="IO10" i="7" s="1"/>
  <c r="GV10" i="7"/>
  <c r="IF10" i="7" s="1"/>
  <c r="AT10" i="7"/>
  <c r="AS10" i="7"/>
  <c r="AR10" i="7"/>
  <c r="AQ10" i="7"/>
  <c r="HE9" i="7"/>
  <c r="IO9" i="7" s="1"/>
  <c r="GV9" i="7"/>
  <c r="IF9" i="7" s="1"/>
  <c r="AT9" i="7"/>
  <c r="AS9" i="7"/>
  <c r="AR9" i="7"/>
  <c r="AQ9" i="7"/>
  <c r="HE8" i="7"/>
  <c r="IO8" i="7" s="1"/>
  <c r="GV8" i="7"/>
  <c r="IF8" i="7" s="1"/>
  <c r="AT8" i="7"/>
  <c r="AS8" i="7"/>
  <c r="AR8" i="7"/>
  <c r="AQ8" i="7"/>
  <c r="HE7" i="7"/>
  <c r="IO7" i="7" s="1"/>
  <c r="GV7" i="7"/>
  <c r="IF7" i="7" s="1"/>
  <c r="AT7" i="7"/>
  <c r="AS7" i="7"/>
  <c r="AR7" i="7"/>
  <c r="AQ7" i="7"/>
  <c r="HE6" i="7"/>
  <c r="IO6" i="7" s="1"/>
  <c r="GV6" i="7"/>
  <c r="IF6" i="7" s="1"/>
  <c r="AT6" i="7"/>
  <c r="AS6" i="7"/>
  <c r="AR6" i="7"/>
  <c r="AQ6" i="7"/>
  <c r="HE5" i="7"/>
  <c r="IO5" i="7" s="1"/>
  <c r="GV5" i="7"/>
  <c r="IF5" i="7" s="1"/>
  <c r="AT5" i="7"/>
  <c r="AS5" i="7"/>
  <c r="AR5" i="7"/>
  <c r="AQ5" i="7"/>
  <c r="HE4" i="7"/>
  <c r="IO4" i="7" s="1"/>
  <c r="GV4" i="7"/>
  <c r="IF4" i="7" s="1"/>
  <c r="AT4" i="7"/>
  <c r="AS4" i="7"/>
  <c r="AR4" i="7"/>
  <c r="AQ4" i="7"/>
  <c r="HE3" i="7"/>
  <c r="IO3" i="7" s="1"/>
  <c r="GV3" i="7"/>
  <c r="IF3" i="7" s="1"/>
  <c r="AT3" i="7"/>
  <c r="AS3" i="7"/>
  <c r="AR3" i="7"/>
  <c r="AQ3" i="7"/>
  <c r="HE2" i="7"/>
  <c r="IO2" i="7" s="1"/>
  <c r="GV2" i="7"/>
  <c r="IF2" i="7" s="1"/>
  <c r="AT2" i="7"/>
  <c r="AS2" i="7"/>
  <c r="AR2" i="7"/>
  <c r="AQ2" i="7"/>
  <c r="JN2" i="5"/>
  <c r="JN3" i="5"/>
  <c r="JN4" i="5"/>
  <c r="JN5" i="5"/>
  <c r="JN6" i="5"/>
  <c r="JN7" i="5"/>
  <c r="JN8" i="5"/>
  <c r="JN9" i="5"/>
  <c r="JN10" i="5"/>
  <c r="JN11" i="5"/>
  <c r="JN12" i="5"/>
  <c r="JN13" i="5"/>
  <c r="JN14" i="5"/>
  <c r="JN15" i="5"/>
  <c r="JN16" i="5"/>
  <c r="JN17" i="5"/>
  <c r="JN18" i="5"/>
  <c r="JN19" i="5"/>
  <c r="JN20" i="5"/>
  <c r="GJ2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K2" i="5"/>
  <c r="GL2" i="5" s="1"/>
  <c r="GM2" i="5" s="1"/>
  <c r="GN2" i="5" s="1"/>
  <c r="GO2" i="5" s="1"/>
  <c r="GP2" i="5" s="1"/>
  <c r="GK3" i="5"/>
  <c r="GL3" i="5" s="1"/>
  <c r="GM3" i="5" s="1"/>
  <c r="GN3" i="5" s="1"/>
  <c r="GO3" i="5" s="1"/>
  <c r="GP3" i="5" s="1"/>
  <c r="GK4" i="5"/>
  <c r="GK5" i="5"/>
  <c r="GK6" i="5"/>
  <c r="GL6" i="5" s="1"/>
  <c r="GM6" i="5" s="1"/>
  <c r="GN6" i="5" s="1"/>
  <c r="GO6" i="5" s="1"/>
  <c r="GP6" i="5" s="1"/>
  <c r="GK7" i="5"/>
  <c r="GL7" i="5" s="1"/>
  <c r="GM7" i="5" s="1"/>
  <c r="GN7" i="5" s="1"/>
  <c r="GO7" i="5" s="1"/>
  <c r="GP7" i="5" s="1"/>
  <c r="GK8" i="5"/>
  <c r="GL8" i="5" s="1"/>
  <c r="GM8" i="5" s="1"/>
  <c r="GN8" i="5" s="1"/>
  <c r="GO8" i="5" s="1"/>
  <c r="GP8" i="5" s="1"/>
  <c r="GK9" i="5"/>
  <c r="GK10" i="5"/>
  <c r="GL10" i="5" s="1"/>
  <c r="GM10" i="5" s="1"/>
  <c r="GN10" i="5" s="1"/>
  <c r="GO10" i="5" s="1"/>
  <c r="GP10" i="5" s="1"/>
  <c r="GK11" i="5"/>
  <c r="GL11" i="5" s="1"/>
  <c r="GM11" i="5" s="1"/>
  <c r="GN11" i="5" s="1"/>
  <c r="GO11" i="5" s="1"/>
  <c r="GP11" i="5" s="1"/>
  <c r="GK12" i="5"/>
  <c r="GK13" i="5"/>
  <c r="GK14" i="5"/>
  <c r="GL14" i="5" s="1"/>
  <c r="GM14" i="5" s="1"/>
  <c r="GN14" i="5" s="1"/>
  <c r="GO14" i="5" s="1"/>
  <c r="GP14" i="5" s="1"/>
  <c r="GK15" i="5"/>
  <c r="GL15" i="5" s="1"/>
  <c r="GM15" i="5" s="1"/>
  <c r="GN15" i="5" s="1"/>
  <c r="GO15" i="5" s="1"/>
  <c r="GP15" i="5" s="1"/>
  <c r="GK16" i="5"/>
  <c r="GL16" i="5" s="1"/>
  <c r="GM16" i="5" s="1"/>
  <c r="GN16" i="5" s="1"/>
  <c r="GO16" i="5" s="1"/>
  <c r="GP16" i="5" s="1"/>
  <c r="GK17" i="5"/>
  <c r="GK18" i="5"/>
  <c r="GL18" i="5" s="1"/>
  <c r="GM18" i="5" s="1"/>
  <c r="GN18" i="5" s="1"/>
  <c r="GO18" i="5" s="1"/>
  <c r="GP18" i="5" s="1"/>
  <c r="GK19" i="5"/>
  <c r="GL19" i="5" s="1"/>
  <c r="GM19" i="5" s="1"/>
  <c r="GN19" i="5" s="1"/>
  <c r="GO19" i="5" s="1"/>
  <c r="GP19" i="5" s="1"/>
  <c r="GK20" i="5"/>
  <c r="GL4" i="5"/>
  <c r="GM4" i="5" s="1"/>
  <c r="GN4" i="5" s="1"/>
  <c r="GO4" i="5" s="1"/>
  <c r="GP4" i="5" s="1"/>
  <c r="GL5" i="5"/>
  <c r="GM5" i="5" s="1"/>
  <c r="GN5" i="5" s="1"/>
  <c r="GO5" i="5" s="1"/>
  <c r="GP5" i="5" s="1"/>
  <c r="GL9" i="5"/>
  <c r="GM9" i="5" s="1"/>
  <c r="GN9" i="5" s="1"/>
  <c r="GO9" i="5" s="1"/>
  <c r="GP9" i="5" s="1"/>
  <c r="GL12" i="5"/>
  <c r="GM12" i="5" s="1"/>
  <c r="GN12" i="5" s="1"/>
  <c r="GO12" i="5" s="1"/>
  <c r="GP12" i="5" s="1"/>
  <c r="GL13" i="5"/>
  <c r="GM13" i="5" s="1"/>
  <c r="GN13" i="5" s="1"/>
  <c r="GO13" i="5" s="1"/>
  <c r="GP13" i="5" s="1"/>
  <c r="GL17" i="5"/>
  <c r="GM17" i="5" s="1"/>
  <c r="GN17" i="5" s="1"/>
  <c r="GO17" i="5" s="1"/>
  <c r="GP17" i="5" s="1"/>
  <c r="GL20" i="5"/>
  <c r="GM20" i="5" s="1"/>
  <c r="GN20" i="5" s="1"/>
  <c r="GO20" i="5" s="1"/>
  <c r="GP20" i="5" s="1"/>
  <c r="JL20" i="6"/>
  <c r="JK20" i="6"/>
  <c r="JJ20" i="6"/>
  <c r="JI20" i="6"/>
  <c r="JH20" i="6"/>
  <c r="JG20" i="6"/>
  <c r="JF20" i="6"/>
  <c r="JE20" i="6"/>
  <c r="JD20" i="6"/>
  <c r="JC20" i="6"/>
  <c r="JB20" i="6"/>
  <c r="JA20" i="6"/>
  <c r="IZ20" i="6"/>
  <c r="IY20" i="6"/>
  <c r="IX20" i="6"/>
  <c r="IW20" i="6"/>
  <c r="IV20" i="6"/>
  <c r="IU20" i="6"/>
  <c r="IT20" i="6"/>
  <c r="IS20" i="6"/>
  <c r="IR20" i="6"/>
  <c r="IQ20" i="6"/>
  <c r="IP20" i="6"/>
  <c r="IO20" i="6"/>
  <c r="IN20" i="6"/>
  <c r="IM20" i="6"/>
  <c r="IK20" i="6"/>
  <c r="IJ20" i="6"/>
  <c r="II20" i="6"/>
  <c r="IH20" i="6"/>
  <c r="IG20" i="6"/>
  <c r="JU20" i="6" s="1"/>
  <c r="IF20" i="6"/>
  <c r="JS20" i="6" s="1"/>
  <c r="IE20" i="6"/>
  <c r="JQ20" i="6" s="1"/>
  <c r="ID20" i="6"/>
  <c r="JO20" i="6" s="1"/>
  <c r="HB20" i="6"/>
  <c r="IL20" i="6" s="1"/>
  <c r="GS20" i="6"/>
  <c r="IC20" i="6" s="1"/>
  <c r="AT20" i="6"/>
  <c r="AS20" i="6"/>
  <c r="AR20" i="6"/>
  <c r="AQ20" i="6"/>
  <c r="JR19" i="6"/>
  <c r="JL19" i="6"/>
  <c r="JK19" i="6"/>
  <c r="JJ19" i="6"/>
  <c r="JI19" i="6"/>
  <c r="JH19" i="6"/>
  <c r="JG19" i="6"/>
  <c r="JF19" i="6"/>
  <c r="JE19" i="6"/>
  <c r="JD19" i="6"/>
  <c r="JC19" i="6"/>
  <c r="JB19" i="6"/>
  <c r="JA19" i="6"/>
  <c r="IZ19" i="6"/>
  <c r="IY19" i="6"/>
  <c r="IX19" i="6"/>
  <c r="IW19" i="6"/>
  <c r="IV19" i="6"/>
  <c r="IU19" i="6"/>
  <c r="IT19" i="6"/>
  <c r="IS19" i="6"/>
  <c r="IR19" i="6"/>
  <c r="IQ19" i="6"/>
  <c r="IP19" i="6"/>
  <c r="IO19" i="6"/>
  <c r="IN19" i="6"/>
  <c r="IM19" i="6"/>
  <c r="IL19" i="6"/>
  <c r="IK19" i="6"/>
  <c r="IJ19" i="6"/>
  <c r="II19" i="6"/>
  <c r="IH19" i="6"/>
  <c r="IG19" i="6"/>
  <c r="JU19" i="6" s="1"/>
  <c r="IF19" i="6"/>
  <c r="JS19" i="6" s="1"/>
  <c r="IE19" i="6"/>
  <c r="JQ19" i="6" s="1"/>
  <c r="ID19" i="6"/>
  <c r="JN19" i="6" s="1"/>
  <c r="IC19" i="6"/>
  <c r="JM19" i="6" s="1"/>
  <c r="HB19" i="6"/>
  <c r="GS19" i="6"/>
  <c r="AT19" i="6"/>
  <c r="AS19" i="6"/>
  <c r="AR19" i="6"/>
  <c r="AQ19" i="6"/>
  <c r="JS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JO18" i="6" s="1"/>
  <c r="IL18" i="6"/>
  <c r="IK18" i="6"/>
  <c r="IJ18" i="6"/>
  <c r="II18" i="6"/>
  <c r="IH18" i="6"/>
  <c r="IG18" i="6"/>
  <c r="JU18" i="6" s="1"/>
  <c r="IF18" i="6"/>
  <c r="JR18" i="6" s="1"/>
  <c r="IE18" i="6"/>
  <c r="JQ18" i="6" s="1"/>
  <c r="ID18" i="6"/>
  <c r="JN18" i="6" s="1"/>
  <c r="HB18" i="6"/>
  <c r="GS18" i="6"/>
  <c r="IC18" i="6" s="1"/>
  <c r="JM18" i="6" s="1"/>
  <c r="AT18" i="6"/>
  <c r="AS18" i="6"/>
  <c r="AR18" i="6"/>
  <c r="AQ18" i="6"/>
  <c r="JT17" i="6"/>
  <c r="JL17" i="6"/>
  <c r="JK17" i="6"/>
  <c r="JJ17" i="6"/>
  <c r="JI17" i="6"/>
  <c r="JH17" i="6"/>
  <c r="JG17" i="6"/>
  <c r="JF17" i="6"/>
  <c r="JE17" i="6"/>
  <c r="JD17" i="6"/>
  <c r="JC17" i="6"/>
  <c r="JB17" i="6"/>
  <c r="JA17" i="6"/>
  <c r="IZ17" i="6"/>
  <c r="IY17" i="6"/>
  <c r="IX17" i="6"/>
  <c r="IW17" i="6"/>
  <c r="IV17" i="6"/>
  <c r="IU17" i="6"/>
  <c r="IT17" i="6"/>
  <c r="IS17" i="6"/>
  <c r="IR17" i="6"/>
  <c r="IQ17" i="6"/>
  <c r="IP17" i="6"/>
  <c r="IO17" i="6"/>
  <c r="IN17" i="6"/>
  <c r="JP17" i="6" s="1"/>
  <c r="IM17" i="6"/>
  <c r="IK17" i="6"/>
  <c r="IJ17" i="6"/>
  <c r="II17" i="6"/>
  <c r="IH17" i="6"/>
  <c r="IG17" i="6"/>
  <c r="JU17" i="6" s="1"/>
  <c r="IF17" i="6"/>
  <c r="JS17" i="6" s="1"/>
  <c r="IE17" i="6"/>
  <c r="JQ17" i="6" s="1"/>
  <c r="ID17" i="6"/>
  <c r="JO17" i="6" s="1"/>
  <c r="HB17" i="6"/>
  <c r="IL17" i="6" s="1"/>
  <c r="GS17" i="6"/>
  <c r="IC17" i="6" s="1"/>
  <c r="AT17" i="6"/>
  <c r="AS17" i="6"/>
  <c r="AR17" i="6"/>
  <c r="AQ17" i="6"/>
  <c r="JL16" i="6"/>
  <c r="JK16" i="6"/>
  <c r="JJ16" i="6"/>
  <c r="JI16" i="6"/>
  <c r="JH16" i="6"/>
  <c r="JG16" i="6"/>
  <c r="JF16" i="6"/>
  <c r="JE16" i="6"/>
  <c r="JD16" i="6"/>
  <c r="JC16" i="6"/>
  <c r="JB16" i="6"/>
  <c r="JA16" i="6"/>
  <c r="IZ16" i="6"/>
  <c r="IY16" i="6"/>
  <c r="IX16" i="6"/>
  <c r="IW16" i="6"/>
  <c r="JQ16" i="6" s="1"/>
  <c r="IV16" i="6"/>
  <c r="IU16" i="6"/>
  <c r="IT16" i="6"/>
  <c r="IS16" i="6"/>
  <c r="IR16" i="6"/>
  <c r="IQ16" i="6"/>
  <c r="IP16" i="6"/>
  <c r="IO16" i="6"/>
  <c r="IN16" i="6"/>
  <c r="IM16" i="6"/>
  <c r="IK16" i="6"/>
  <c r="IJ16" i="6"/>
  <c r="II16" i="6"/>
  <c r="IH16" i="6"/>
  <c r="IG16" i="6"/>
  <c r="JU16" i="6" s="1"/>
  <c r="IF16" i="6"/>
  <c r="JS16" i="6" s="1"/>
  <c r="IE16" i="6"/>
  <c r="JP16" i="6" s="1"/>
  <c r="ID16" i="6"/>
  <c r="JO16" i="6" s="1"/>
  <c r="IC16" i="6"/>
  <c r="HB16" i="6"/>
  <c r="IL16" i="6" s="1"/>
  <c r="JM16" i="6" s="1"/>
  <c r="GS16" i="6"/>
  <c r="AT16" i="6"/>
  <c r="AS16" i="6"/>
  <c r="AR16" i="6"/>
  <c r="AQ16" i="6"/>
  <c r="JN15" i="6"/>
  <c r="JL15" i="6"/>
  <c r="JK15" i="6"/>
  <c r="JJ15" i="6"/>
  <c r="JI15" i="6"/>
  <c r="JH15" i="6"/>
  <c r="JG15" i="6"/>
  <c r="JF15" i="6"/>
  <c r="JE15" i="6"/>
  <c r="JD15" i="6"/>
  <c r="JC15" i="6"/>
  <c r="JB15" i="6"/>
  <c r="JA15" i="6"/>
  <c r="IZ15" i="6"/>
  <c r="IY15" i="6"/>
  <c r="IX15" i="6"/>
  <c r="JR15" i="6" s="1"/>
  <c r="IW15" i="6"/>
  <c r="IV15" i="6"/>
  <c r="IU15" i="6"/>
  <c r="IT15" i="6"/>
  <c r="IS15" i="6"/>
  <c r="IR15" i="6"/>
  <c r="IQ15" i="6"/>
  <c r="IP15" i="6"/>
  <c r="IO15" i="6"/>
  <c r="IN15" i="6"/>
  <c r="IM15" i="6"/>
  <c r="IL15" i="6"/>
  <c r="IK15" i="6"/>
  <c r="IJ15" i="6"/>
  <c r="II15" i="6"/>
  <c r="IH15" i="6"/>
  <c r="IG15" i="6"/>
  <c r="JU15" i="6" s="1"/>
  <c r="IF15" i="6"/>
  <c r="JS15" i="6" s="1"/>
  <c r="IE15" i="6"/>
  <c r="JQ15" i="6" s="1"/>
  <c r="ID15" i="6"/>
  <c r="JO15" i="6" s="1"/>
  <c r="HB15" i="6"/>
  <c r="GS15" i="6"/>
  <c r="IC15" i="6" s="1"/>
  <c r="JM15" i="6" s="1"/>
  <c r="AT15" i="6"/>
  <c r="AS15" i="6"/>
  <c r="AR15" i="6"/>
  <c r="AQ15" i="6"/>
  <c r="JO14" i="6"/>
  <c r="JL14" i="6"/>
  <c r="JK14" i="6"/>
  <c r="JJ14" i="6"/>
  <c r="JI14" i="6"/>
  <c r="JH14" i="6"/>
  <c r="JG14" i="6"/>
  <c r="JS14" i="6" s="1"/>
  <c r="JF14" i="6"/>
  <c r="JE14" i="6"/>
  <c r="JD14" i="6"/>
  <c r="JC14" i="6"/>
  <c r="JB14" i="6"/>
  <c r="JA14" i="6"/>
  <c r="IZ14" i="6"/>
  <c r="IY14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K14" i="6"/>
  <c r="IJ14" i="6"/>
  <c r="II14" i="6"/>
  <c r="IH14" i="6"/>
  <c r="IG14" i="6"/>
  <c r="JU14" i="6" s="1"/>
  <c r="IF14" i="6"/>
  <c r="JR14" i="6" s="1"/>
  <c r="IE14" i="6"/>
  <c r="JQ14" i="6" s="1"/>
  <c r="ID14" i="6"/>
  <c r="JN14" i="6" s="1"/>
  <c r="HB14" i="6"/>
  <c r="IL14" i="6" s="1"/>
  <c r="GS14" i="6"/>
  <c r="IC14" i="6" s="1"/>
  <c r="JM14" i="6" s="1"/>
  <c r="AT14" i="6"/>
  <c r="AS14" i="6"/>
  <c r="AR14" i="6"/>
  <c r="AQ14" i="6"/>
  <c r="JP13" i="6"/>
  <c r="JL13" i="6"/>
  <c r="JK13" i="6"/>
  <c r="JJ13" i="6"/>
  <c r="JI13" i="6"/>
  <c r="JH13" i="6"/>
  <c r="JT13" i="6" s="1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K13" i="6"/>
  <c r="IJ13" i="6"/>
  <c r="II13" i="6"/>
  <c r="IH13" i="6"/>
  <c r="IG13" i="6"/>
  <c r="JU13" i="6" s="1"/>
  <c r="IF13" i="6"/>
  <c r="JS13" i="6" s="1"/>
  <c r="IE13" i="6"/>
  <c r="JQ13" i="6" s="1"/>
  <c r="ID13" i="6"/>
  <c r="JO13" i="6" s="1"/>
  <c r="IC13" i="6"/>
  <c r="JM13" i="6" s="1"/>
  <c r="HB13" i="6"/>
  <c r="IL13" i="6" s="1"/>
  <c r="GS13" i="6"/>
  <c r="AT13" i="6"/>
  <c r="AS13" i="6"/>
  <c r="AR13" i="6"/>
  <c r="AQ13" i="6"/>
  <c r="JQ12" i="6"/>
  <c r="JL12" i="6"/>
  <c r="JK12" i="6"/>
  <c r="JJ12" i="6"/>
  <c r="JI12" i="6"/>
  <c r="JH12" i="6"/>
  <c r="JG12" i="6"/>
  <c r="JF12" i="6"/>
  <c r="JE12" i="6"/>
  <c r="JD12" i="6"/>
  <c r="JC12" i="6"/>
  <c r="JB12" i="6"/>
  <c r="JA12" i="6"/>
  <c r="IZ12" i="6"/>
  <c r="IY12" i="6"/>
  <c r="IX12" i="6"/>
  <c r="IW12" i="6"/>
  <c r="IV12" i="6"/>
  <c r="IU12" i="6"/>
  <c r="IT12" i="6"/>
  <c r="IS12" i="6"/>
  <c r="IR12" i="6"/>
  <c r="IQ12" i="6"/>
  <c r="IP12" i="6"/>
  <c r="IO12" i="6"/>
  <c r="IN12" i="6"/>
  <c r="IM12" i="6"/>
  <c r="IK12" i="6"/>
  <c r="IJ12" i="6"/>
  <c r="II12" i="6"/>
  <c r="IH12" i="6"/>
  <c r="IG12" i="6"/>
  <c r="JU12" i="6" s="1"/>
  <c r="IF12" i="6"/>
  <c r="JS12" i="6" s="1"/>
  <c r="IE12" i="6"/>
  <c r="JP12" i="6" s="1"/>
  <c r="ID12" i="6"/>
  <c r="JO12" i="6" s="1"/>
  <c r="IC12" i="6"/>
  <c r="JM12" i="6" s="1"/>
  <c r="HB12" i="6"/>
  <c r="IL12" i="6" s="1"/>
  <c r="GS12" i="6"/>
  <c r="AT12" i="6"/>
  <c r="AS12" i="6"/>
  <c r="AR12" i="6"/>
  <c r="AQ12" i="6"/>
  <c r="JR11" i="6"/>
  <c r="JL11" i="6"/>
  <c r="JK11" i="6"/>
  <c r="JJ11" i="6"/>
  <c r="JI11" i="6"/>
  <c r="JH11" i="6"/>
  <c r="JG11" i="6"/>
  <c r="JF11" i="6"/>
  <c r="JE11" i="6"/>
  <c r="JD11" i="6"/>
  <c r="JC11" i="6"/>
  <c r="JB11" i="6"/>
  <c r="JA11" i="6"/>
  <c r="IZ11" i="6"/>
  <c r="IY11" i="6"/>
  <c r="IX11" i="6"/>
  <c r="IW11" i="6"/>
  <c r="IV11" i="6"/>
  <c r="IU11" i="6"/>
  <c r="IT11" i="6"/>
  <c r="IS11" i="6"/>
  <c r="IR11" i="6"/>
  <c r="IQ11" i="6"/>
  <c r="IP11" i="6"/>
  <c r="IO11" i="6"/>
  <c r="IN11" i="6"/>
  <c r="IM11" i="6"/>
  <c r="IL11" i="6"/>
  <c r="IK11" i="6"/>
  <c r="IJ11" i="6"/>
  <c r="II11" i="6"/>
  <c r="IH11" i="6"/>
  <c r="IG11" i="6"/>
  <c r="JU11" i="6" s="1"/>
  <c r="IF11" i="6"/>
  <c r="JS11" i="6" s="1"/>
  <c r="IE11" i="6"/>
  <c r="JQ11" i="6" s="1"/>
  <c r="ID11" i="6"/>
  <c r="JN11" i="6" s="1"/>
  <c r="HB11" i="6"/>
  <c r="GS11" i="6"/>
  <c r="IC11" i="6" s="1"/>
  <c r="JM11" i="6" s="1"/>
  <c r="AT11" i="6"/>
  <c r="AS11" i="6"/>
  <c r="AR11" i="6"/>
  <c r="AQ11" i="6"/>
  <c r="JS10" i="6"/>
  <c r="JL10" i="6"/>
  <c r="JK10" i="6"/>
  <c r="JJ10" i="6"/>
  <c r="JI10" i="6"/>
  <c r="JH10" i="6"/>
  <c r="JG10" i="6"/>
  <c r="JF10" i="6"/>
  <c r="JE10" i="6"/>
  <c r="JD10" i="6"/>
  <c r="JC10" i="6"/>
  <c r="JB10" i="6"/>
  <c r="JA10" i="6"/>
  <c r="IZ10" i="6"/>
  <c r="IY10" i="6"/>
  <c r="IX10" i="6"/>
  <c r="IW10" i="6"/>
  <c r="IV10" i="6"/>
  <c r="IU10" i="6"/>
  <c r="IT10" i="6"/>
  <c r="IS10" i="6"/>
  <c r="IR10" i="6"/>
  <c r="IQ10" i="6"/>
  <c r="IP10" i="6"/>
  <c r="IO10" i="6"/>
  <c r="IN10" i="6"/>
  <c r="IM10" i="6"/>
  <c r="JO10" i="6" s="1"/>
  <c r="IK10" i="6"/>
  <c r="IJ10" i="6"/>
  <c r="II10" i="6"/>
  <c r="IH10" i="6"/>
  <c r="IG10" i="6"/>
  <c r="JU10" i="6" s="1"/>
  <c r="IF10" i="6"/>
  <c r="JR10" i="6" s="1"/>
  <c r="IE10" i="6"/>
  <c r="JQ10" i="6" s="1"/>
  <c r="ID10" i="6"/>
  <c r="JN10" i="6" s="1"/>
  <c r="HB10" i="6"/>
  <c r="IL10" i="6" s="1"/>
  <c r="GS10" i="6"/>
  <c r="IC10" i="6" s="1"/>
  <c r="AT10" i="6"/>
  <c r="AS10" i="6"/>
  <c r="AR10" i="6"/>
  <c r="AQ10" i="6"/>
  <c r="JT9" i="6"/>
  <c r="JL9" i="6"/>
  <c r="JK9" i="6"/>
  <c r="JJ9" i="6"/>
  <c r="JI9" i="6"/>
  <c r="JH9" i="6"/>
  <c r="JG9" i="6"/>
  <c r="JF9" i="6"/>
  <c r="JE9" i="6"/>
  <c r="JD9" i="6"/>
  <c r="JC9" i="6"/>
  <c r="JB9" i="6"/>
  <c r="JA9" i="6"/>
  <c r="IZ9" i="6"/>
  <c r="IY9" i="6"/>
  <c r="IX9" i="6"/>
  <c r="IW9" i="6"/>
  <c r="IV9" i="6"/>
  <c r="IU9" i="6"/>
  <c r="IT9" i="6"/>
  <c r="IS9" i="6"/>
  <c r="IR9" i="6"/>
  <c r="IQ9" i="6"/>
  <c r="IP9" i="6"/>
  <c r="IO9" i="6"/>
  <c r="IN9" i="6"/>
  <c r="JP9" i="6" s="1"/>
  <c r="IM9" i="6"/>
  <c r="IK9" i="6"/>
  <c r="IJ9" i="6"/>
  <c r="II9" i="6"/>
  <c r="IH9" i="6"/>
  <c r="IG9" i="6"/>
  <c r="JU9" i="6" s="1"/>
  <c r="IF9" i="6"/>
  <c r="JS9" i="6" s="1"/>
  <c r="IE9" i="6"/>
  <c r="JQ9" i="6" s="1"/>
  <c r="ID9" i="6"/>
  <c r="JO9" i="6" s="1"/>
  <c r="IC9" i="6"/>
  <c r="HB9" i="6"/>
  <c r="IL9" i="6" s="1"/>
  <c r="GS9" i="6"/>
  <c r="AT9" i="6"/>
  <c r="AS9" i="6"/>
  <c r="AR9" i="6"/>
  <c r="AQ9" i="6"/>
  <c r="JM8" i="6"/>
  <c r="JL8" i="6"/>
  <c r="JK8" i="6"/>
  <c r="JJ8" i="6"/>
  <c r="JI8" i="6"/>
  <c r="JH8" i="6"/>
  <c r="JG8" i="6"/>
  <c r="JF8" i="6"/>
  <c r="JE8" i="6"/>
  <c r="JD8" i="6"/>
  <c r="JC8" i="6"/>
  <c r="JB8" i="6"/>
  <c r="JA8" i="6"/>
  <c r="IZ8" i="6"/>
  <c r="IY8" i="6"/>
  <c r="IX8" i="6"/>
  <c r="IW8" i="6"/>
  <c r="JQ8" i="6" s="1"/>
  <c r="IV8" i="6"/>
  <c r="IU8" i="6"/>
  <c r="IT8" i="6"/>
  <c r="IS8" i="6"/>
  <c r="IR8" i="6"/>
  <c r="IQ8" i="6"/>
  <c r="IP8" i="6"/>
  <c r="IO8" i="6"/>
  <c r="IN8" i="6"/>
  <c r="IM8" i="6"/>
  <c r="IL8" i="6"/>
  <c r="IK8" i="6"/>
  <c r="IJ8" i="6"/>
  <c r="II8" i="6"/>
  <c r="IH8" i="6"/>
  <c r="IG8" i="6"/>
  <c r="JU8" i="6" s="1"/>
  <c r="IF8" i="6"/>
  <c r="JS8" i="6" s="1"/>
  <c r="IE8" i="6"/>
  <c r="JP8" i="6" s="1"/>
  <c r="ID8" i="6"/>
  <c r="JO8" i="6" s="1"/>
  <c r="IC8" i="6"/>
  <c r="HB8" i="6"/>
  <c r="GS8" i="6"/>
  <c r="AT8" i="6"/>
  <c r="AS8" i="6"/>
  <c r="AR8" i="6"/>
  <c r="AQ8" i="6"/>
  <c r="JN7" i="6"/>
  <c r="JL7" i="6"/>
  <c r="JK7" i="6"/>
  <c r="JJ7" i="6"/>
  <c r="JI7" i="6"/>
  <c r="JH7" i="6"/>
  <c r="JG7" i="6"/>
  <c r="JF7" i="6"/>
  <c r="JE7" i="6"/>
  <c r="JD7" i="6"/>
  <c r="JC7" i="6"/>
  <c r="JB7" i="6"/>
  <c r="JA7" i="6"/>
  <c r="IZ7" i="6"/>
  <c r="IY7" i="6"/>
  <c r="IX7" i="6"/>
  <c r="JR7" i="6" s="1"/>
  <c r="IW7" i="6"/>
  <c r="IV7" i="6"/>
  <c r="IU7" i="6"/>
  <c r="IT7" i="6"/>
  <c r="IS7" i="6"/>
  <c r="IR7" i="6"/>
  <c r="IQ7" i="6"/>
  <c r="IP7" i="6"/>
  <c r="IO7" i="6"/>
  <c r="IN7" i="6"/>
  <c r="IM7" i="6"/>
  <c r="IL7" i="6"/>
  <c r="IK7" i="6"/>
  <c r="IJ7" i="6"/>
  <c r="II7" i="6"/>
  <c r="IH7" i="6"/>
  <c r="IG7" i="6"/>
  <c r="JU7" i="6" s="1"/>
  <c r="IF7" i="6"/>
  <c r="JS7" i="6" s="1"/>
  <c r="IE7" i="6"/>
  <c r="JQ7" i="6" s="1"/>
  <c r="ID7" i="6"/>
  <c r="JO7" i="6" s="1"/>
  <c r="HB7" i="6"/>
  <c r="GS7" i="6"/>
  <c r="IC7" i="6" s="1"/>
  <c r="JM7" i="6" s="1"/>
  <c r="AT7" i="6"/>
  <c r="AS7" i="6"/>
  <c r="AR7" i="6"/>
  <c r="AQ7" i="6"/>
  <c r="JO6" i="6"/>
  <c r="JL6" i="6"/>
  <c r="JK6" i="6"/>
  <c r="JJ6" i="6"/>
  <c r="JI6" i="6"/>
  <c r="JH6" i="6"/>
  <c r="JG6" i="6"/>
  <c r="JS6" i="6" s="1"/>
  <c r="JF6" i="6"/>
  <c r="JE6" i="6"/>
  <c r="JD6" i="6"/>
  <c r="JC6" i="6"/>
  <c r="JB6" i="6"/>
  <c r="JA6" i="6"/>
  <c r="IZ6" i="6"/>
  <c r="IY6" i="6"/>
  <c r="IX6" i="6"/>
  <c r="IW6" i="6"/>
  <c r="IV6" i="6"/>
  <c r="IU6" i="6"/>
  <c r="IT6" i="6"/>
  <c r="IS6" i="6"/>
  <c r="IR6" i="6"/>
  <c r="IQ6" i="6"/>
  <c r="IP6" i="6"/>
  <c r="IO6" i="6"/>
  <c r="IN6" i="6"/>
  <c r="IM6" i="6"/>
  <c r="IK6" i="6"/>
  <c r="IJ6" i="6"/>
  <c r="II6" i="6"/>
  <c r="IH6" i="6"/>
  <c r="IG6" i="6"/>
  <c r="JU6" i="6" s="1"/>
  <c r="IF6" i="6"/>
  <c r="JR6" i="6" s="1"/>
  <c r="IE6" i="6"/>
  <c r="JQ6" i="6" s="1"/>
  <c r="ID6" i="6"/>
  <c r="JN6" i="6" s="1"/>
  <c r="HB6" i="6"/>
  <c r="IL6" i="6" s="1"/>
  <c r="GS6" i="6"/>
  <c r="IC6" i="6" s="1"/>
  <c r="AT6" i="6"/>
  <c r="AS6" i="6"/>
  <c r="AR6" i="6"/>
  <c r="AQ6" i="6"/>
  <c r="JP5" i="6"/>
  <c r="JL5" i="6"/>
  <c r="JK5" i="6"/>
  <c r="JJ5" i="6"/>
  <c r="JI5" i="6"/>
  <c r="JH5" i="6"/>
  <c r="JT5" i="6" s="1"/>
  <c r="JG5" i="6"/>
  <c r="JF5" i="6"/>
  <c r="JE5" i="6"/>
  <c r="JD5" i="6"/>
  <c r="JC5" i="6"/>
  <c r="JB5" i="6"/>
  <c r="JA5" i="6"/>
  <c r="IZ5" i="6"/>
  <c r="IY5" i="6"/>
  <c r="IX5" i="6"/>
  <c r="IW5" i="6"/>
  <c r="IV5" i="6"/>
  <c r="IU5" i="6"/>
  <c r="IT5" i="6"/>
  <c r="IS5" i="6"/>
  <c r="IR5" i="6"/>
  <c r="IQ5" i="6"/>
  <c r="IP5" i="6"/>
  <c r="IO5" i="6"/>
  <c r="IN5" i="6"/>
  <c r="IM5" i="6"/>
  <c r="IK5" i="6"/>
  <c r="IJ5" i="6"/>
  <c r="II5" i="6"/>
  <c r="IH5" i="6"/>
  <c r="IG5" i="6"/>
  <c r="JU5" i="6" s="1"/>
  <c r="IF5" i="6"/>
  <c r="JS5" i="6" s="1"/>
  <c r="IE5" i="6"/>
  <c r="JQ5" i="6" s="1"/>
  <c r="ID5" i="6"/>
  <c r="JO5" i="6" s="1"/>
  <c r="IC5" i="6"/>
  <c r="HB5" i="6"/>
  <c r="IL5" i="6" s="1"/>
  <c r="GS5" i="6"/>
  <c r="AT5" i="6"/>
  <c r="AS5" i="6"/>
  <c r="AR5" i="6"/>
  <c r="AQ5" i="6"/>
  <c r="JQ4" i="6"/>
  <c r="JL4" i="6"/>
  <c r="JK4" i="6"/>
  <c r="JJ4" i="6"/>
  <c r="JI4" i="6"/>
  <c r="JH4" i="6"/>
  <c r="JG4" i="6"/>
  <c r="JF4" i="6"/>
  <c r="JE4" i="6"/>
  <c r="JD4" i="6"/>
  <c r="JC4" i="6"/>
  <c r="JB4" i="6"/>
  <c r="JA4" i="6"/>
  <c r="IZ4" i="6"/>
  <c r="IY4" i="6"/>
  <c r="IX4" i="6"/>
  <c r="IW4" i="6"/>
  <c r="IV4" i="6"/>
  <c r="IU4" i="6"/>
  <c r="IT4" i="6"/>
  <c r="IS4" i="6"/>
  <c r="IR4" i="6"/>
  <c r="IQ4" i="6"/>
  <c r="IP4" i="6"/>
  <c r="IO4" i="6"/>
  <c r="IN4" i="6"/>
  <c r="IM4" i="6"/>
  <c r="IK4" i="6"/>
  <c r="IJ4" i="6"/>
  <c r="II4" i="6"/>
  <c r="IH4" i="6"/>
  <c r="IG4" i="6"/>
  <c r="JU4" i="6" s="1"/>
  <c r="IF4" i="6"/>
  <c r="JS4" i="6" s="1"/>
  <c r="IE4" i="6"/>
  <c r="JP4" i="6" s="1"/>
  <c r="ID4" i="6"/>
  <c r="JO4" i="6" s="1"/>
  <c r="IC4" i="6"/>
  <c r="HB4" i="6"/>
  <c r="IL4" i="6" s="1"/>
  <c r="GS4" i="6"/>
  <c r="AT4" i="6"/>
  <c r="AS4" i="6"/>
  <c r="AR4" i="6"/>
  <c r="AQ4" i="6"/>
  <c r="JR3" i="6"/>
  <c r="JL3" i="6"/>
  <c r="JK3" i="6"/>
  <c r="JJ3" i="6"/>
  <c r="JI3" i="6"/>
  <c r="JH3" i="6"/>
  <c r="JG3" i="6"/>
  <c r="JF3" i="6"/>
  <c r="JE3" i="6"/>
  <c r="JD3" i="6"/>
  <c r="JC3" i="6"/>
  <c r="JB3" i="6"/>
  <c r="JA3" i="6"/>
  <c r="IZ3" i="6"/>
  <c r="IY3" i="6"/>
  <c r="IX3" i="6"/>
  <c r="IW3" i="6"/>
  <c r="IV3" i="6"/>
  <c r="IU3" i="6"/>
  <c r="IT3" i="6"/>
  <c r="IS3" i="6"/>
  <c r="IR3" i="6"/>
  <c r="IQ3" i="6"/>
  <c r="IP3" i="6"/>
  <c r="IO3" i="6"/>
  <c r="IN3" i="6"/>
  <c r="IM3" i="6"/>
  <c r="IL3" i="6"/>
  <c r="IK3" i="6"/>
  <c r="IJ3" i="6"/>
  <c r="II3" i="6"/>
  <c r="IH3" i="6"/>
  <c r="IG3" i="6"/>
  <c r="JU3" i="6" s="1"/>
  <c r="IF3" i="6"/>
  <c r="JS3" i="6" s="1"/>
  <c r="IE3" i="6"/>
  <c r="JQ3" i="6" s="1"/>
  <c r="ID3" i="6"/>
  <c r="JN3" i="6" s="1"/>
  <c r="HB3" i="6"/>
  <c r="GS3" i="6"/>
  <c r="IC3" i="6" s="1"/>
  <c r="JM3" i="6" s="1"/>
  <c r="AT3" i="6"/>
  <c r="AS3" i="6"/>
  <c r="AR3" i="6"/>
  <c r="AQ3" i="6"/>
  <c r="JS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K2" i="6"/>
  <c r="JU2" i="6" s="1"/>
  <c r="IJ2" i="6"/>
  <c r="JT2" i="6" s="1"/>
  <c r="II2" i="6"/>
  <c r="IH2" i="6"/>
  <c r="JR2" i="6" s="1"/>
  <c r="IG2" i="6"/>
  <c r="JQ2" i="6" s="1"/>
  <c r="IF2" i="6"/>
  <c r="JP2" i="6" s="1"/>
  <c r="IE2" i="6"/>
  <c r="JO2" i="6" s="1"/>
  <c r="ID2" i="6"/>
  <c r="JN2" i="6" s="1"/>
  <c r="HB2" i="6"/>
  <c r="IL2" i="6" s="1"/>
  <c r="GS2" i="6"/>
  <c r="IC2" i="6" s="1"/>
  <c r="JM2" i="6" s="1"/>
  <c r="AT2" i="6"/>
  <c r="AS2" i="6"/>
  <c r="AR2" i="6"/>
  <c r="AQ2" i="6"/>
  <c r="GX3" i="5"/>
  <c r="GX4" i="5"/>
  <c r="IH4" i="5" s="1"/>
  <c r="GX5" i="5"/>
  <c r="IH5" i="5" s="1"/>
  <c r="GX6" i="5"/>
  <c r="IH6" i="5" s="1"/>
  <c r="GX7" i="5"/>
  <c r="GX8" i="5"/>
  <c r="GX9" i="5"/>
  <c r="GX10" i="5"/>
  <c r="IH10" i="5" s="1"/>
  <c r="GX11" i="5"/>
  <c r="GX12" i="5"/>
  <c r="GX13" i="5"/>
  <c r="GX14" i="5"/>
  <c r="IH14" i="5" s="1"/>
  <c r="GX15" i="5"/>
  <c r="IH15" i="5" s="1"/>
  <c r="GX16" i="5"/>
  <c r="IH16" i="5" s="1"/>
  <c r="GX17" i="5"/>
  <c r="GX18" i="5"/>
  <c r="IH18" i="5" s="1"/>
  <c r="GX19" i="5"/>
  <c r="GX20" i="5"/>
  <c r="GX2" i="5"/>
  <c r="IH2" i="5" s="1"/>
  <c r="IH19" i="5"/>
  <c r="IH20" i="5"/>
  <c r="IH3" i="5"/>
  <c r="IH17" i="5"/>
  <c r="JM20" i="5"/>
  <c r="JL20" i="5"/>
  <c r="JK20" i="5"/>
  <c r="JJ20" i="5"/>
  <c r="JI20" i="5"/>
  <c r="JH20" i="5"/>
  <c r="JG20" i="5"/>
  <c r="JF20" i="5"/>
  <c r="JE20" i="5"/>
  <c r="JD20" i="5"/>
  <c r="JC20" i="5"/>
  <c r="JB20" i="5"/>
  <c r="JA20" i="5"/>
  <c r="IZ20" i="5"/>
  <c r="IY20" i="5"/>
  <c r="IX20" i="5"/>
  <c r="IW20" i="5"/>
  <c r="IV20" i="5"/>
  <c r="IU20" i="5"/>
  <c r="IT20" i="5"/>
  <c r="IS20" i="5"/>
  <c r="IR20" i="5"/>
  <c r="IQ20" i="5"/>
  <c r="IP20" i="5"/>
  <c r="IO20" i="5"/>
  <c r="IN20" i="5"/>
  <c r="IL20" i="5"/>
  <c r="IK20" i="5"/>
  <c r="IJ20" i="5"/>
  <c r="II20" i="5"/>
  <c r="IG20" i="5"/>
  <c r="IF20" i="5"/>
  <c r="IE20" i="5"/>
  <c r="HC20" i="5"/>
  <c r="IM20" i="5" s="1"/>
  <c r="GT20" i="5"/>
  <c r="ID20" i="5" s="1"/>
  <c r="AT20" i="5"/>
  <c r="AS20" i="5"/>
  <c r="AR20" i="5"/>
  <c r="AQ20" i="5"/>
  <c r="JM19" i="5"/>
  <c r="JL19" i="5"/>
  <c r="JK19" i="5"/>
  <c r="JJ19" i="5"/>
  <c r="JI19" i="5"/>
  <c r="JH19" i="5"/>
  <c r="JG19" i="5"/>
  <c r="JF19" i="5"/>
  <c r="JE19" i="5"/>
  <c r="JD19" i="5"/>
  <c r="JC19" i="5"/>
  <c r="JB19" i="5"/>
  <c r="JA19" i="5"/>
  <c r="IZ19" i="5"/>
  <c r="IY19" i="5"/>
  <c r="IX19" i="5"/>
  <c r="IW19" i="5"/>
  <c r="IV19" i="5"/>
  <c r="IU19" i="5"/>
  <c r="IT19" i="5"/>
  <c r="IS19" i="5"/>
  <c r="IR19" i="5"/>
  <c r="IQ19" i="5"/>
  <c r="IP19" i="5"/>
  <c r="IO19" i="5"/>
  <c r="IN19" i="5"/>
  <c r="IL19" i="5"/>
  <c r="IK19" i="5"/>
  <c r="IJ19" i="5"/>
  <c r="II19" i="5"/>
  <c r="IG19" i="5"/>
  <c r="IF19" i="5"/>
  <c r="IE19" i="5"/>
  <c r="HC19" i="5"/>
  <c r="IM19" i="5" s="1"/>
  <c r="GT19" i="5"/>
  <c r="ID19" i="5" s="1"/>
  <c r="AT19" i="5"/>
  <c r="AS19" i="5"/>
  <c r="AR19" i="5"/>
  <c r="AQ19" i="5"/>
  <c r="JM18" i="5"/>
  <c r="JL18" i="5"/>
  <c r="JK18" i="5"/>
  <c r="JJ18" i="5"/>
  <c r="JI18" i="5"/>
  <c r="JH18" i="5"/>
  <c r="JG18" i="5"/>
  <c r="JF18" i="5"/>
  <c r="JE18" i="5"/>
  <c r="JD18" i="5"/>
  <c r="JC18" i="5"/>
  <c r="JB18" i="5"/>
  <c r="JA18" i="5"/>
  <c r="IZ18" i="5"/>
  <c r="IY18" i="5"/>
  <c r="IX18" i="5"/>
  <c r="IW18" i="5"/>
  <c r="IV18" i="5"/>
  <c r="IU18" i="5"/>
  <c r="IT18" i="5"/>
  <c r="IS18" i="5"/>
  <c r="IR18" i="5"/>
  <c r="IQ18" i="5"/>
  <c r="IP18" i="5"/>
  <c r="IO18" i="5"/>
  <c r="IN18" i="5"/>
  <c r="IL18" i="5"/>
  <c r="IK18" i="5"/>
  <c r="IJ18" i="5"/>
  <c r="II18" i="5"/>
  <c r="IG18" i="5"/>
  <c r="IF18" i="5"/>
  <c r="IE18" i="5"/>
  <c r="HC18" i="5"/>
  <c r="IM18" i="5" s="1"/>
  <c r="GT18" i="5"/>
  <c r="ID18" i="5" s="1"/>
  <c r="AT18" i="5"/>
  <c r="AS18" i="5"/>
  <c r="AR18" i="5"/>
  <c r="AQ18" i="5"/>
  <c r="JM17" i="5"/>
  <c r="JL17" i="5"/>
  <c r="JK17" i="5"/>
  <c r="JJ17" i="5"/>
  <c r="JI17" i="5"/>
  <c r="JH17" i="5"/>
  <c r="JG17" i="5"/>
  <c r="JF17" i="5"/>
  <c r="JE17" i="5"/>
  <c r="JD17" i="5"/>
  <c r="JC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L17" i="5"/>
  <c r="IK17" i="5"/>
  <c r="IJ17" i="5"/>
  <c r="II17" i="5"/>
  <c r="IG17" i="5"/>
  <c r="IF17" i="5"/>
  <c r="IE17" i="5"/>
  <c r="HC17" i="5"/>
  <c r="IM17" i="5" s="1"/>
  <c r="GT17" i="5"/>
  <c r="ID17" i="5" s="1"/>
  <c r="AT17" i="5"/>
  <c r="AS17" i="5"/>
  <c r="AR17" i="5"/>
  <c r="AQ17" i="5"/>
  <c r="JM16" i="5"/>
  <c r="JL16" i="5"/>
  <c r="JK16" i="5"/>
  <c r="JJ16" i="5"/>
  <c r="JI16" i="5"/>
  <c r="JH16" i="5"/>
  <c r="JG16" i="5"/>
  <c r="JF16" i="5"/>
  <c r="JE16" i="5"/>
  <c r="JD16" i="5"/>
  <c r="JC16" i="5"/>
  <c r="JB16" i="5"/>
  <c r="JA16" i="5"/>
  <c r="IZ16" i="5"/>
  <c r="IY16" i="5"/>
  <c r="IX16" i="5"/>
  <c r="IW16" i="5"/>
  <c r="IV16" i="5"/>
  <c r="IU16" i="5"/>
  <c r="IT16" i="5"/>
  <c r="IS16" i="5"/>
  <c r="IR16" i="5"/>
  <c r="IQ16" i="5"/>
  <c r="IP16" i="5"/>
  <c r="IO16" i="5"/>
  <c r="IN16" i="5"/>
  <c r="IL16" i="5"/>
  <c r="IK16" i="5"/>
  <c r="IJ16" i="5"/>
  <c r="II16" i="5"/>
  <c r="IG16" i="5"/>
  <c r="IF16" i="5"/>
  <c r="IE16" i="5"/>
  <c r="ID16" i="5"/>
  <c r="HC16" i="5"/>
  <c r="IM16" i="5" s="1"/>
  <c r="GT16" i="5"/>
  <c r="AT16" i="5"/>
  <c r="AS16" i="5"/>
  <c r="AR16" i="5"/>
  <c r="AQ16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L15" i="5"/>
  <c r="IK15" i="5"/>
  <c r="IJ15" i="5"/>
  <c r="II15" i="5"/>
  <c r="IG15" i="5"/>
  <c r="IF15" i="5"/>
  <c r="IE15" i="5"/>
  <c r="HC15" i="5"/>
  <c r="IM15" i="5" s="1"/>
  <c r="GT15" i="5"/>
  <c r="ID15" i="5" s="1"/>
  <c r="AT15" i="5"/>
  <c r="AS15" i="5"/>
  <c r="AR15" i="5"/>
  <c r="AQ15" i="5"/>
  <c r="JM14" i="5"/>
  <c r="JL14" i="5"/>
  <c r="JK14" i="5"/>
  <c r="JJ14" i="5"/>
  <c r="JI14" i="5"/>
  <c r="JH14" i="5"/>
  <c r="JG14" i="5"/>
  <c r="JF14" i="5"/>
  <c r="JE14" i="5"/>
  <c r="JD14" i="5"/>
  <c r="JC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L14" i="5"/>
  <c r="IK14" i="5"/>
  <c r="IJ14" i="5"/>
  <c r="II14" i="5"/>
  <c r="IG14" i="5"/>
  <c r="IF14" i="5"/>
  <c r="IE14" i="5"/>
  <c r="HC14" i="5"/>
  <c r="IM14" i="5" s="1"/>
  <c r="GT14" i="5"/>
  <c r="ID14" i="5" s="1"/>
  <c r="AT14" i="5"/>
  <c r="AS14" i="5"/>
  <c r="AR14" i="5"/>
  <c r="AQ14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L13" i="5"/>
  <c r="IK13" i="5"/>
  <c r="IJ13" i="5"/>
  <c r="II13" i="5"/>
  <c r="IH13" i="5"/>
  <c r="IG13" i="5"/>
  <c r="IF13" i="5"/>
  <c r="IE13" i="5"/>
  <c r="ID13" i="5"/>
  <c r="HC13" i="5"/>
  <c r="IM13" i="5" s="1"/>
  <c r="GT13" i="5"/>
  <c r="AT13" i="5"/>
  <c r="AS13" i="5"/>
  <c r="AR13" i="5"/>
  <c r="AQ13" i="5"/>
  <c r="JM12" i="5"/>
  <c r="JL12" i="5"/>
  <c r="JK12" i="5"/>
  <c r="JJ12" i="5"/>
  <c r="JI12" i="5"/>
  <c r="JH12" i="5"/>
  <c r="JG12" i="5"/>
  <c r="JF12" i="5"/>
  <c r="JE12" i="5"/>
  <c r="JD12" i="5"/>
  <c r="JC12" i="5"/>
  <c r="JB12" i="5"/>
  <c r="JA12" i="5"/>
  <c r="IZ12" i="5"/>
  <c r="IY12" i="5"/>
  <c r="IX12" i="5"/>
  <c r="IW12" i="5"/>
  <c r="IV12" i="5"/>
  <c r="IU12" i="5"/>
  <c r="IT12" i="5"/>
  <c r="IS12" i="5"/>
  <c r="IR12" i="5"/>
  <c r="IQ12" i="5"/>
  <c r="IP12" i="5"/>
  <c r="IO12" i="5"/>
  <c r="IN12" i="5"/>
  <c r="IL12" i="5"/>
  <c r="IK12" i="5"/>
  <c r="IJ12" i="5"/>
  <c r="II12" i="5"/>
  <c r="IH12" i="5"/>
  <c r="IG12" i="5"/>
  <c r="IF12" i="5"/>
  <c r="IE12" i="5"/>
  <c r="HC12" i="5"/>
  <c r="IM12" i="5" s="1"/>
  <c r="GT12" i="5"/>
  <c r="ID12" i="5" s="1"/>
  <c r="AT12" i="5"/>
  <c r="AS12" i="5"/>
  <c r="AR12" i="5"/>
  <c r="AQ12" i="5"/>
  <c r="JM11" i="5"/>
  <c r="JL11" i="5"/>
  <c r="JK11" i="5"/>
  <c r="JJ11" i="5"/>
  <c r="JI11" i="5"/>
  <c r="JH11" i="5"/>
  <c r="JG11" i="5"/>
  <c r="JF11" i="5"/>
  <c r="JE11" i="5"/>
  <c r="JD11" i="5"/>
  <c r="JC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L11" i="5"/>
  <c r="IK11" i="5"/>
  <c r="IJ11" i="5"/>
  <c r="II11" i="5"/>
  <c r="IH11" i="5"/>
  <c r="IG11" i="5"/>
  <c r="IF11" i="5"/>
  <c r="IE11" i="5"/>
  <c r="HC11" i="5"/>
  <c r="IM11" i="5" s="1"/>
  <c r="GT11" i="5"/>
  <c r="ID11" i="5" s="1"/>
  <c r="AT11" i="5"/>
  <c r="AS11" i="5"/>
  <c r="AR11" i="5"/>
  <c r="AQ11" i="5"/>
  <c r="JM10" i="5"/>
  <c r="JL10" i="5"/>
  <c r="JK10" i="5"/>
  <c r="JJ10" i="5"/>
  <c r="JI10" i="5"/>
  <c r="JH10" i="5"/>
  <c r="JG10" i="5"/>
  <c r="JF10" i="5"/>
  <c r="JE10" i="5"/>
  <c r="JD10" i="5"/>
  <c r="JC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L10" i="5"/>
  <c r="IK10" i="5"/>
  <c r="IJ10" i="5"/>
  <c r="II10" i="5"/>
  <c r="IG10" i="5"/>
  <c r="IF10" i="5"/>
  <c r="IE10" i="5"/>
  <c r="HC10" i="5"/>
  <c r="IM10" i="5" s="1"/>
  <c r="GT10" i="5"/>
  <c r="ID10" i="5" s="1"/>
  <c r="AT10" i="5"/>
  <c r="AS10" i="5"/>
  <c r="AR10" i="5"/>
  <c r="AQ10" i="5"/>
  <c r="JM9" i="5"/>
  <c r="JL9" i="5"/>
  <c r="JK9" i="5"/>
  <c r="JJ9" i="5"/>
  <c r="JI9" i="5"/>
  <c r="JH9" i="5"/>
  <c r="JG9" i="5"/>
  <c r="JF9" i="5"/>
  <c r="JE9" i="5"/>
  <c r="JD9" i="5"/>
  <c r="JC9" i="5"/>
  <c r="JB9" i="5"/>
  <c r="JA9" i="5"/>
  <c r="IZ9" i="5"/>
  <c r="IY9" i="5"/>
  <c r="IX9" i="5"/>
  <c r="IW9" i="5"/>
  <c r="IV9" i="5"/>
  <c r="IU9" i="5"/>
  <c r="IT9" i="5"/>
  <c r="IS9" i="5"/>
  <c r="IR9" i="5"/>
  <c r="IQ9" i="5"/>
  <c r="IP9" i="5"/>
  <c r="IO9" i="5"/>
  <c r="IN9" i="5"/>
  <c r="IL9" i="5"/>
  <c r="IK9" i="5"/>
  <c r="IJ9" i="5"/>
  <c r="II9" i="5"/>
  <c r="IH9" i="5"/>
  <c r="IG9" i="5"/>
  <c r="IF9" i="5"/>
  <c r="IE9" i="5"/>
  <c r="HC9" i="5"/>
  <c r="IM9" i="5" s="1"/>
  <c r="GT9" i="5"/>
  <c r="ID9" i="5" s="1"/>
  <c r="AT9" i="5"/>
  <c r="AS9" i="5"/>
  <c r="AR9" i="5"/>
  <c r="AQ9" i="5"/>
  <c r="JM8" i="5"/>
  <c r="JL8" i="5"/>
  <c r="JK8" i="5"/>
  <c r="JJ8" i="5"/>
  <c r="JI8" i="5"/>
  <c r="JH8" i="5"/>
  <c r="JG8" i="5"/>
  <c r="JF8" i="5"/>
  <c r="JE8" i="5"/>
  <c r="JD8" i="5"/>
  <c r="JC8" i="5"/>
  <c r="JB8" i="5"/>
  <c r="JA8" i="5"/>
  <c r="IZ8" i="5"/>
  <c r="IY8" i="5"/>
  <c r="IX8" i="5"/>
  <c r="IW8" i="5"/>
  <c r="IV8" i="5"/>
  <c r="IU8" i="5"/>
  <c r="IT8" i="5"/>
  <c r="IS8" i="5"/>
  <c r="IR8" i="5"/>
  <c r="IQ8" i="5"/>
  <c r="IP8" i="5"/>
  <c r="IO8" i="5"/>
  <c r="IN8" i="5"/>
  <c r="IL8" i="5"/>
  <c r="IK8" i="5"/>
  <c r="IJ8" i="5"/>
  <c r="II8" i="5"/>
  <c r="IH8" i="5"/>
  <c r="IG8" i="5"/>
  <c r="IF8" i="5"/>
  <c r="IE8" i="5"/>
  <c r="HC8" i="5"/>
  <c r="IM8" i="5" s="1"/>
  <c r="GT8" i="5"/>
  <c r="ID8" i="5" s="1"/>
  <c r="AT8" i="5"/>
  <c r="AS8" i="5"/>
  <c r="AR8" i="5"/>
  <c r="AQ8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L7" i="5"/>
  <c r="IK7" i="5"/>
  <c r="IJ7" i="5"/>
  <c r="II7" i="5"/>
  <c r="IH7" i="5"/>
  <c r="IG7" i="5"/>
  <c r="IF7" i="5"/>
  <c r="IE7" i="5"/>
  <c r="HC7" i="5"/>
  <c r="IM7" i="5" s="1"/>
  <c r="GT7" i="5"/>
  <c r="ID7" i="5" s="1"/>
  <c r="AT7" i="5"/>
  <c r="AS7" i="5"/>
  <c r="AR7" i="5"/>
  <c r="AQ7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L6" i="5"/>
  <c r="IK6" i="5"/>
  <c r="IJ6" i="5"/>
  <c r="II6" i="5"/>
  <c r="IG6" i="5"/>
  <c r="IF6" i="5"/>
  <c r="IE6" i="5"/>
  <c r="HC6" i="5"/>
  <c r="IM6" i="5" s="1"/>
  <c r="GT6" i="5"/>
  <c r="ID6" i="5" s="1"/>
  <c r="AT6" i="5"/>
  <c r="AS6" i="5"/>
  <c r="AR6" i="5"/>
  <c r="AQ6" i="5"/>
  <c r="JM5" i="5"/>
  <c r="JL5" i="5"/>
  <c r="JK5" i="5"/>
  <c r="JJ5" i="5"/>
  <c r="JI5" i="5"/>
  <c r="JH5" i="5"/>
  <c r="JG5" i="5"/>
  <c r="JF5" i="5"/>
  <c r="JE5" i="5"/>
  <c r="JD5" i="5"/>
  <c r="JC5" i="5"/>
  <c r="JB5" i="5"/>
  <c r="JA5" i="5"/>
  <c r="IZ5" i="5"/>
  <c r="IY5" i="5"/>
  <c r="IX5" i="5"/>
  <c r="IW5" i="5"/>
  <c r="IV5" i="5"/>
  <c r="IU5" i="5"/>
  <c r="IT5" i="5"/>
  <c r="IS5" i="5"/>
  <c r="IR5" i="5"/>
  <c r="IQ5" i="5"/>
  <c r="IP5" i="5"/>
  <c r="IO5" i="5"/>
  <c r="IN5" i="5"/>
  <c r="IL5" i="5"/>
  <c r="IK5" i="5"/>
  <c r="IJ5" i="5"/>
  <c r="II5" i="5"/>
  <c r="IG5" i="5"/>
  <c r="IF5" i="5"/>
  <c r="IE5" i="5"/>
  <c r="HC5" i="5"/>
  <c r="IM5" i="5" s="1"/>
  <c r="GT5" i="5"/>
  <c r="ID5" i="5" s="1"/>
  <c r="AT5" i="5"/>
  <c r="AS5" i="5"/>
  <c r="AR5" i="5"/>
  <c r="AQ5" i="5"/>
  <c r="JM4" i="5"/>
  <c r="JL4" i="5"/>
  <c r="JK4" i="5"/>
  <c r="JJ4" i="5"/>
  <c r="JI4" i="5"/>
  <c r="JH4" i="5"/>
  <c r="JG4" i="5"/>
  <c r="JF4" i="5"/>
  <c r="JE4" i="5"/>
  <c r="JD4" i="5"/>
  <c r="JC4" i="5"/>
  <c r="JB4" i="5"/>
  <c r="JA4" i="5"/>
  <c r="IZ4" i="5"/>
  <c r="IY4" i="5"/>
  <c r="IX4" i="5"/>
  <c r="IW4" i="5"/>
  <c r="IV4" i="5"/>
  <c r="IU4" i="5"/>
  <c r="IT4" i="5"/>
  <c r="IS4" i="5"/>
  <c r="IR4" i="5"/>
  <c r="IQ4" i="5"/>
  <c r="IP4" i="5"/>
  <c r="IO4" i="5"/>
  <c r="IN4" i="5"/>
  <c r="IL4" i="5"/>
  <c r="IK4" i="5"/>
  <c r="IJ4" i="5"/>
  <c r="II4" i="5"/>
  <c r="IG4" i="5"/>
  <c r="IF4" i="5"/>
  <c r="IE4" i="5"/>
  <c r="HC4" i="5"/>
  <c r="IM4" i="5" s="1"/>
  <c r="GT4" i="5"/>
  <c r="ID4" i="5" s="1"/>
  <c r="AT4" i="5"/>
  <c r="AS4" i="5"/>
  <c r="AR4" i="5"/>
  <c r="AQ4" i="5"/>
  <c r="JM3" i="5"/>
  <c r="JL3" i="5"/>
  <c r="JK3" i="5"/>
  <c r="JJ3" i="5"/>
  <c r="JI3" i="5"/>
  <c r="JH3" i="5"/>
  <c r="JG3" i="5"/>
  <c r="JF3" i="5"/>
  <c r="JE3" i="5"/>
  <c r="JD3" i="5"/>
  <c r="JC3" i="5"/>
  <c r="JB3" i="5"/>
  <c r="JA3" i="5"/>
  <c r="IZ3" i="5"/>
  <c r="IY3" i="5"/>
  <c r="IX3" i="5"/>
  <c r="IW3" i="5"/>
  <c r="IV3" i="5"/>
  <c r="IU3" i="5"/>
  <c r="IT3" i="5"/>
  <c r="IS3" i="5"/>
  <c r="IR3" i="5"/>
  <c r="IQ3" i="5"/>
  <c r="IP3" i="5"/>
  <c r="IO3" i="5"/>
  <c r="IN3" i="5"/>
  <c r="IL3" i="5"/>
  <c r="IK3" i="5"/>
  <c r="IJ3" i="5"/>
  <c r="II3" i="5"/>
  <c r="IG3" i="5"/>
  <c r="IF3" i="5"/>
  <c r="IE3" i="5"/>
  <c r="HC3" i="5"/>
  <c r="IM3" i="5" s="1"/>
  <c r="GT3" i="5"/>
  <c r="ID3" i="5" s="1"/>
  <c r="AT3" i="5"/>
  <c r="AS3" i="5"/>
  <c r="AR3" i="5"/>
  <c r="AQ3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L2" i="5"/>
  <c r="IK2" i="5"/>
  <c r="IJ2" i="5"/>
  <c r="II2" i="5"/>
  <c r="IG2" i="5"/>
  <c r="IF2" i="5"/>
  <c r="IE2" i="5"/>
  <c r="HC2" i="5"/>
  <c r="IM2" i="5" s="1"/>
  <c r="GT2" i="5"/>
  <c r="ID2" i="5" s="1"/>
  <c r="AT2" i="5"/>
  <c r="AS2" i="5"/>
  <c r="AR2" i="5"/>
  <c r="AQ2" i="5"/>
  <c r="HC3" i="1"/>
  <c r="IM3" i="1" s="1"/>
  <c r="HC4" i="1"/>
  <c r="HC5" i="1"/>
  <c r="IM5" i="1" s="1"/>
  <c r="HC6" i="1"/>
  <c r="IM6" i="1" s="1"/>
  <c r="HC7" i="1"/>
  <c r="IM7" i="1" s="1"/>
  <c r="HC8" i="1"/>
  <c r="IM8" i="1" s="1"/>
  <c r="HC9" i="1"/>
  <c r="IM9" i="1" s="1"/>
  <c r="HC10" i="1"/>
  <c r="IM10" i="1" s="1"/>
  <c r="HC11" i="1"/>
  <c r="HC12" i="1"/>
  <c r="IM12" i="1" s="1"/>
  <c r="HC13" i="1"/>
  <c r="HC14" i="1"/>
  <c r="HC15" i="1"/>
  <c r="IM15" i="1" s="1"/>
  <c r="HC16" i="1"/>
  <c r="IM16" i="1" s="1"/>
  <c r="HC17" i="1"/>
  <c r="IM17" i="1" s="1"/>
  <c r="HC18" i="1"/>
  <c r="IM18" i="1" s="1"/>
  <c r="HC19" i="1"/>
  <c r="HC20" i="1"/>
  <c r="HC2" i="1"/>
  <c r="IM2" i="1" s="1"/>
  <c r="GT3" i="1"/>
  <c r="ID3" i="1" s="1"/>
  <c r="GT4" i="1"/>
  <c r="ID4" i="1" s="1"/>
  <c r="GT5" i="1"/>
  <c r="GT6" i="1"/>
  <c r="GT7" i="1"/>
  <c r="GT8" i="1"/>
  <c r="GT9" i="1"/>
  <c r="GT10" i="1"/>
  <c r="ID10" i="1" s="1"/>
  <c r="GT11" i="1"/>
  <c r="GT12" i="1"/>
  <c r="ID12" i="1" s="1"/>
  <c r="GT13" i="1"/>
  <c r="GT14" i="1"/>
  <c r="GT15" i="1"/>
  <c r="GT16" i="1"/>
  <c r="GT17" i="1"/>
  <c r="ID17" i="1" s="1"/>
  <c r="GT18" i="1"/>
  <c r="ID18" i="1" s="1"/>
  <c r="GT19" i="1"/>
  <c r="GT20" i="1"/>
  <c r="GT2" i="1"/>
  <c r="JM2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L2" i="1"/>
  <c r="JL3" i="1"/>
  <c r="JL4" i="1"/>
  <c r="JL5" i="1"/>
  <c r="JL6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0" i="1"/>
  <c r="JK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J2" i="1"/>
  <c r="JJ3" i="1"/>
  <c r="JJ4" i="1"/>
  <c r="JJ5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I2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H2" i="1"/>
  <c r="JH3" i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G2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F2" i="1"/>
  <c r="JF3" i="1"/>
  <c r="JF4" i="1"/>
  <c r="JF5" i="1"/>
  <c r="JF6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F20" i="1"/>
  <c r="JE2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D2" i="1"/>
  <c r="JD3" i="1"/>
  <c r="JD4" i="1"/>
  <c r="JD5" i="1"/>
  <c r="JD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0" i="1"/>
  <c r="JC2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B2" i="1"/>
  <c r="JB3" i="1"/>
  <c r="JB4" i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A2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IZ2" i="1"/>
  <c r="IZ3" i="1"/>
  <c r="IZ4" i="1"/>
  <c r="IZ5" i="1"/>
  <c r="IZ6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Y2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X2" i="1"/>
  <c r="IX3" i="1"/>
  <c r="IX4" i="1"/>
  <c r="IX5" i="1"/>
  <c r="IX6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IX20" i="1"/>
  <c r="IW2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V2" i="1"/>
  <c r="IV3" i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U2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T2" i="1"/>
  <c r="IT3" i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S2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R2" i="1"/>
  <c r="IR3" i="1"/>
  <c r="IR4" i="1"/>
  <c r="IR5" i="1"/>
  <c r="IR6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R20" i="1"/>
  <c r="IQ2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P2" i="1"/>
  <c r="IP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O2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N2" i="1"/>
  <c r="IN3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M4" i="1"/>
  <c r="IM11" i="1"/>
  <c r="IM13" i="1"/>
  <c r="IM14" i="1"/>
  <c r="IM19" i="1"/>
  <c r="IM20" i="1"/>
  <c r="IL2" i="1"/>
  <c r="IL3" i="1"/>
  <c r="IL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K2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J2" i="1"/>
  <c r="IJ3" i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I2" i="1"/>
  <c r="JT2" i="1" s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H2" i="1"/>
  <c r="JS2" i="1" s="1"/>
  <c r="IH3" i="1"/>
  <c r="JW3" i="1" s="1"/>
  <c r="IH4" i="1"/>
  <c r="IH5" i="1"/>
  <c r="IH6" i="1"/>
  <c r="JV6" i="1" s="1"/>
  <c r="IH7" i="1"/>
  <c r="IH8" i="1"/>
  <c r="IH9" i="1"/>
  <c r="IH10" i="1"/>
  <c r="JV10" i="1" s="1"/>
  <c r="IH11" i="1"/>
  <c r="JW11" i="1" s="1"/>
  <c r="IH12" i="1"/>
  <c r="IH13" i="1"/>
  <c r="IH14" i="1"/>
  <c r="JV14" i="1" s="1"/>
  <c r="IH15" i="1"/>
  <c r="IH16" i="1"/>
  <c r="IH17" i="1"/>
  <c r="IH18" i="1"/>
  <c r="JV18" i="1" s="1"/>
  <c r="IH19" i="1"/>
  <c r="JW19" i="1" s="1"/>
  <c r="IH20" i="1"/>
  <c r="IG2" i="1"/>
  <c r="JR2" i="1" s="1"/>
  <c r="IG3" i="1"/>
  <c r="JT3" i="1" s="1"/>
  <c r="IG4" i="1"/>
  <c r="JT4" i="1" s="1"/>
  <c r="IG5" i="1"/>
  <c r="IG6" i="1"/>
  <c r="IG7" i="1"/>
  <c r="JU7" i="1" s="1"/>
  <c r="IG8" i="1"/>
  <c r="JT8" i="1" s="1"/>
  <c r="IG9" i="1"/>
  <c r="IG10" i="1"/>
  <c r="JT10" i="1" s="1"/>
  <c r="IG11" i="1"/>
  <c r="JT11" i="1" s="1"/>
  <c r="IG12" i="1"/>
  <c r="JT12" i="1" s="1"/>
  <c r="IG13" i="1"/>
  <c r="IG14" i="1"/>
  <c r="IG15" i="1"/>
  <c r="JU15" i="1" s="1"/>
  <c r="IG16" i="1"/>
  <c r="JT16" i="1" s="1"/>
  <c r="IG17" i="1"/>
  <c r="IG18" i="1"/>
  <c r="JT18" i="1" s="1"/>
  <c r="IG19" i="1"/>
  <c r="JT19" i="1" s="1"/>
  <c r="IG20" i="1"/>
  <c r="JT20" i="1" s="1"/>
  <c r="IF2" i="1"/>
  <c r="IF3" i="1"/>
  <c r="IF4" i="1"/>
  <c r="IF5" i="1"/>
  <c r="IF6" i="1"/>
  <c r="IF7" i="1"/>
  <c r="IF8" i="1"/>
  <c r="JR8" i="1" s="1"/>
  <c r="IF9" i="1"/>
  <c r="IF10" i="1"/>
  <c r="IF11" i="1"/>
  <c r="IF12" i="1"/>
  <c r="IF13" i="1"/>
  <c r="IF14" i="1"/>
  <c r="IF15" i="1"/>
  <c r="IF16" i="1"/>
  <c r="JR16" i="1" s="1"/>
  <c r="IF17" i="1"/>
  <c r="IF18" i="1"/>
  <c r="IF19" i="1"/>
  <c r="IF20" i="1"/>
  <c r="IE2" i="1"/>
  <c r="JP2" i="1" s="1"/>
  <c r="IE3" i="1"/>
  <c r="IE4" i="1"/>
  <c r="IE5" i="1"/>
  <c r="JP5" i="1" s="1"/>
  <c r="IE6" i="1"/>
  <c r="IE7" i="1"/>
  <c r="IE8" i="1"/>
  <c r="IE9" i="1"/>
  <c r="JQ9" i="1" s="1"/>
  <c r="IE10" i="1"/>
  <c r="JP10" i="1" s="1"/>
  <c r="IE11" i="1"/>
  <c r="IE12" i="1"/>
  <c r="IE13" i="1"/>
  <c r="JP13" i="1" s="1"/>
  <c r="IE14" i="1"/>
  <c r="IE15" i="1"/>
  <c r="IE16" i="1"/>
  <c r="IE17" i="1"/>
  <c r="JQ17" i="1" s="1"/>
  <c r="IE18" i="1"/>
  <c r="JP18" i="1" s="1"/>
  <c r="IE19" i="1"/>
  <c r="IE20" i="1"/>
  <c r="ID2" i="1"/>
  <c r="ID5" i="1"/>
  <c r="ID6" i="1"/>
  <c r="ID7" i="1"/>
  <c r="ID8" i="1"/>
  <c r="ID9" i="1"/>
  <c r="ID11" i="1"/>
  <c r="ID13" i="1"/>
  <c r="ID14" i="1"/>
  <c r="ID15" i="1"/>
  <c r="ID16" i="1"/>
  <c r="ID19" i="1"/>
  <c r="ID20" i="1"/>
  <c r="GP2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O2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N2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GK3" i="1"/>
  <c r="GK2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M20" i="1"/>
  <c r="GL20" i="1"/>
  <c r="GM19" i="1"/>
  <c r="GL19" i="1"/>
  <c r="GM18" i="1"/>
  <c r="GL18" i="1"/>
  <c r="GM17" i="1"/>
  <c r="GL17" i="1"/>
  <c r="GM16" i="1"/>
  <c r="GL16" i="1"/>
  <c r="GM15" i="1"/>
  <c r="GL15" i="1"/>
  <c r="GM14" i="1"/>
  <c r="GL14" i="1"/>
  <c r="GM13" i="1"/>
  <c r="GL13" i="1"/>
  <c r="GM12" i="1"/>
  <c r="GL12" i="1"/>
  <c r="GM11" i="1"/>
  <c r="GL11" i="1"/>
  <c r="GM10" i="1"/>
  <c r="GL10" i="1"/>
  <c r="GM9" i="1"/>
  <c r="GL9" i="1"/>
  <c r="GM8" i="1"/>
  <c r="GL8" i="1"/>
  <c r="GM7" i="1"/>
  <c r="GL7" i="1"/>
  <c r="GM6" i="1"/>
  <c r="GL6" i="1"/>
  <c r="GM5" i="1"/>
  <c r="GL5" i="1"/>
  <c r="GM4" i="1"/>
  <c r="GL4" i="1"/>
  <c r="GM3" i="1"/>
  <c r="GL3" i="1"/>
  <c r="GM2" i="1"/>
  <c r="GL2" i="1"/>
  <c r="JT2" i="22" l="1"/>
  <c r="JS9" i="22"/>
  <c r="JR16" i="22"/>
  <c r="JQ16" i="22" s="1"/>
  <c r="JP16" i="22" s="1"/>
  <c r="JR17" i="22"/>
  <c r="JQ17" i="22" s="1"/>
  <c r="JP17" i="22" s="1"/>
  <c r="JR20" i="22"/>
  <c r="JQ20" i="22" s="1"/>
  <c r="JP20" i="22" s="1"/>
  <c r="JT3" i="22"/>
  <c r="JS7" i="22"/>
  <c r="JS8" i="22"/>
  <c r="JU5" i="22"/>
  <c r="JT7" i="22"/>
  <c r="JT8" i="22"/>
  <c r="JT11" i="22"/>
  <c r="JR11" i="22"/>
  <c r="JQ11" i="22" s="1"/>
  <c r="JP11" i="22" s="1"/>
  <c r="JS15" i="22"/>
  <c r="JS16" i="22"/>
  <c r="JU15" i="22"/>
  <c r="JX2" i="22"/>
  <c r="JX3" i="22"/>
  <c r="JX4" i="22"/>
  <c r="JW6" i="22"/>
  <c r="JW7" i="22"/>
  <c r="JW11" i="22"/>
  <c r="JW12" i="22"/>
  <c r="JW13" i="22"/>
  <c r="JV14" i="22"/>
  <c r="JV18" i="22"/>
  <c r="JY3" i="22"/>
  <c r="JY5" i="22"/>
  <c r="JX6" i="22"/>
  <c r="JX9" i="22"/>
  <c r="JX10" i="22"/>
  <c r="JX11" i="22"/>
  <c r="JW19" i="22"/>
  <c r="JW20" i="22"/>
  <c r="JR2" i="22"/>
  <c r="JQ2" i="22" s="1"/>
  <c r="JP2" i="22" s="1"/>
  <c r="JR4" i="22"/>
  <c r="JQ4" i="22" s="1"/>
  <c r="JP4" i="22" s="1"/>
  <c r="JY9" i="22"/>
  <c r="JY10" i="22"/>
  <c r="JY11" i="22"/>
  <c r="JX17" i="22"/>
  <c r="JX18" i="22"/>
  <c r="JX19" i="22"/>
  <c r="JS2" i="22"/>
  <c r="JS3" i="22"/>
  <c r="JR8" i="22"/>
  <c r="JQ8" i="22" s="1"/>
  <c r="JP8" i="22" s="1"/>
  <c r="JR9" i="22"/>
  <c r="JQ9" i="22" s="1"/>
  <c r="JP9" i="22" s="1"/>
  <c r="JR12" i="22"/>
  <c r="JQ12" i="22" s="1"/>
  <c r="JP12" i="22" s="1"/>
  <c r="JY17" i="22"/>
  <c r="JY18" i="22"/>
  <c r="JW3" i="21"/>
  <c r="JW5" i="21"/>
  <c r="JV6" i="21"/>
  <c r="JV7" i="21"/>
  <c r="JV10" i="21"/>
  <c r="JT10" i="21"/>
  <c r="JT15" i="21"/>
  <c r="JT19" i="21"/>
  <c r="JX2" i="21"/>
  <c r="JW6" i="21"/>
  <c r="JY3" i="21"/>
  <c r="JX9" i="21"/>
  <c r="JX10" i="21"/>
  <c r="JX12" i="21"/>
  <c r="JW19" i="21"/>
  <c r="JY9" i="21"/>
  <c r="JY11" i="21"/>
  <c r="JX17" i="21"/>
  <c r="JX18" i="21"/>
  <c r="JR8" i="21"/>
  <c r="JQ8" i="21" s="1"/>
  <c r="JP8" i="21" s="1"/>
  <c r="JR10" i="21"/>
  <c r="JQ10" i="21" s="1"/>
  <c r="JP10" i="21" s="1"/>
  <c r="JR12" i="21"/>
  <c r="JQ12" i="21" s="1"/>
  <c r="JP12" i="21" s="1"/>
  <c r="JY17" i="21"/>
  <c r="JY19" i="21"/>
  <c r="JS7" i="21"/>
  <c r="JS10" i="21"/>
  <c r="JR16" i="21"/>
  <c r="JQ16" i="21" s="1"/>
  <c r="JP16" i="21" s="1"/>
  <c r="JR18" i="21"/>
  <c r="JQ18" i="21" s="1"/>
  <c r="JP18" i="21" s="1"/>
  <c r="JR20" i="21"/>
  <c r="JQ20" i="21" s="1"/>
  <c r="JP20" i="21" s="1"/>
  <c r="JT3" i="21"/>
  <c r="JU5" i="21"/>
  <c r="JT8" i="21"/>
  <c r="JT9" i="21"/>
  <c r="JS15" i="21"/>
  <c r="JS17" i="21"/>
  <c r="JX2" i="20"/>
  <c r="JX3" i="20"/>
  <c r="JW6" i="20"/>
  <c r="JW7" i="20"/>
  <c r="JW11" i="20"/>
  <c r="JV11" i="20"/>
  <c r="JW13" i="20"/>
  <c r="JV13" i="20"/>
  <c r="JV14" i="20"/>
  <c r="JV16" i="20"/>
  <c r="JV18" i="20"/>
  <c r="JV20" i="20"/>
  <c r="JY2" i="20"/>
  <c r="JY3" i="20"/>
  <c r="JY4" i="20"/>
  <c r="JY5" i="20"/>
  <c r="JX6" i="20"/>
  <c r="JX9" i="20"/>
  <c r="JX11" i="20"/>
  <c r="JW14" i="20"/>
  <c r="JW15" i="20"/>
  <c r="JW19" i="20"/>
  <c r="JV19" i="20"/>
  <c r="JU19" i="20"/>
  <c r="JW20" i="20"/>
  <c r="JT3" i="20"/>
  <c r="JS7" i="20"/>
  <c r="JR7" i="20"/>
  <c r="JQ7" i="20" s="1"/>
  <c r="JP7" i="20" s="1"/>
  <c r="JS9" i="20"/>
  <c r="JS10" i="20"/>
  <c r="JS11" i="20"/>
  <c r="JR16" i="20"/>
  <c r="JQ16" i="20" s="1"/>
  <c r="JP16" i="20" s="1"/>
  <c r="JU5" i="20"/>
  <c r="JT7" i="20"/>
  <c r="JT8" i="20"/>
  <c r="JT9" i="20"/>
  <c r="JT11" i="20"/>
  <c r="JS15" i="20"/>
  <c r="JS16" i="20"/>
  <c r="JS17" i="20"/>
  <c r="JS19" i="20"/>
  <c r="JR19" i="20"/>
  <c r="JQ19" i="20" s="1"/>
  <c r="JP19" i="20" s="1"/>
  <c r="JV2" i="20"/>
  <c r="JV4" i="20"/>
  <c r="JU6" i="20"/>
  <c r="JU7" i="20"/>
  <c r="JU8" i="20"/>
  <c r="JU9" i="20"/>
  <c r="JU13" i="20"/>
  <c r="JT15" i="20"/>
  <c r="JT17" i="20"/>
  <c r="JT19" i="20"/>
  <c r="JW3" i="20"/>
  <c r="JW4" i="20"/>
  <c r="JW5" i="20"/>
  <c r="JV6" i="20"/>
  <c r="JV8" i="20"/>
  <c r="JV10" i="20"/>
  <c r="JV12" i="20"/>
  <c r="JU14" i="20"/>
  <c r="JU15" i="20"/>
  <c r="JU16" i="20"/>
  <c r="JU17" i="20"/>
  <c r="JR2" i="19"/>
  <c r="JQ2" i="19" s="1"/>
  <c r="JP2" i="19" s="1"/>
  <c r="JR3" i="19"/>
  <c r="JQ3" i="19" s="1"/>
  <c r="JP3" i="19" s="1"/>
  <c r="JY9" i="19"/>
  <c r="JY11" i="19"/>
  <c r="JY13" i="19"/>
  <c r="JX14" i="19"/>
  <c r="JX17" i="19"/>
  <c r="JX18" i="19"/>
  <c r="JX20" i="19"/>
  <c r="JS2" i="19"/>
  <c r="JR8" i="19"/>
  <c r="JQ8" i="19" s="1"/>
  <c r="JP8" i="19" s="1"/>
  <c r="JR10" i="19"/>
  <c r="JQ10" i="19" s="1"/>
  <c r="JP10" i="19" s="1"/>
  <c r="JR11" i="19"/>
  <c r="JQ11" i="19" s="1"/>
  <c r="JP11" i="19" s="1"/>
  <c r="JR12" i="19"/>
  <c r="JQ12" i="19" s="1"/>
  <c r="JP12" i="19" s="1"/>
  <c r="JY17" i="19"/>
  <c r="JY19" i="19"/>
  <c r="JY20" i="19"/>
  <c r="JR4" i="19"/>
  <c r="JQ4" i="19" s="1"/>
  <c r="JP4" i="19" s="1"/>
  <c r="JS5" i="19"/>
  <c r="JS15" i="19"/>
  <c r="JV2" i="19"/>
  <c r="JV4" i="19"/>
  <c r="JU7" i="19"/>
  <c r="JT7" i="19"/>
  <c r="JU13" i="19"/>
  <c r="JT14" i="19"/>
  <c r="JW5" i="19"/>
  <c r="JV6" i="19"/>
  <c r="JV7" i="19"/>
  <c r="JV10" i="19"/>
  <c r="JV12" i="19"/>
  <c r="JU15" i="19"/>
  <c r="JT15" i="19"/>
  <c r="JU16" i="19"/>
  <c r="JU17" i="19"/>
  <c r="JX2" i="19"/>
  <c r="JX4" i="19"/>
  <c r="JW6" i="19"/>
  <c r="JW13" i="19"/>
  <c r="JV14" i="19"/>
  <c r="JV15" i="19"/>
  <c r="JV16" i="19"/>
  <c r="JV18" i="19"/>
  <c r="JV20" i="19"/>
  <c r="JY3" i="19"/>
  <c r="JY4" i="19"/>
  <c r="JX9" i="19"/>
  <c r="JX10" i="19"/>
  <c r="JX12" i="19"/>
  <c r="JW14" i="19"/>
  <c r="JW15" i="19"/>
  <c r="JW19" i="19"/>
  <c r="JR18" i="18"/>
  <c r="JQ18" i="18" s="1"/>
  <c r="JP18" i="18" s="1"/>
  <c r="JR20" i="18"/>
  <c r="JQ20" i="18" s="1"/>
  <c r="JP20" i="18" s="1"/>
  <c r="JS18" i="18"/>
  <c r="JS19" i="18"/>
  <c r="JS17" i="18"/>
  <c r="JT18" i="18"/>
  <c r="JU4" i="22"/>
  <c r="JW3" i="22"/>
  <c r="JT6" i="22"/>
  <c r="JR10" i="22"/>
  <c r="JQ10" i="22" s="1"/>
  <c r="JP10" i="22" s="1"/>
  <c r="JS17" i="22"/>
  <c r="JR18" i="22"/>
  <c r="JQ18" i="22" s="1"/>
  <c r="JP18" i="22" s="1"/>
  <c r="JY19" i="22"/>
  <c r="JX20" i="22"/>
  <c r="JY2" i="22"/>
  <c r="JR3" i="22"/>
  <c r="JQ3" i="22" s="1"/>
  <c r="JP3" i="22" s="1"/>
  <c r="JY4" i="22"/>
  <c r="JU8" i="22"/>
  <c r="JT9" i="22"/>
  <c r="JS10" i="22"/>
  <c r="JY12" i="22"/>
  <c r="JV13" i="22"/>
  <c r="JW14" i="22"/>
  <c r="JV15" i="22"/>
  <c r="JU16" i="22"/>
  <c r="JT17" i="22"/>
  <c r="JS18" i="22"/>
  <c r="JR19" i="22"/>
  <c r="JQ19" i="22" s="1"/>
  <c r="JP19" i="22" s="1"/>
  <c r="JY20" i="22"/>
  <c r="JU9" i="22"/>
  <c r="JS11" i="22"/>
  <c r="JX12" i="22"/>
  <c r="JY13" i="22"/>
  <c r="JX14" i="22"/>
  <c r="JW15" i="22"/>
  <c r="JV16" i="22"/>
  <c r="JU17" i="22"/>
  <c r="JT18" i="22"/>
  <c r="JS19" i="22"/>
  <c r="JU2" i="22"/>
  <c r="JS4" i="22"/>
  <c r="JR5" i="22"/>
  <c r="JQ5" i="22" s="1"/>
  <c r="JP5" i="22" s="1"/>
  <c r="JY6" i="22"/>
  <c r="JX7" i="22"/>
  <c r="JW8" i="22"/>
  <c r="JU10" i="22"/>
  <c r="JS12" i="22"/>
  <c r="JR13" i="22"/>
  <c r="JQ13" i="22" s="1"/>
  <c r="JP13" i="22" s="1"/>
  <c r="JY14" i="22"/>
  <c r="JX15" i="22"/>
  <c r="JW16" i="22"/>
  <c r="JV17" i="22"/>
  <c r="JU18" i="22"/>
  <c r="JS20" i="22"/>
  <c r="JU3" i="22"/>
  <c r="JT4" i="22"/>
  <c r="JS5" i="22"/>
  <c r="JR6" i="22"/>
  <c r="JQ6" i="22" s="1"/>
  <c r="JP6" i="22" s="1"/>
  <c r="JY7" i="22"/>
  <c r="JX8" i="22"/>
  <c r="JW9" i="22"/>
  <c r="JT10" i="22"/>
  <c r="JU11" i="22"/>
  <c r="JT12" i="22"/>
  <c r="JS13" i="22"/>
  <c r="JR14" i="22"/>
  <c r="JQ14" i="22" s="1"/>
  <c r="JP14" i="22" s="1"/>
  <c r="JY15" i="22"/>
  <c r="JX16" i="22"/>
  <c r="JW17" i="22"/>
  <c r="JU19" i="22"/>
  <c r="JT20" i="22"/>
  <c r="JW2" i="22"/>
  <c r="JV3" i="22"/>
  <c r="JT5" i="22"/>
  <c r="JS6" i="22"/>
  <c r="JR7" i="22"/>
  <c r="JQ7" i="22" s="1"/>
  <c r="JP7" i="22" s="1"/>
  <c r="JY8" i="22"/>
  <c r="JV9" i="22"/>
  <c r="JW10" i="22"/>
  <c r="JV11" i="22"/>
  <c r="JU12" i="22"/>
  <c r="JT13" i="22"/>
  <c r="JS14" i="22"/>
  <c r="JR15" i="22"/>
  <c r="JQ15" i="22" s="1"/>
  <c r="JP15" i="22" s="1"/>
  <c r="JY16" i="22"/>
  <c r="JW18" i="22"/>
  <c r="JV19" i="22"/>
  <c r="JU20" i="22"/>
  <c r="JY2" i="21"/>
  <c r="JX3" i="21"/>
  <c r="JW4" i="21"/>
  <c r="JU6" i="21"/>
  <c r="JR7" i="21"/>
  <c r="JQ7" i="21" s="1"/>
  <c r="JP7" i="21" s="1"/>
  <c r="JS8" i="21"/>
  <c r="JR9" i="21"/>
  <c r="JQ9" i="21" s="1"/>
  <c r="JP9" i="21" s="1"/>
  <c r="JX11" i="21"/>
  <c r="JW12" i="21"/>
  <c r="JU12" i="21"/>
  <c r="JU14" i="21"/>
  <c r="JS16" i="21"/>
  <c r="JR17" i="21"/>
  <c r="JQ17" i="21" s="1"/>
  <c r="JP17" i="21" s="1"/>
  <c r="JY18" i="21"/>
  <c r="JX19" i="21"/>
  <c r="JW20" i="21"/>
  <c r="JT6" i="21"/>
  <c r="JW11" i="21"/>
  <c r="JS2" i="21"/>
  <c r="JY4" i="21"/>
  <c r="JV5" i="21"/>
  <c r="JY10" i="21"/>
  <c r="JR11" i="21"/>
  <c r="JQ11" i="21" s="1"/>
  <c r="JP11" i="21" s="1"/>
  <c r="JY12" i="21"/>
  <c r="JV13" i="21"/>
  <c r="JW14" i="21"/>
  <c r="JV15" i="21"/>
  <c r="JU16" i="21"/>
  <c r="JT17" i="21"/>
  <c r="JS18" i="21"/>
  <c r="JR19" i="21"/>
  <c r="JQ19" i="21" s="1"/>
  <c r="JP19" i="21" s="1"/>
  <c r="JY20" i="21"/>
  <c r="JS3" i="21"/>
  <c r="JX4" i="21"/>
  <c r="JY5" i="21"/>
  <c r="JX6" i="21"/>
  <c r="JW7" i="21"/>
  <c r="JV8" i="21"/>
  <c r="JU9" i="21"/>
  <c r="JS9" i="21"/>
  <c r="JS11" i="21"/>
  <c r="JY13" i="21"/>
  <c r="JX14" i="21"/>
  <c r="JW15" i="21"/>
  <c r="JV16" i="21"/>
  <c r="JU17" i="21"/>
  <c r="JT18" i="21"/>
  <c r="JS19" i="21"/>
  <c r="JU2" i="21"/>
  <c r="JR3" i="21"/>
  <c r="JQ3" i="21" s="1"/>
  <c r="JP3" i="21" s="1"/>
  <c r="JS4" i="21"/>
  <c r="JR5" i="21"/>
  <c r="JQ5" i="21" s="1"/>
  <c r="JP5" i="21" s="1"/>
  <c r="JY6" i="21"/>
  <c r="JX7" i="21"/>
  <c r="JW8" i="21"/>
  <c r="JU8" i="21"/>
  <c r="JU10" i="21"/>
  <c r="JS12" i="21"/>
  <c r="JR13" i="21"/>
  <c r="JQ13" i="21" s="1"/>
  <c r="JP13" i="21" s="1"/>
  <c r="JY14" i="21"/>
  <c r="JX15" i="21"/>
  <c r="JW16" i="21"/>
  <c r="JU18" i="21"/>
  <c r="JS20" i="21"/>
  <c r="JU3" i="21"/>
  <c r="JT4" i="21"/>
  <c r="JS5" i="21"/>
  <c r="JR6" i="21"/>
  <c r="JQ6" i="21" s="1"/>
  <c r="JP6" i="21" s="1"/>
  <c r="JY7" i="21"/>
  <c r="JW9" i="21"/>
  <c r="JU11" i="21"/>
  <c r="JT12" i="21"/>
  <c r="JS13" i="21"/>
  <c r="JR14" i="21"/>
  <c r="JQ14" i="21" s="1"/>
  <c r="JP14" i="21" s="1"/>
  <c r="JY15" i="21"/>
  <c r="JX16" i="21"/>
  <c r="JW17" i="21"/>
  <c r="JU19" i="21"/>
  <c r="JT20" i="21"/>
  <c r="JW2" i="21"/>
  <c r="JV3" i="21"/>
  <c r="JU4" i="21"/>
  <c r="JT5" i="21"/>
  <c r="JS6" i="21"/>
  <c r="JY8" i="21"/>
  <c r="JV9" i="21"/>
  <c r="JW10" i="21"/>
  <c r="JV11" i="21"/>
  <c r="JT13" i="21"/>
  <c r="JS14" i="21"/>
  <c r="JR15" i="21"/>
  <c r="JQ15" i="21" s="1"/>
  <c r="JP15" i="21" s="1"/>
  <c r="JY16" i="21"/>
  <c r="JV17" i="21"/>
  <c r="JW18" i="21"/>
  <c r="JV19" i="21"/>
  <c r="JU20" i="21"/>
  <c r="JT6" i="20"/>
  <c r="JS8" i="20"/>
  <c r="JX10" i="20"/>
  <c r="JW12" i="20"/>
  <c r="JT14" i="20"/>
  <c r="JX18" i="20"/>
  <c r="JV5" i="20"/>
  <c r="JR9" i="20"/>
  <c r="JQ9" i="20" s="1"/>
  <c r="JP9" i="20" s="1"/>
  <c r="JR17" i="20"/>
  <c r="JQ17" i="20" s="1"/>
  <c r="JP17" i="20" s="1"/>
  <c r="JR18" i="20"/>
  <c r="JQ18" i="20" s="1"/>
  <c r="JP18" i="20" s="1"/>
  <c r="JX4" i="20"/>
  <c r="JX12" i="20"/>
  <c r="JT16" i="20"/>
  <c r="JS18" i="20"/>
  <c r="JX20" i="20"/>
  <c r="JR3" i="20"/>
  <c r="JQ3" i="20" s="1"/>
  <c r="JP3" i="20" s="1"/>
  <c r="JV7" i="20"/>
  <c r="JR11" i="20"/>
  <c r="JQ11" i="20" s="1"/>
  <c r="JP11" i="20" s="1"/>
  <c r="JV15" i="20"/>
  <c r="JU2" i="20"/>
  <c r="JT2" i="20"/>
  <c r="JS4" i="20"/>
  <c r="JR5" i="20"/>
  <c r="JQ5" i="20" s="1"/>
  <c r="JP5" i="20" s="1"/>
  <c r="JY6" i="20"/>
  <c r="JX7" i="20"/>
  <c r="JW8" i="20"/>
  <c r="JU10" i="20"/>
  <c r="JT10" i="20"/>
  <c r="JS12" i="20"/>
  <c r="JY14" i="20"/>
  <c r="JX14" i="20"/>
  <c r="JX15" i="20"/>
  <c r="JW16" i="20"/>
  <c r="JU18" i="20"/>
  <c r="JT18" i="20"/>
  <c r="JS20" i="20"/>
  <c r="JU3" i="20"/>
  <c r="JT4" i="20"/>
  <c r="JS5" i="20"/>
  <c r="JR6" i="20"/>
  <c r="JQ6" i="20" s="1"/>
  <c r="JP6" i="20" s="1"/>
  <c r="JY7" i="20"/>
  <c r="JW9" i="20"/>
  <c r="JV9" i="20"/>
  <c r="JU11" i="20"/>
  <c r="JS13" i="20"/>
  <c r="JR13" i="20"/>
  <c r="JQ13" i="20" s="1"/>
  <c r="JP13" i="20" s="1"/>
  <c r="JR14" i="20"/>
  <c r="JQ14" i="20" s="1"/>
  <c r="JP14" i="20" s="1"/>
  <c r="JY15" i="20"/>
  <c r="JW17" i="20"/>
  <c r="JV17" i="20"/>
  <c r="JW2" i="20"/>
  <c r="JV3" i="20"/>
  <c r="JU4" i="20"/>
  <c r="JT5" i="20"/>
  <c r="JS6" i="20"/>
  <c r="JY8" i="20"/>
  <c r="JX8" i="20"/>
  <c r="JW10" i="20"/>
  <c r="JU12" i="20"/>
  <c r="JT12" i="20"/>
  <c r="JT13" i="20"/>
  <c r="JS14" i="20"/>
  <c r="JY16" i="20"/>
  <c r="JX16" i="20"/>
  <c r="JW18" i="20"/>
  <c r="JU20" i="20"/>
  <c r="JT20" i="20"/>
  <c r="JX3" i="19"/>
  <c r="JW4" i="19"/>
  <c r="JU4" i="19"/>
  <c r="JV5" i="19"/>
  <c r="JU6" i="19"/>
  <c r="JS8" i="19"/>
  <c r="JR9" i="19"/>
  <c r="JQ9" i="19" s="1"/>
  <c r="JP9" i="19" s="1"/>
  <c r="JX11" i="19"/>
  <c r="JW12" i="19"/>
  <c r="JU12" i="19"/>
  <c r="JV13" i="19"/>
  <c r="JU14" i="19"/>
  <c r="JS16" i="19"/>
  <c r="JR17" i="19"/>
  <c r="JQ17" i="19" s="1"/>
  <c r="JP17" i="19" s="1"/>
  <c r="JY18" i="19"/>
  <c r="JX19" i="19"/>
  <c r="JW20" i="19"/>
  <c r="JY2" i="19"/>
  <c r="JY10" i="19"/>
  <c r="JY12" i="19"/>
  <c r="JR19" i="19"/>
  <c r="JQ19" i="19" s="1"/>
  <c r="JP19" i="19" s="1"/>
  <c r="JW3" i="19"/>
  <c r="JT2" i="19"/>
  <c r="JS3" i="19"/>
  <c r="JY5" i="19"/>
  <c r="JX6" i="19"/>
  <c r="JV8" i="19"/>
  <c r="JU9" i="19"/>
  <c r="JS9" i="19"/>
  <c r="JU2" i="19"/>
  <c r="JS4" i="19"/>
  <c r="JR5" i="19"/>
  <c r="JQ5" i="19" s="1"/>
  <c r="JP5" i="19" s="1"/>
  <c r="JX7" i="19"/>
  <c r="JW8" i="19"/>
  <c r="JU8" i="19"/>
  <c r="JV9" i="19"/>
  <c r="JU10" i="19"/>
  <c r="JS12" i="19"/>
  <c r="JR13" i="19"/>
  <c r="JQ13" i="19" s="1"/>
  <c r="JP13" i="19" s="1"/>
  <c r="JY14" i="19"/>
  <c r="JX15" i="19"/>
  <c r="JW16" i="19"/>
  <c r="JV17" i="19"/>
  <c r="JU18" i="19"/>
  <c r="JS20" i="19"/>
  <c r="JU3" i="19"/>
  <c r="JT4" i="19"/>
  <c r="JR6" i="19"/>
  <c r="JQ6" i="19" s="1"/>
  <c r="JP6" i="19" s="1"/>
  <c r="JY7" i="19"/>
  <c r="JW7" i="19"/>
  <c r="JX8" i="19"/>
  <c r="JW9" i="19"/>
  <c r="JU11" i="19"/>
  <c r="JT12" i="19"/>
  <c r="JS13" i="19"/>
  <c r="JR14" i="19"/>
  <c r="JQ14" i="19" s="1"/>
  <c r="JP14" i="19" s="1"/>
  <c r="JY15" i="19"/>
  <c r="JX16" i="19"/>
  <c r="JW17" i="19"/>
  <c r="JU19" i="19"/>
  <c r="JT20" i="19"/>
  <c r="JW11" i="19"/>
  <c r="JW2" i="19"/>
  <c r="JV3" i="19"/>
  <c r="JT5" i="19"/>
  <c r="JS6" i="19"/>
  <c r="JY6" i="19"/>
  <c r="JR7" i="19"/>
  <c r="JQ7" i="19" s="1"/>
  <c r="JP7" i="19" s="1"/>
  <c r="JY8" i="19"/>
  <c r="JW10" i="19"/>
  <c r="JV11" i="19"/>
  <c r="JT13" i="19"/>
  <c r="JS14" i="19"/>
  <c r="JR15" i="19"/>
  <c r="JQ15" i="19" s="1"/>
  <c r="JP15" i="19" s="1"/>
  <c r="JY16" i="19"/>
  <c r="JW18" i="19"/>
  <c r="JV19" i="19"/>
  <c r="JU20" i="19"/>
  <c r="JU15" i="18"/>
  <c r="JY7" i="18"/>
  <c r="JS6" i="18"/>
  <c r="JT8" i="18"/>
  <c r="JT10" i="18"/>
  <c r="JY15" i="18"/>
  <c r="JY19" i="18"/>
  <c r="JU17" i="18"/>
  <c r="JR10" i="18"/>
  <c r="JQ10" i="18" s="1"/>
  <c r="JP10" i="18" s="1"/>
  <c r="JR12" i="18"/>
  <c r="JQ12" i="18" s="1"/>
  <c r="JP12" i="18" s="1"/>
  <c r="GN5" i="18"/>
  <c r="II5" i="18"/>
  <c r="IQ5" i="18"/>
  <c r="IY5" i="18"/>
  <c r="JG5" i="18"/>
  <c r="JO5" i="18"/>
  <c r="JS9" i="18"/>
  <c r="JS10" i="18"/>
  <c r="JS11" i="18"/>
  <c r="GM13" i="18"/>
  <c r="IH13" i="18"/>
  <c r="IP13" i="18"/>
  <c r="IX13" i="18"/>
  <c r="JF13" i="18"/>
  <c r="JN13" i="18"/>
  <c r="JS14" i="18"/>
  <c r="JS2" i="18"/>
  <c r="GO5" i="18"/>
  <c r="IJ5" i="18"/>
  <c r="IR5" i="18"/>
  <c r="IZ5" i="18"/>
  <c r="JH5" i="18"/>
  <c r="JU7" i="18"/>
  <c r="GN13" i="18"/>
  <c r="II13" i="18"/>
  <c r="IQ13" i="18"/>
  <c r="IY13" i="18"/>
  <c r="JG13" i="18"/>
  <c r="JO13" i="18"/>
  <c r="GP5" i="18"/>
  <c r="IK5" i="18"/>
  <c r="IS5" i="18"/>
  <c r="JA5" i="18"/>
  <c r="JI5" i="18"/>
  <c r="JV6" i="18"/>
  <c r="JU9" i="18"/>
  <c r="GO13" i="18"/>
  <c r="IJ13" i="18"/>
  <c r="IR13" i="18"/>
  <c r="IZ13" i="18"/>
  <c r="JH13" i="18"/>
  <c r="GQ5" i="18"/>
  <c r="IL5" i="18"/>
  <c r="IT5" i="18"/>
  <c r="JB5" i="18"/>
  <c r="JJ5" i="18"/>
  <c r="JW7" i="18"/>
  <c r="JV8" i="18"/>
  <c r="GP13" i="18"/>
  <c r="IK13" i="18"/>
  <c r="IS13" i="18"/>
  <c r="JA13" i="18"/>
  <c r="JI13" i="18"/>
  <c r="JV14" i="18"/>
  <c r="JX4" i="18"/>
  <c r="JW4" i="18"/>
  <c r="GR5" i="18"/>
  <c r="IM5" i="18"/>
  <c r="IU5" i="18"/>
  <c r="JC5" i="18"/>
  <c r="JK5" i="18"/>
  <c r="JX6" i="18"/>
  <c r="JW8" i="18"/>
  <c r="GQ13" i="18"/>
  <c r="IL13" i="18"/>
  <c r="IT13" i="18"/>
  <c r="JB13" i="18"/>
  <c r="JJ13" i="18"/>
  <c r="JW15" i="18"/>
  <c r="JV16" i="18"/>
  <c r="JY3" i="18"/>
  <c r="IF5" i="18"/>
  <c r="IN5" i="18"/>
  <c r="IV5" i="18"/>
  <c r="JD5" i="18"/>
  <c r="JL5" i="18"/>
  <c r="JX12" i="18"/>
  <c r="JW12" i="18"/>
  <c r="GR13" i="18"/>
  <c r="IM13" i="18"/>
  <c r="IU13" i="18"/>
  <c r="JC13" i="18"/>
  <c r="JK13" i="18"/>
  <c r="JX14" i="18"/>
  <c r="JW16" i="18"/>
  <c r="JR2" i="18"/>
  <c r="JQ2" i="18" s="1"/>
  <c r="JP2" i="18" s="1"/>
  <c r="GL5" i="18"/>
  <c r="IG5" i="18"/>
  <c r="IO5" i="18"/>
  <c r="IW5" i="18"/>
  <c r="JE5" i="18"/>
  <c r="JY11" i="18"/>
  <c r="IF13" i="18"/>
  <c r="IN13" i="18"/>
  <c r="IV13" i="18"/>
  <c r="JD13" i="18"/>
  <c r="JX20" i="18"/>
  <c r="JW20" i="18"/>
  <c r="JX2" i="18"/>
  <c r="JW3" i="18"/>
  <c r="JV4" i="18"/>
  <c r="JT6" i="18"/>
  <c r="JS7" i="18"/>
  <c r="JR8" i="18"/>
  <c r="JQ8" i="18" s="1"/>
  <c r="JP8" i="18" s="1"/>
  <c r="JY9" i="18"/>
  <c r="JX10" i="18"/>
  <c r="JW11" i="18"/>
  <c r="JV12" i="18"/>
  <c r="JT14" i="18"/>
  <c r="JS15" i="18"/>
  <c r="JR16" i="18"/>
  <c r="JQ16" i="18" s="1"/>
  <c r="JP16" i="18" s="1"/>
  <c r="JY17" i="18"/>
  <c r="JX18" i="18"/>
  <c r="JW19" i="18"/>
  <c r="JV20" i="18"/>
  <c r="JY2" i="18"/>
  <c r="JX3" i="18"/>
  <c r="JU6" i="18"/>
  <c r="JT7" i="18"/>
  <c r="JS8" i="18"/>
  <c r="JR9" i="18"/>
  <c r="JQ9" i="18" s="1"/>
  <c r="JP9" i="18" s="1"/>
  <c r="JY10" i="18"/>
  <c r="JX11" i="18"/>
  <c r="JV13" i="18"/>
  <c r="JU14" i="18"/>
  <c r="JT15" i="18"/>
  <c r="JS16" i="18"/>
  <c r="JR17" i="18"/>
  <c r="JQ17" i="18" s="1"/>
  <c r="JP17" i="18" s="1"/>
  <c r="JY18" i="18"/>
  <c r="JX19" i="18"/>
  <c r="JR3" i="18"/>
  <c r="JQ3" i="18" s="1"/>
  <c r="JP3" i="18" s="1"/>
  <c r="JY4" i="18"/>
  <c r="JX5" i="18"/>
  <c r="JW6" i="18"/>
  <c r="JV7" i="18"/>
  <c r="JU8" i="18"/>
  <c r="JT9" i="18"/>
  <c r="JR11" i="18"/>
  <c r="JQ11" i="18" s="1"/>
  <c r="JP11" i="18" s="1"/>
  <c r="JY12" i="18"/>
  <c r="JW14" i="18"/>
  <c r="JV15" i="18"/>
  <c r="JU16" i="18"/>
  <c r="JT17" i="18"/>
  <c r="JR19" i="18"/>
  <c r="JQ19" i="18" s="1"/>
  <c r="JP19" i="18" s="1"/>
  <c r="JY20" i="18"/>
  <c r="JT2" i="18"/>
  <c r="JS3" i="18"/>
  <c r="JR4" i="18"/>
  <c r="JQ4" i="18" s="1"/>
  <c r="JP4" i="18" s="1"/>
  <c r="JU2" i="18"/>
  <c r="JT3" i="18"/>
  <c r="JS4" i="18"/>
  <c r="JY6" i="18"/>
  <c r="JX7" i="18"/>
  <c r="JV9" i="18"/>
  <c r="JU10" i="18"/>
  <c r="JT11" i="18"/>
  <c r="JS12" i="18"/>
  <c r="JY14" i="18"/>
  <c r="JX15" i="18"/>
  <c r="JV17" i="18"/>
  <c r="JU18" i="18"/>
  <c r="JT19" i="18"/>
  <c r="JS20" i="18"/>
  <c r="JV2" i="18"/>
  <c r="JU3" i="18"/>
  <c r="JT4" i="18"/>
  <c r="JR6" i="18"/>
  <c r="JQ6" i="18" s="1"/>
  <c r="JP6" i="18" s="1"/>
  <c r="JX8" i="18"/>
  <c r="JW9" i="18"/>
  <c r="JV10" i="18"/>
  <c r="JU11" i="18"/>
  <c r="JT12" i="18"/>
  <c r="JR14" i="18"/>
  <c r="JQ14" i="18" s="1"/>
  <c r="JP14" i="18" s="1"/>
  <c r="JX16" i="18"/>
  <c r="JW17" i="18"/>
  <c r="JV18" i="18"/>
  <c r="JU19" i="18"/>
  <c r="JT20" i="18"/>
  <c r="JW2" i="18"/>
  <c r="JV3" i="18"/>
  <c r="JU4" i="18"/>
  <c r="JR7" i="18"/>
  <c r="JQ7" i="18" s="1"/>
  <c r="JP7" i="18" s="1"/>
  <c r="JY8" i="18"/>
  <c r="JX9" i="18"/>
  <c r="JW10" i="18"/>
  <c r="JV11" i="18"/>
  <c r="JU12" i="18"/>
  <c r="JR15" i="18"/>
  <c r="JQ15" i="18" s="1"/>
  <c r="JP15" i="18" s="1"/>
  <c r="JY16" i="18"/>
  <c r="JX17" i="18"/>
  <c r="JW18" i="18"/>
  <c r="JV19" i="18"/>
  <c r="JU20" i="18"/>
  <c r="JW16" i="16"/>
  <c r="JT16" i="16"/>
  <c r="JS12" i="16"/>
  <c r="JT20" i="16"/>
  <c r="JT12" i="16"/>
  <c r="JT15" i="16"/>
  <c r="JW6" i="16"/>
  <c r="JW10" i="16"/>
  <c r="JT19" i="16"/>
  <c r="JY5" i="17"/>
  <c r="JT9" i="17"/>
  <c r="JR9" i="17"/>
  <c r="JQ9" i="17" s="1"/>
  <c r="JP9" i="17" s="1"/>
  <c r="JR11" i="17"/>
  <c r="JQ11" i="17" s="1"/>
  <c r="JP11" i="17" s="1"/>
  <c r="JY13" i="17"/>
  <c r="JR17" i="17"/>
  <c r="JQ17" i="17" s="1"/>
  <c r="JP17" i="17" s="1"/>
  <c r="JV8" i="17"/>
  <c r="JT8" i="17"/>
  <c r="JT10" i="17"/>
  <c r="JS12" i="17"/>
  <c r="JT16" i="17"/>
  <c r="JU3" i="17"/>
  <c r="JS5" i="17"/>
  <c r="JX7" i="17"/>
  <c r="JV7" i="17"/>
  <c r="JV9" i="17"/>
  <c r="JV15" i="17"/>
  <c r="JV17" i="17"/>
  <c r="JW2" i="17"/>
  <c r="JX6" i="17"/>
  <c r="JY8" i="17"/>
  <c r="JS14" i="17"/>
  <c r="JX14" i="17"/>
  <c r="JX16" i="17"/>
  <c r="JW3" i="17"/>
  <c r="JU5" i="17"/>
  <c r="JT5" i="17"/>
  <c r="JR5" i="17"/>
  <c r="JQ5" i="17" s="1"/>
  <c r="JP5" i="17" s="1"/>
  <c r="JT6" i="17"/>
  <c r="JS7" i="17"/>
  <c r="JY9" i="17"/>
  <c r="JW11" i="17"/>
  <c r="JU13" i="17"/>
  <c r="JR13" i="17"/>
  <c r="JQ13" i="17" s="1"/>
  <c r="JP13" i="17" s="1"/>
  <c r="JS15" i="17"/>
  <c r="JR15" i="17"/>
  <c r="JQ15" i="17" s="1"/>
  <c r="JP15" i="17" s="1"/>
  <c r="JY17" i="17"/>
  <c r="JW19" i="17"/>
  <c r="JU19" i="17"/>
  <c r="JV20" i="17"/>
  <c r="JY2" i="17"/>
  <c r="JW4" i="17"/>
  <c r="JV4" i="17"/>
  <c r="JT4" i="17"/>
  <c r="JV5" i="17"/>
  <c r="JU6" i="17"/>
  <c r="JS8" i="17"/>
  <c r="JY10" i="17"/>
  <c r="JW12" i="17"/>
  <c r="JV12" i="17"/>
  <c r="JT12" i="17"/>
  <c r="JU14" i="17"/>
  <c r="JT14" i="17"/>
  <c r="JS16" i="17"/>
  <c r="JY18" i="17"/>
  <c r="JX19" i="17"/>
  <c r="JW20" i="17"/>
  <c r="JT20" i="17"/>
  <c r="JY3" i="17"/>
  <c r="JX3" i="17"/>
  <c r="JV3" i="17"/>
  <c r="JX4" i="17"/>
  <c r="JW5" i="17"/>
  <c r="JU7" i="17"/>
  <c r="JS9" i="17"/>
  <c r="JY11" i="17"/>
  <c r="JX11" i="17"/>
  <c r="JV11" i="17"/>
  <c r="JW13" i="17"/>
  <c r="JV13" i="17"/>
  <c r="JU15" i="17"/>
  <c r="JS17" i="17"/>
  <c r="JR18" i="17"/>
  <c r="JQ18" i="17" s="1"/>
  <c r="JP18" i="17" s="1"/>
  <c r="JY19" i="17"/>
  <c r="JV19" i="17"/>
  <c r="JX20" i="17"/>
  <c r="JQ4" i="16"/>
  <c r="JP4" i="16" s="1"/>
  <c r="JQ16" i="16"/>
  <c r="JP16" i="16" s="1"/>
  <c r="JQ12" i="16"/>
  <c r="JP12" i="16" s="1"/>
  <c r="JQ17" i="16"/>
  <c r="JP17" i="16" s="1"/>
  <c r="JQ20" i="16"/>
  <c r="JP20" i="16" s="1"/>
  <c r="JQ9" i="16"/>
  <c r="JP9" i="16" s="1"/>
  <c r="JQ8" i="16"/>
  <c r="JP8" i="16" s="1"/>
  <c r="JQ3" i="16"/>
  <c r="JP3" i="16" s="1"/>
  <c r="JQ11" i="16"/>
  <c r="JP11" i="16" s="1"/>
  <c r="JQ19" i="16"/>
  <c r="JP19" i="16" s="1"/>
  <c r="JQ7" i="16"/>
  <c r="JP7" i="16" s="1"/>
  <c r="JQ15" i="16"/>
  <c r="JP15" i="16" s="1"/>
  <c r="JQ13" i="16"/>
  <c r="JP13" i="16" s="1"/>
  <c r="JQ5" i="16"/>
  <c r="JP5" i="16" s="1"/>
  <c r="JQ2" i="16"/>
  <c r="JP2" i="16" s="1"/>
  <c r="JQ6" i="16"/>
  <c r="JP6" i="16" s="1"/>
  <c r="JQ10" i="16"/>
  <c r="JP10" i="16" s="1"/>
  <c r="JQ14" i="16"/>
  <c r="JP14" i="16" s="1"/>
  <c r="JQ18" i="16"/>
  <c r="JP18" i="16" s="1"/>
  <c r="JW2" i="10"/>
  <c r="JU20" i="10"/>
  <c r="JV20" i="10"/>
  <c r="JU6" i="10"/>
  <c r="JT7" i="10"/>
  <c r="JS8" i="10"/>
  <c r="JR9" i="10"/>
  <c r="JQ9" i="10" s="1"/>
  <c r="JP9" i="10" s="1"/>
  <c r="JR10" i="10"/>
  <c r="JQ10" i="10" s="1"/>
  <c r="JP10" i="10" s="1"/>
  <c r="JX11" i="10"/>
  <c r="JS17" i="10"/>
  <c r="JY17" i="10"/>
  <c r="JX19" i="10"/>
  <c r="JX5" i="10"/>
  <c r="JW5" i="10"/>
  <c r="JX6" i="10"/>
  <c r="JW7" i="10"/>
  <c r="JV16" i="10"/>
  <c r="JV17" i="10"/>
  <c r="JS5" i="10"/>
  <c r="JU2" i="10"/>
  <c r="JS4" i="10"/>
  <c r="JY7" i="10"/>
  <c r="JW9" i="10"/>
  <c r="JU11" i="10"/>
  <c r="JT13" i="10"/>
  <c r="JR14" i="10"/>
  <c r="JQ14" i="10" s="1"/>
  <c r="JP14" i="10" s="1"/>
  <c r="JY15" i="10"/>
  <c r="JX16" i="10"/>
  <c r="JU18" i="10"/>
  <c r="JT20" i="10"/>
  <c r="JS6" i="10"/>
  <c r="JY9" i="10"/>
  <c r="JX10" i="10"/>
  <c r="JS15" i="10"/>
  <c r="JW11" i="10"/>
  <c r="JW13" i="10"/>
  <c r="JY4" i="10"/>
  <c r="JR18" i="10"/>
  <c r="JQ18" i="10" s="1"/>
  <c r="JP18" i="10" s="1"/>
  <c r="JS3" i="10"/>
  <c r="JR3" i="10"/>
  <c r="JQ3" i="10" s="1"/>
  <c r="JP3" i="10" s="1"/>
  <c r="JU16" i="10"/>
  <c r="JR5" i="10"/>
  <c r="JQ5" i="10" s="1"/>
  <c r="JP5" i="10" s="1"/>
  <c r="JV8" i="10"/>
  <c r="JU10" i="10"/>
  <c r="JT10" i="10"/>
  <c r="JT18" i="10"/>
  <c r="JU3" i="10"/>
  <c r="JY6" i="10"/>
  <c r="JX7" i="10"/>
  <c r="JW8" i="10"/>
  <c r="JV9" i="10"/>
  <c r="JT11" i="10"/>
  <c r="JR20" i="10"/>
  <c r="JQ20" i="10" s="1"/>
  <c r="JP20" i="10" s="1"/>
  <c r="JS12" i="10"/>
  <c r="JW17" i="10"/>
  <c r="JS19" i="10"/>
  <c r="JW10" i="10"/>
  <c r="JX3" i="10"/>
  <c r="JW4" i="10"/>
  <c r="JR7" i="10"/>
  <c r="JQ7" i="10" s="1"/>
  <c r="JP7" i="10" s="1"/>
  <c r="JY8" i="10"/>
  <c r="JX9" i="10"/>
  <c r="JV11" i="10"/>
  <c r="JY14" i="10"/>
  <c r="JX15" i="10"/>
  <c r="JU17" i="10"/>
  <c r="JY19" i="10"/>
  <c r="JY16" i="10"/>
  <c r="JV18" i="10"/>
  <c r="JY3" i="10"/>
  <c r="JS10" i="10"/>
  <c r="JW12" i="10"/>
  <c r="JW18" i="10"/>
  <c r="JT3" i="10"/>
  <c r="JW6" i="10"/>
  <c r="JU8" i="10"/>
  <c r="JT9" i="10"/>
  <c r="JR11" i="10"/>
  <c r="JQ11" i="10" s="1"/>
  <c r="JP11" i="10" s="1"/>
  <c r="JX12" i="10"/>
  <c r="JU14" i="10"/>
  <c r="JT15" i="10"/>
  <c r="JS16" i="10"/>
  <c r="JS20" i="10"/>
  <c r="JY2" i="10"/>
  <c r="JR13" i="10"/>
  <c r="JQ13" i="10" s="1"/>
  <c r="JP13" i="10" s="1"/>
  <c r="JT17" i="10"/>
  <c r="JR12" i="10"/>
  <c r="JQ12" i="10" s="1"/>
  <c r="JP12" i="10" s="1"/>
  <c r="JY5" i="10"/>
  <c r="JY10" i="10"/>
  <c r="JV10" i="10"/>
  <c r="JS13" i="10"/>
  <c r="JS18" i="10"/>
  <c r="JW20" i="10"/>
  <c r="JV7" i="10"/>
  <c r="JU7" i="10"/>
  <c r="JT12" i="10"/>
  <c r="JT5" i="10"/>
  <c r="JS9" i="10"/>
  <c r="JV13" i="10"/>
  <c r="JX17" i="10"/>
  <c r="JU5" i="10"/>
  <c r="JV5" i="10"/>
  <c r="JX13" i="10"/>
  <c r="JR17" i="10"/>
  <c r="JQ17" i="10" s="1"/>
  <c r="JP17" i="10" s="1"/>
  <c r="JT2" i="10"/>
  <c r="JX2" i="10"/>
  <c r="JR2" i="10"/>
  <c r="JQ2" i="10" s="1"/>
  <c r="JP2" i="10" s="1"/>
  <c r="JR16" i="10"/>
  <c r="JQ16" i="10" s="1"/>
  <c r="JP16" i="10" s="1"/>
  <c r="JT6" i="10"/>
  <c r="JR6" i="10"/>
  <c r="JQ6" i="10" s="1"/>
  <c r="JP6" i="10" s="1"/>
  <c r="JS11" i="10"/>
  <c r="JY11" i="10"/>
  <c r="JV19" i="10"/>
  <c r="JW15" i="10"/>
  <c r="JU9" i="10"/>
  <c r="JV4" i="10"/>
  <c r="JU4" i="10"/>
  <c r="JT4" i="10"/>
  <c r="JT14" i="10"/>
  <c r="JR8" i="10"/>
  <c r="JQ8" i="10" s="1"/>
  <c r="JP8" i="10" s="1"/>
  <c r="JX8" i="10"/>
  <c r="JV12" i="10"/>
  <c r="JY13" i="10"/>
  <c r="JX18" i="10"/>
  <c r="JV2" i="10"/>
  <c r="JW6" i="7"/>
  <c r="JY12" i="7"/>
  <c r="JT15" i="7"/>
  <c r="JT7" i="7"/>
  <c r="JU18" i="7"/>
  <c r="JU10" i="7"/>
  <c r="JU2" i="7"/>
  <c r="JV13" i="7"/>
  <c r="JX11" i="7"/>
  <c r="JX3" i="7"/>
  <c r="JY14" i="7"/>
  <c r="JY6" i="7"/>
  <c r="JS20" i="7"/>
  <c r="JX19" i="7"/>
  <c r="JS4" i="7"/>
  <c r="JW8" i="7"/>
  <c r="JS18" i="7"/>
  <c r="JS10" i="7"/>
  <c r="JS2" i="7"/>
  <c r="JT5" i="7"/>
  <c r="JU16" i="7"/>
  <c r="JU8" i="7"/>
  <c r="JV11" i="7"/>
  <c r="JV3" i="7"/>
  <c r="JW14" i="7"/>
  <c r="JX17" i="7"/>
  <c r="JX9" i="7"/>
  <c r="JY20" i="7"/>
  <c r="JY4" i="7"/>
  <c r="JW16" i="7"/>
  <c r="JS12" i="7"/>
  <c r="JV5" i="7"/>
  <c r="JR3" i="7"/>
  <c r="JQ3" i="7" s="1"/>
  <c r="JP3" i="7" s="1"/>
  <c r="JT9" i="7"/>
  <c r="JV15" i="7"/>
  <c r="JW2" i="7"/>
  <c r="JX13" i="7"/>
  <c r="JX5" i="7"/>
  <c r="JY16" i="7"/>
  <c r="JY8" i="7"/>
  <c r="JR18" i="7"/>
  <c r="JQ18" i="7" s="1"/>
  <c r="JP18" i="7" s="1"/>
  <c r="JR10" i="7"/>
  <c r="JQ10" i="7" s="1"/>
  <c r="JP10" i="7" s="1"/>
  <c r="JR2" i="7"/>
  <c r="JQ2" i="7" s="1"/>
  <c r="JP2" i="7" s="1"/>
  <c r="JS13" i="7"/>
  <c r="JS5" i="7"/>
  <c r="JT16" i="7"/>
  <c r="JT8" i="7"/>
  <c r="JU19" i="7"/>
  <c r="JU11" i="7"/>
  <c r="JU3" i="7"/>
  <c r="JV14" i="7"/>
  <c r="JV6" i="7"/>
  <c r="JW17" i="7"/>
  <c r="JW9" i="7"/>
  <c r="JX20" i="7"/>
  <c r="JX12" i="7"/>
  <c r="JX4" i="7"/>
  <c r="JY15" i="7"/>
  <c r="JY7" i="7"/>
  <c r="JR19" i="7"/>
  <c r="JQ19" i="7" s="1"/>
  <c r="JP19" i="7" s="1"/>
  <c r="JT17" i="7"/>
  <c r="JV7" i="7"/>
  <c r="JR16" i="7"/>
  <c r="JQ16" i="7" s="1"/>
  <c r="JP16" i="7" s="1"/>
  <c r="JR8" i="7"/>
  <c r="JQ8" i="7" s="1"/>
  <c r="JP8" i="7" s="1"/>
  <c r="JS19" i="7"/>
  <c r="JS11" i="7"/>
  <c r="JS3" i="7"/>
  <c r="JT14" i="7"/>
  <c r="JT6" i="7"/>
  <c r="JU17" i="7"/>
  <c r="JU9" i="7"/>
  <c r="JV20" i="7"/>
  <c r="JV12" i="7"/>
  <c r="JV4" i="7"/>
  <c r="JW15" i="7"/>
  <c r="JW7" i="7"/>
  <c r="JX18" i="7"/>
  <c r="JX10" i="7"/>
  <c r="JX2" i="7"/>
  <c r="JY13" i="7"/>
  <c r="JY5" i="7"/>
  <c r="JR11" i="7"/>
  <c r="JQ11" i="7" s="1"/>
  <c r="JP11" i="7" s="1"/>
  <c r="JU20" i="7"/>
  <c r="JR15" i="7"/>
  <c r="JQ15" i="7" s="1"/>
  <c r="JP15" i="7" s="1"/>
  <c r="JR7" i="7"/>
  <c r="JQ7" i="7" s="1"/>
  <c r="JP7" i="7" s="1"/>
  <c r="JR14" i="7"/>
  <c r="JQ14" i="7" s="1"/>
  <c r="JP14" i="7" s="1"/>
  <c r="JR6" i="7"/>
  <c r="JQ6" i="7" s="1"/>
  <c r="JP6" i="7" s="1"/>
  <c r="JS17" i="7"/>
  <c r="JS9" i="7"/>
  <c r="JT20" i="7"/>
  <c r="JT12" i="7"/>
  <c r="JT4" i="7"/>
  <c r="JU15" i="7"/>
  <c r="JU7" i="7"/>
  <c r="JV18" i="7"/>
  <c r="JV10" i="7"/>
  <c r="JV2" i="7"/>
  <c r="JW13" i="7"/>
  <c r="JW5" i="7"/>
  <c r="JX16" i="7"/>
  <c r="JX8" i="7"/>
  <c r="JY19" i="7"/>
  <c r="JY11" i="7"/>
  <c r="JY3" i="7"/>
  <c r="JR17" i="7"/>
  <c r="JQ17" i="7" s="1"/>
  <c r="JP17" i="7" s="1"/>
  <c r="JR9" i="7"/>
  <c r="JQ9" i="7" s="1"/>
  <c r="JP9" i="7" s="1"/>
  <c r="JS6" i="7"/>
  <c r="JU12" i="7"/>
  <c r="JW18" i="7"/>
  <c r="JS14" i="7"/>
  <c r="JU4" i="7"/>
  <c r="JW10" i="7"/>
  <c r="JR13" i="7"/>
  <c r="JQ13" i="7" s="1"/>
  <c r="JP13" i="7" s="1"/>
  <c r="JR5" i="7"/>
  <c r="JQ5" i="7" s="1"/>
  <c r="JP5" i="7" s="1"/>
  <c r="JS16" i="7"/>
  <c r="JS8" i="7"/>
  <c r="JT19" i="7"/>
  <c r="JT11" i="7"/>
  <c r="JT3" i="7"/>
  <c r="JU14" i="7"/>
  <c r="JU6" i="7"/>
  <c r="JV17" i="7"/>
  <c r="JV9" i="7"/>
  <c r="JW20" i="7"/>
  <c r="JW12" i="7"/>
  <c r="JW4" i="7"/>
  <c r="JX15" i="7"/>
  <c r="JX7" i="7"/>
  <c r="JY18" i="7"/>
  <c r="JY10" i="7"/>
  <c r="JY2" i="7"/>
  <c r="JT17" i="1"/>
  <c r="JT9" i="1"/>
  <c r="JS14" i="1"/>
  <c r="JS6" i="1"/>
  <c r="JW20" i="1"/>
  <c r="JW12" i="1"/>
  <c r="JW4" i="1"/>
  <c r="JU20" i="1"/>
  <c r="JU12" i="1"/>
  <c r="JU4" i="1"/>
  <c r="JQ16" i="1"/>
  <c r="JQ8" i="1"/>
  <c r="JR19" i="1"/>
  <c r="JR11" i="1"/>
  <c r="JR3" i="1"/>
  <c r="JT14" i="1"/>
  <c r="JT6" i="1"/>
  <c r="JV17" i="1"/>
  <c r="JV9" i="1"/>
  <c r="JV2" i="1"/>
  <c r="JP15" i="1"/>
  <c r="JP7" i="1"/>
  <c r="JR18" i="1"/>
  <c r="JR10" i="1"/>
  <c r="JQ2" i="1"/>
  <c r="JU13" i="1"/>
  <c r="JU5" i="1"/>
  <c r="JV16" i="1"/>
  <c r="JV8" i="1"/>
  <c r="JP20" i="1"/>
  <c r="JP12" i="1"/>
  <c r="JP4" i="1"/>
  <c r="JS15" i="1"/>
  <c r="JS7" i="1"/>
  <c r="JW13" i="1"/>
  <c r="JW5" i="1"/>
  <c r="JO20" i="1"/>
  <c r="JN20" i="1" s="1"/>
  <c r="JV13" i="1"/>
  <c r="JO18" i="1"/>
  <c r="JN18" i="1" s="1"/>
  <c r="JO10" i="1"/>
  <c r="JN10" i="1" s="1"/>
  <c r="JT15" i="1"/>
  <c r="JT7" i="1"/>
  <c r="JQ19" i="1"/>
  <c r="JQ11" i="1"/>
  <c r="JQ3" i="1"/>
  <c r="JR6" i="1"/>
  <c r="JV20" i="1"/>
  <c r="JV12" i="1"/>
  <c r="JV4" i="1"/>
  <c r="JU2" i="1"/>
  <c r="JS16" i="1"/>
  <c r="JS8" i="1"/>
  <c r="JW2" i="1"/>
  <c r="JV5" i="1"/>
  <c r="JR15" i="1"/>
  <c r="JT13" i="1"/>
  <c r="JT5" i="1"/>
  <c r="JW18" i="1"/>
  <c r="JW10" i="1"/>
  <c r="JO19" i="1"/>
  <c r="JN19" i="1" s="1"/>
  <c r="JO11" i="1"/>
  <c r="JN11" i="1" s="1"/>
  <c r="JO3" i="1"/>
  <c r="JN3" i="1" s="1"/>
  <c r="JP14" i="1"/>
  <c r="JP6" i="1"/>
  <c r="JS17" i="1"/>
  <c r="JS9" i="1"/>
  <c r="JV15" i="1"/>
  <c r="JV7" i="1"/>
  <c r="JM4" i="6"/>
  <c r="JM5" i="6"/>
  <c r="JM9" i="6"/>
  <c r="JM17" i="6"/>
  <c r="JM20" i="6"/>
  <c r="JM6" i="6"/>
  <c r="JM10" i="6"/>
  <c r="JO3" i="6"/>
  <c r="JN4" i="6"/>
  <c r="JT6" i="6"/>
  <c r="JR8" i="6"/>
  <c r="JP10" i="6"/>
  <c r="JO11" i="6"/>
  <c r="JN12" i="6"/>
  <c r="JT14" i="6"/>
  <c r="JR16" i="6"/>
  <c r="JP18" i="6"/>
  <c r="JO19" i="6"/>
  <c r="JN20" i="6"/>
  <c r="JP3" i="6"/>
  <c r="JN5" i="6"/>
  <c r="JT7" i="6"/>
  <c r="JR9" i="6"/>
  <c r="JP11" i="6"/>
  <c r="JN13" i="6"/>
  <c r="JT15" i="6"/>
  <c r="JR17" i="6"/>
  <c r="JP19" i="6"/>
  <c r="JT8" i="6"/>
  <c r="JT16" i="6"/>
  <c r="JP20" i="6"/>
  <c r="JR4" i="6"/>
  <c r="JP6" i="6"/>
  <c r="JN8" i="6"/>
  <c r="JT10" i="6"/>
  <c r="JR12" i="6"/>
  <c r="JP14" i="6"/>
  <c r="JN16" i="6"/>
  <c r="JT18" i="6"/>
  <c r="JR20" i="6"/>
  <c r="JT3" i="6"/>
  <c r="JR5" i="6"/>
  <c r="JP7" i="6"/>
  <c r="JN9" i="6"/>
  <c r="JT11" i="6"/>
  <c r="JR13" i="6"/>
  <c r="JP15" i="6"/>
  <c r="JN17" i="6"/>
  <c r="JT19" i="6"/>
  <c r="JT4" i="6"/>
  <c r="JT12" i="6"/>
  <c r="JT20" i="6"/>
  <c r="JR14" i="1"/>
  <c r="JR13" i="1"/>
  <c r="JR5" i="1"/>
  <c r="JR20" i="1"/>
  <c r="JR12" i="1"/>
  <c r="JR4" i="1"/>
  <c r="JR17" i="1"/>
  <c r="JR9" i="1"/>
  <c r="JO7" i="1"/>
  <c r="JN7" i="1" s="1"/>
  <c r="JO16" i="1"/>
  <c r="JN16" i="1" s="1"/>
  <c r="JO15" i="1"/>
  <c r="JN15" i="1" s="1"/>
  <c r="JO14" i="1"/>
  <c r="JN14" i="1" s="1"/>
  <c r="JO6" i="1"/>
  <c r="JN6" i="1" s="1"/>
  <c r="JO17" i="1"/>
  <c r="JN17" i="1" s="1"/>
  <c r="JO13" i="1"/>
  <c r="JN13" i="1" s="1"/>
  <c r="JO5" i="1"/>
  <c r="JN5" i="1" s="1"/>
  <c r="JO9" i="1"/>
  <c r="JN9" i="1" s="1"/>
  <c r="JO8" i="1"/>
  <c r="JN8" i="1" s="1"/>
  <c r="JO12" i="1"/>
  <c r="JN12" i="1" s="1"/>
  <c r="JO4" i="1"/>
  <c r="JN4" i="1" s="1"/>
  <c r="JO2" i="1"/>
  <c r="JN2" i="1" s="1"/>
  <c r="JR7" i="1"/>
  <c r="JP19" i="1"/>
  <c r="JP11" i="1"/>
  <c r="JP3" i="1"/>
  <c r="JP17" i="1"/>
  <c r="JP9" i="1"/>
  <c r="JV19" i="1"/>
  <c r="JU19" i="1"/>
  <c r="JW17" i="1"/>
  <c r="JP16" i="1"/>
  <c r="JQ15" i="1"/>
  <c r="JS13" i="1"/>
  <c r="JU11" i="1"/>
  <c r="JW9" i="1"/>
  <c r="JP8" i="1"/>
  <c r="JQ7" i="1"/>
  <c r="JS5" i="1"/>
  <c r="JU3" i="1"/>
  <c r="JV11" i="1"/>
  <c r="JV3" i="1"/>
  <c r="JS20" i="1"/>
  <c r="JU18" i="1"/>
  <c r="JW16" i="1"/>
  <c r="JQ14" i="1"/>
  <c r="JS12" i="1"/>
  <c r="JU10" i="1"/>
  <c r="JW8" i="1"/>
  <c r="JQ6" i="1"/>
  <c r="JS4" i="1"/>
  <c r="JS19" i="1"/>
  <c r="JU17" i="1"/>
  <c r="JW15" i="1"/>
  <c r="JQ13" i="1"/>
  <c r="JS11" i="1"/>
  <c r="JU9" i="1"/>
  <c r="JW7" i="1"/>
  <c r="JQ5" i="1"/>
  <c r="JS3" i="1"/>
  <c r="JQ20" i="1"/>
  <c r="JS18" i="1"/>
  <c r="JU16" i="1"/>
  <c r="JW14" i="1"/>
  <c r="JQ12" i="1"/>
  <c r="JS10" i="1"/>
  <c r="JU8" i="1"/>
  <c r="JW6" i="1"/>
  <c r="JQ4" i="1"/>
  <c r="JQ18" i="1"/>
  <c r="JU14" i="1"/>
  <c r="JQ10" i="1"/>
  <c r="JU6" i="1"/>
  <c r="JR13" i="18" l="1"/>
  <c r="JQ13" i="18" s="1"/>
  <c r="JP13" i="18" s="1"/>
  <c r="JY13" i="18"/>
  <c r="JV5" i="18"/>
  <c r="JU13" i="18"/>
  <c r="JS5" i="18"/>
  <c r="JX13" i="18"/>
  <c r="JR5" i="18"/>
  <c r="JQ5" i="18" s="1"/>
  <c r="JP5" i="18" s="1"/>
  <c r="JS13" i="18"/>
  <c r="JT5" i="18"/>
  <c r="JT13" i="18"/>
  <c r="JW5" i="18"/>
  <c r="JU5" i="18"/>
  <c r="JY5" i="18"/>
  <c r="JW13" i="18"/>
</calcChain>
</file>

<file path=xl/sharedStrings.xml><?xml version="1.0" encoding="utf-8"?>
<sst xmlns="http://schemas.openxmlformats.org/spreadsheetml/2006/main" count="9531" uniqueCount="415">
  <si>
    <t>Number</t>
  </si>
  <si>
    <t>Structure Name</t>
  </si>
  <si>
    <t>Body of water</t>
  </si>
  <si>
    <t>Lattitude</t>
  </si>
  <si>
    <t>Longitude</t>
  </si>
  <si>
    <t>Depth50</t>
  </si>
  <si>
    <t>Depth10</t>
  </si>
  <si>
    <t>Depth100</t>
  </si>
  <si>
    <t>Depth500</t>
  </si>
  <si>
    <t>Depth0_area</t>
  </si>
  <si>
    <t>Depth0_wet</t>
  </si>
  <si>
    <t>Depth10_area</t>
  </si>
  <si>
    <t>Depth10_wet</t>
  </si>
  <si>
    <t>Depth50_area</t>
  </si>
  <si>
    <t>Depth50_wet</t>
  </si>
  <si>
    <t>Depth100_area</t>
  </si>
  <si>
    <t>Depth100_wet</t>
  </si>
  <si>
    <t>Depth500_area</t>
  </si>
  <si>
    <t>Depth500_wet</t>
  </si>
  <si>
    <t>Depth0_HydraulicRadius</t>
  </si>
  <si>
    <t>Depth10_HydraulicRadius</t>
  </si>
  <si>
    <t>Depth50_HydraulicRadius</t>
  </si>
  <si>
    <t>Depth100_HydraulicRadius</t>
  </si>
  <si>
    <t>Depth500_HydraulicRadius</t>
  </si>
  <si>
    <t>Slope</t>
  </si>
  <si>
    <t>Foundation_Depth</t>
  </si>
  <si>
    <t>Depth10_velocity</t>
  </si>
  <si>
    <t>Depth50_velocity</t>
  </si>
  <si>
    <t>Depth100_velocity</t>
  </si>
  <si>
    <t>Depth500_velocity</t>
  </si>
  <si>
    <t>Depth10_Froud</t>
  </si>
  <si>
    <t>Depth50_Froud</t>
  </si>
  <si>
    <t>Depth100_Froud</t>
  </si>
  <si>
    <t>Depth500_Froud</t>
  </si>
  <si>
    <t>Depth10_Scour</t>
  </si>
  <si>
    <t>Depth50_Scour</t>
  </si>
  <si>
    <t>Depth100_Scour</t>
  </si>
  <si>
    <t>Depth500_Scour</t>
  </si>
  <si>
    <t>Depth10_Soil_vol</t>
  </si>
  <si>
    <t>Depth50_Soil_vol</t>
  </si>
  <si>
    <t>Depth100_Soil_vol</t>
  </si>
  <si>
    <t>Depth500_Soil_vol</t>
  </si>
  <si>
    <t>Foundation_Width</t>
  </si>
  <si>
    <t>Foundation_length</t>
  </si>
  <si>
    <t>Shape</t>
  </si>
  <si>
    <t>Depth10_Rating</t>
  </si>
  <si>
    <t>Depth50_Rating</t>
  </si>
  <si>
    <t>Depth100_Rating</t>
  </si>
  <si>
    <t>Depth500_Rating</t>
  </si>
  <si>
    <t>STATE_CODE_001</t>
  </si>
  <si>
    <t>STRUCTURE_NUMBER_008</t>
  </si>
  <si>
    <t>LAT_016</t>
  </si>
  <si>
    <t>LONG_017</t>
  </si>
  <si>
    <t>RECORD_TYPE_005A</t>
  </si>
  <si>
    <t>ROUTE_PREFIX_005B</t>
  </si>
  <si>
    <t>SERVICE_LEVEL_005C</t>
  </si>
  <si>
    <t>ROUTE_NUMBER_005D</t>
  </si>
  <si>
    <t>DIRECTION_005E</t>
  </si>
  <si>
    <t>HIGHWAY_DISTRICT_002</t>
  </si>
  <si>
    <t>COUNTY_CODE_003</t>
  </si>
  <si>
    <t>PLACE_CODE_004</t>
  </si>
  <si>
    <t>FEATURES_DESC_006A</t>
  </si>
  <si>
    <t>CRITICAL_FACILITY_006B</t>
  </si>
  <si>
    <t>FACILITY_CARRIED_007</t>
  </si>
  <si>
    <t>LOCATION_009</t>
  </si>
  <si>
    <t>MIN_VERT_CLR_010</t>
  </si>
  <si>
    <t>KILOPOINT_011</t>
  </si>
  <si>
    <t>BASE_HWY_NETWORK_012</t>
  </si>
  <si>
    <t>LRS_INV_ROUTE_013A</t>
  </si>
  <si>
    <t>SUBROUTE_NO_013B</t>
  </si>
  <si>
    <t>DETOUR_KILOS_019</t>
  </si>
  <si>
    <t>TOLL_020</t>
  </si>
  <si>
    <t>MAINTENANCE_021</t>
  </si>
  <si>
    <t>OWNER_022</t>
  </si>
  <si>
    <t>FUNCTIONAL_CLASS_026</t>
  </si>
  <si>
    <t>YEAR_BUILT_027</t>
  </si>
  <si>
    <t>TRAFFIC_LANES_ON_028A</t>
  </si>
  <si>
    <t>TRAFFIC_LANES_UND_028B</t>
  </si>
  <si>
    <t>ADT_029</t>
  </si>
  <si>
    <t>YEAR_ADT_030</t>
  </si>
  <si>
    <t>DESIGN_LOAD_031</t>
  </si>
  <si>
    <t>APPR_WIDTH_MT_032</t>
  </si>
  <si>
    <t>MEDIAN_CODE_033</t>
  </si>
  <si>
    <t>DEGREES_SKEW_034</t>
  </si>
  <si>
    <t>STRUCTURE_FLARED_035</t>
  </si>
  <si>
    <t>RAILINGS_036A</t>
  </si>
  <si>
    <t>TRANSITIONS_036B</t>
  </si>
  <si>
    <t>APPR_RAIL_036C</t>
  </si>
  <si>
    <t>APPR_RAIL_END_036D</t>
  </si>
  <si>
    <t>HISTORY_037</t>
  </si>
  <si>
    <t>NAVIGATION_038</t>
  </si>
  <si>
    <t>NAV_VERT_CLR_MT_039</t>
  </si>
  <si>
    <t>NAV_HORR_CLR_MT_040</t>
  </si>
  <si>
    <t>OPEN_CLOSED_POSTED_041</t>
  </si>
  <si>
    <t>SERVICE_ON_042A</t>
  </si>
  <si>
    <t>SERVICE_UND_042B</t>
  </si>
  <si>
    <t>STRUCTURE_KIND_043A</t>
  </si>
  <si>
    <t>STRUCTURE_TYPE_043B</t>
  </si>
  <si>
    <t>APPR_KIND_044A</t>
  </si>
  <si>
    <t>APPR_TYPE_044B</t>
  </si>
  <si>
    <t>MAIN_UNIT_SPANS_045</t>
  </si>
  <si>
    <t>APPR_SPANS_046</t>
  </si>
  <si>
    <t>HORR_CLR_MT_047</t>
  </si>
  <si>
    <t>MAX_SPAN_LEN_MT_048</t>
  </si>
  <si>
    <t>STRUCTURE_LEN_MT_049</t>
  </si>
  <si>
    <t>LEFT_CURB_MT_050A</t>
  </si>
  <si>
    <t>RIGHT_CURB_MT_050B</t>
  </si>
  <si>
    <t>ROADWAY_WIDTH_MT_051</t>
  </si>
  <si>
    <t>DECK_WIDTH_MT_052</t>
  </si>
  <si>
    <t>VERT_CLR_OVER_MT_053</t>
  </si>
  <si>
    <t>VERT_CLR_UND_REF_054A</t>
  </si>
  <si>
    <t>VERT_CLR_UND_054B</t>
  </si>
  <si>
    <t>LAT_UND_REF_055A</t>
  </si>
  <si>
    <t>LAT_UND_MT_055B</t>
  </si>
  <si>
    <t>LEFT_LAT_UND_MT_056</t>
  </si>
  <si>
    <t>DECK_COND_058</t>
  </si>
  <si>
    <t>SUPERSTRUCTURE_COND_059</t>
  </si>
  <si>
    <t>SUBSTRUCTURE_COND_060</t>
  </si>
  <si>
    <t>CHANNEL_COND_061</t>
  </si>
  <si>
    <t>CULVERT_COND_062</t>
  </si>
  <si>
    <t>OPR_RATING_METH_063</t>
  </si>
  <si>
    <t>OPERATING_RATING_064</t>
  </si>
  <si>
    <t>INV_RATING_METH_065</t>
  </si>
  <si>
    <t>INVENTORY_RATING_066</t>
  </si>
  <si>
    <t>STRUCTURAL_EVAL_067</t>
  </si>
  <si>
    <t>DECK_GEOMETRY_EVAL_068</t>
  </si>
  <si>
    <t>UNDCLRENCE_EVAL_069</t>
  </si>
  <si>
    <t>POSTING_EVAL_070</t>
  </si>
  <si>
    <t>WATERWAY_EVAL_071</t>
  </si>
  <si>
    <t>APPR_ROAD_EVAL_072</t>
  </si>
  <si>
    <t>WORK_PROPOSED_075A</t>
  </si>
  <si>
    <t>WORK_DONE_BY_075B</t>
  </si>
  <si>
    <t>IMP_LEN_MT_076</t>
  </si>
  <si>
    <t>DATE_OF_INSPECT_090</t>
  </si>
  <si>
    <t>INSPECT_FREQ_MONTHS_091</t>
  </si>
  <si>
    <t>FRACTURE_092A</t>
  </si>
  <si>
    <t>UNDWATER_LOOK_SEE_092B</t>
  </si>
  <si>
    <t>SPEC_INSPECT_092C</t>
  </si>
  <si>
    <t>FRACTURE_LAST_DATE_093A</t>
  </si>
  <si>
    <t>UNDWATER_LAST_DATE_093B</t>
  </si>
  <si>
    <t>SPEC_LAST_DATE_093C</t>
  </si>
  <si>
    <t>BRIDGE_IMP_COST_094</t>
  </si>
  <si>
    <t>ROADWAY_IMP_COST_095</t>
  </si>
  <si>
    <t>TOTAL_IMP_COST_096</t>
  </si>
  <si>
    <t>YEAR_OF_IMP_097</t>
  </si>
  <si>
    <t>OTHER_STATE_CODE_098A</t>
  </si>
  <si>
    <t>OTHER_STATE_PCNT_098B</t>
  </si>
  <si>
    <t>OTHR_STATE_STRUC_NO_099</t>
  </si>
  <si>
    <t>STRAHNET_HIGHWAY_100</t>
  </si>
  <si>
    <t>PARALLEL_STRUCTURE_101</t>
  </si>
  <si>
    <t>TRAFFIC_DIRECTION_102</t>
  </si>
  <si>
    <t>TEMP_STRUCTURE_103</t>
  </si>
  <si>
    <t>HIGHWAY_SYSTEM_104</t>
  </si>
  <si>
    <t>FEDERAL_LANDS_105</t>
  </si>
  <si>
    <t>YEAR_RECONSTRUCTED_106</t>
  </si>
  <si>
    <t>DECK_STRUCTURE_TYPE_107</t>
  </si>
  <si>
    <t>SURFACE_TYPE_108A</t>
  </si>
  <si>
    <t>MEMBRANE_TYPE_108B</t>
  </si>
  <si>
    <t>DECK_PROTECTION_108C</t>
  </si>
  <si>
    <t>PERCENT_ADT_TRUCK_109</t>
  </si>
  <si>
    <t>NATIONAL_NETWORK_110</t>
  </si>
  <si>
    <t>PIER_PROTECTION_111</t>
  </si>
  <si>
    <t>BRIDGE_LEN_IND_112</t>
  </si>
  <si>
    <t>SCOUR_CRITICAL_113</t>
  </si>
  <si>
    <t>FUTURE_ADT_114</t>
  </si>
  <si>
    <t>YEAR_OF_FUTURE_ADT_115</t>
  </si>
  <si>
    <t>MIN_NAV_CLR_MT_116</t>
  </si>
  <si>
    <t>FED_AGENCY</t>
  </si>
  <si>
    <t>SUBMITTED_BY</t>
  </si>
  <si>
    <t>BRIDGE_CONDITION</t>
  </si>
  <si>
    <t>LOWEST_RATING</t>
  </si>
  <si>
    <t>DECK_AREA</t>
  </si>
  <si>
    <t>Detour_Duration</t>
  </si>
  <si>
    <t>Min_Unit_Rebuilding_Cost($/ft2)</t>
  </si>
  <si>
    <t>Max_Unit_Rebuilding_Cost($/ft2)2</t>
  </si>
  <si>
    <t>Cost_Multiplier_for_Early_Replacement</t>
  </si>
  <si>
    <t>Assumed_Number_of_Lives_Lost_in_Bridge_Failure</t>
  </si>
  <si>
    <t>HYRISK_Cost_of_Faliure_term1</t>
  </si>
  <si>
    <t>HYRISK_Cost_of_Faliure_term2</t>
  </si>
  <si>
    <t>HYRISK_Cost_of_Faliure_term3</t>
  </si>
  <si>
    <t>HYRISK_Cost_of_Faliure_term4</t>
  </si>
  <si>
    <t>Total_Cost_MUSD</t>
  </si>
  <si>
    <t>Saratoga Street Bridge</t>
  </si>
  <si>
    <t>Belle Isle Inlet</t>
  </si>
  <si>
    <t>Rec</t>
  </si>
  <si>
    <t>B16004B5JMUNNBI</t>
  </si>
  <si>
    <t>'WATER BELLE ISLE INLET'</t>
  </si>
  <si>
    <t>'ST145 SARATOGA ST'</t>
  </si>
  <si>
    <t>'AT WINTHROP TOWN LINE'</t>
  </si>
  <si>
    <t>A</t>
  </si>
  <si>
    <t>N</t>
  </si>
  <si>
    <t xml:space="preserve">N  </t>
  </si>
  <si>
    <t>Y36</t>
  </si>
  <si>
    <t xml:space="preserve">               </t>
  </si>
  <si>
    <t>Y</t>
  </si>
  <si>
    <t>G</t>
  </si>
  <si>
    <t>Longfellow Bridge</t>
  </si>
  <si>
    <t>Charles River</t>
  </si>
  <si>
    <t>Cir</t>
  </si>
  <si>
    <t>B160094F0DOTNBI</t>
  </si>
  <si>
    <t>'COMB  ST3/ST28 &amp; CHARLES'</t>
  </si>
  <si>
    <t>'ST  3 CAMBRIDGE ST'</t>
  </si>
  <si>
    <t>'.2 MI W OF BLOSSOM ST'</t>
  </si>
  <si>
    <t>P</t>
  </si>
  <si>
    <t>H</t>
  </si>
  <si>
    <t>Y58</t>
  </si>
  <si>
    <t>F</t>
  </si>
  <si>
    <t>Harvard Bridge</t>
  </si>
  <si>
    <t>Hex</t>
  </si>
  <si>
    <t>B160124EYDOTNBI</t>
  </si>
  <si>
    <t>0002A</t>
  </si>
  <si>
    <t>'COMB  STRW DR &amp; CHAS RIV'</t>
  </si>
  <si>
    <t>'ST  2 A/MASS AVE'</t>
  </si>
  <si>
    <t>'.8 MI E OF BU BRIDGE'</t>
  </si>
  <si>
    <t>Y24</t>
  </si>
  <si>
    <t>Charles River Dam</t>
  </si>
  <si>
    <t>8zeli</t>
  </si>
  <si>
    <t>B160134EMDOTNBI</t>
  </si>
  <si>
    <t>'WATER CHARLES RIVER'</t>
  </si>
  <si>
    <t>'ST 28 CHAS R DM RD'</t>
  </si>
  <si>
    <t>'.1 MI NW OF NASHUA ST'</t>
  </si>
  <si>
    <t>Y48</t>
  </si>
  <si>
    <t>North Washington Street Bridge</t>
  </si>
  <si>
    <t>B1601637KMUNNBI</t>
  </si>
  <si>
    <t>'HWY   N WSHNGTN ST'</t>
  </si>
  <si>
    <t>'AT CHAS RIV NR BOS GARDEN'</t>
  </si>
  <si>
    <t>D</t>
  </si>
  <si>
    <t>Y06</t>
  </si>
  <si>
    <t>T</t>
  </si>
  <si>
    <t>Chelsea Street Bridge</t>
  </si>
  <si>
    <t>Little Mystic Boat Dock</t>
  </si>
  <si>
    <t>B16020B4JDOTNBI</t>
  </si>
  <si>
    <t>'WATER CHELSEA RIVER'</t>
  </si>
  <si>
    <t>'HWY   CHELSEA ST'</t>
  </si>
  <si>
    <t>'AT CHELSEA RIVER'</t>
  </si>
  <si>
    <t>Maurice J. Tobin Memorial Bridge</t>
  </si>
  <si>
    <t>Mystic River</t>
  </si>
  <si>
    <t>B160174X4DOTNBI</t>
  </si>
  <si>
    <t>'US  1 NB/BIG MYSTIC LOWR'</t>
  </si>
  <si>
    <t>'US  1 SB/B MYSTC U'</t>
  </si>
  <si>
    <t>'BIG MYSTIC UPPER'</t>
  </si>
  <si>
    <t>L</t>
  </si>
  <si>
    <t>Andrew McArdle Bridge</t>
  </si>
  <si>
    <t>Chelsea Creek</t>
  </si>
  <si>
    <t>B16019383MUNNBI</t>
  </si>
  <si>
    <t>'HWY   MERIDIAN ST'</t>
  </si>
  <si>
    <t>'@ CHELSEA TL  = C09005'</t>
  </si>
  <si>
    <t>Y12</t>
  </si>
  <si>
    <t>Granite Avenue Bridge</t>
  </si>
  <si>
    <t>Neponset River</t>
  </si>
  <si>
    <t>B160223A3DOTNBI</t>
  </si>
  <si>
    <t>'WATER NEPONSET RIVER'</t>
  </si>
  <si>
    <t>'HWY   GRANITE AVE'</t>
  </si>
  <si>
    <t>'MILTON TOWN LINE'</t>
  </si>
  <si>
    <t>Alford Street Bridge</t>
  </si>
  <si>
    <t>B16029388MUNNBI</t>
  </si>
  <si>
    <t>'WATER MYSTIC RIVER'</t>
  </si>
  <si>
    <t>'ST 99 ALFORD ST'</t>
  </si>
  <si>
    <t>'AT MYSTIC RIVER'</t>
  </si>
  <si>
    <t>Summer Street Bridge</t>
  </si>
  <si>
    <t>Fort Point Channel</t>
  </si>
  <si>
    <t>B16031389MUNNBI</t>
  </si>
  <si>
    <t>'WATER FORT POINT CHANNEL'</t>
  </si>
  <si>
    <t>'HWY   SUMMER ST'</t>
  </si>
  <si>
    <t>'OVER FT POINT CHANNEL'</t>
  </si>
  <si>
    <t>Congress Street Bridge</t>
  </si>
  <si>
    <t>B1603238AMUNNBI</t>
  </si>
  <si>
    <t>'HWY   CONGRESS ST'</t>
  </si>
  <si>
    <t>Morrissey Boulevard Bridge</t>
  </si>
  <si>
    <t>Dorchester Bay Basin</t>
  </si>
  <si>
    <t>B162623DEDOTNBI</t>
  </si>
  <si>
    <t>'HWY   MORRISSEY BLVD'</t>
  </si>
  <si>
    <t>'I  93 /US1/ST3'</t>
  </si>
  <si>
    <t>'4 MI S OF JCT I90&amp;I93'</t>
  </si>
  <si>
    <t>Seaport Boulevard</t>
  </si>
  <si>
    <t>B16223AWQMUNNBI</t>
  </si>
  <si>
    <t>'HWY   SEAPORT BLVD'</t>
  </si>
  <si>
    <t>'0.1MI EAST ATLANTIC AVE.'</t>
  </si>
  <si>
    <t>Nepsonset Bridge</t>
  </si>
  <si>
    <t>B163904F7DOTNBI</t>
  </si>
  <si>
    <t>0003A</t>
  </si>
  <si>
    <t>'COMB  NEPONSET AVE&amp;RIVER'</t>
  </si>
  <si>
    <t>'ST  3 A/MORRSY BLV'</t>
  </si>
  <si>
    <t>'.2 MI E OF I 93'</t>
  </si>
  <si>
    <t>Parkway Plaza</t>
  </si>
  <si>
    <t>Mill Creek</t>
  </si>
  <si>
    <t>B162053GRDOT634</t>
  </si>
  <si>
    <t>'COMB  HAUL RD &amp; CSX'</t>
  </si>
  <si>
    <t>'HWY   W BROADWAY'</t>
  </si>
  <si>
    <t>'1.1 KM SW OF D ST'</t>
  </si>
  <si>
    <t>WOODS MEMORIAL</t>
  </si>
  <si>
    <t>Malden River</t>
  </si>
  <si>
    <t>E120044E9DOTNBI</t>
  </si>
  <si>
    <t>WATER MALDEN RIVER'</t>
  </si>
  <si>
    <t>ST 16 REV BCH PKWY'</t>
  </si>
  <si>
    <t>Fellsway Bridge</t>
  </si>
  <si>
    <t>B160683GWDOT634</t>
  </si>
  <si>
    <t>'COMB  ORANGE &amp; MBTA/BMRR'</t>
  </si>
  <si>
    <t>'HWY   MYSTIC AVE'</t>
  </si>
  <si>
    <t>'610 M NW OF SULLIVAN SQ'</t>
  </si>
  <si>
    <t>R</t>
  </si>
  <si>
    <t>Y00</t>
  </si>
  <si>
    <t>Salem Turnpike</t>
  </si>
  <si>
    <t>Rumney Marsh Reservation</t>
  </si>
  <si>
    <t>R050077L5DOTNBI</t>
  </si>
  <si>
    <t>'WATER PINES RIVER'</t>
  </si>
  <si>
    <t>'ST107 SALEM TPK'</t>
  </si>
  <si>
    <t>'1.4 KM NE OF RTE 60'</t>
  </si>
  <si>
    <t>Hazus_Failure_Prob_500</t>
  </si>
  <si>
    <t>Hazus_Failure_Prob_100</t>
  </si>
  <si>
    <t>Hazus_Failure_Prob_50</t>
  </si>
  <si>
    <t>Hazus_Failure_Prob_10</t>
  </si>
  <si>
    <t>Current_rating</t>
  </si>
  <si>
    <t>Depth10_cost</t>
  </si>
  <si>
    <t>Depth50_cost</t>
  </si>
  <si>
    <t>Depth100_cost</t>
  </si>
  <si>
    <t>Depth500_cost</t>
  </si>
  <si>
    <t>Scour Vulnerability</t>
  </si>
  <si>
    <t>cost_repair_rating1</t>
  </si>
  <si>
    <t>cost_repair_rating2</t>
  </si>
  <si>
    <t>cost_repair_rating3</t>
  </si>
  <si>
    <t>cost_repair_rating4</t>
  </si>
  <si>
    <t>cost_repair_rating5</t>
  </si>
  <si>
    <t>cost_repair_rating6</t>
  </si>
  <si>
    <t>cost_repair_rating7</t>
  </si>
  <si>
    <t>cost_repair_rating8</t>
  </si>
  <si>
    <t>cost_repair_rating9</t>
  </si>
  <si>
    <t>prob500-failure_rating1</t>
  </si>
  <si>
    <t>prob500-failure_rating2</t>
  </si>
  <si>
    <t>prob500-failure_rating3</t>
  </si>
  <si>
    <t>prob500-failure_rating4</t>
  </si>
  <si>
    <t>prob500-failure_rating5</t>
  </si>
  <si>
    <t>prob500-failure_rating6</t>
  </si>
  <si>
    <t>prob500-failure_rating7</t>
  </si>
  <si>
    <t>prob500-failure_rating8</t>
  </si>
  <si>
    <t>prob500-failure_rating9</t>
  </si>
  <si>
    <t>prob100-failure_rating1</t>
  </si>
  <si>
    <t>prob100-failure_rating2</t>
  </si>
  <si>
    <t>prob100-failure_rating3</t>
  </si>
  <si>
    <t>prob100-failure_rating4</t>
  </si>
  <si>
    <t>prob100-failure_rating5</t>
  </si>
  <si>
    <t>prob100-failure_rating6</t>
  </si>
  <si>
    <t>prob100-failure_rating7</t>
  </si>
  <si>
    <t>prob100-failure_rating8</t>
  </si>
  <si>
    <t>prob100-failure_rating9</t>
  </si>
  <si>
    <t>prob50-failure_rating1</t>
  </si>
  <si>
    <t>prob50-failure_rating2</t>
  </si>
  <si>
    <t>prob50-failure_rating3</t>
  </si>
  <si>
    <t>prob50-failure_rating4</t>
  </si>
  <si>
    <t>prob50-failure_rating5</t>
  </si>
  <si>
    <t>prob50-failure_rating6</t>
  </si>
  <si>
    <t>prob50-failure_rating7</t>
  </si>
  <si>
    <t>prob50-failure_rating8</t>
  </si>
  <si>
    <t>prob50-failure_rating9</t>
  </si>
  <si>
    <t>prob10-failure_rating1</t>
  </si>
  <si>
    <t>prob10-failure_rating2</t>
  </si>
  <si>
    <t>prob10-failure_rating3</t>
  </si>
  <si>
    <t>prob10-failure_rating4</t>
  </si>
  <si>
    <t>prob10-failure_rating5</t>
  </si>
  <si>
    <t>prob10-failure_rating6</t>
  </si>
  <si>
    <t>prob10-failure_rating7</t>
  </si>
  <si>
    <t>prob10-failure_rating8</t>
  </si>
  <si>
    <t>prob10-failure_rating9</t>
  </si>
  <si>
    <t>failurecost500_rating1</t>
  </si>
  <si>
    <t>failurecost500_rating2</t>
  </si>
  <si>
    <t>failurecost500_rating3</t>
  </si>
  <si>
    <t>failurecost500_rating4</t>
  </si>
  <si>
    <t>failurecost500_rating5</t>
  </si>
  <si>
    <t>failurecost500_rating6</t>
  </si>
  <si>
    <t>failurecost500_rating7</t>
  </si>
  <si>
    <t>failurecost500_rating8</t>
  </si>
  <si>
    <t>failurecost500_rating9</t>
  </si>
  <si>
    <t>failurecost100_rating1</t>
  </si>
  <si>
    <t>failurecost100_rating2</t>
  </si>
  <si>
    <t>failurecost100_rating3</t>
  </si>
  <si>
    <t>failurecost100_rating4</t>
  </si>
  <si>
    <t>failurecost100_rating5</t>
  </si>
  <si>
    <t>failurecost100_rating6</t>
  </si>
  <si>
    <t>failurecost100_rating7</t>
  </si>
  <si>
    <t>failurecost100_rating8</t>
  </si>
  <si>
    <t>failurecost100_rating9</t>
  </si>
  <si>
    <t>failurecost50_rating1</t>
  </si>
  <si>
    <t>failurecost50_rating2</t>
  </si>
  <si>
    <t>failurecost50_rating3</t>
  </si>
  <si>
    <t>failurecost50_rating4</t>
  </si>
  <si>
    <t>failurecost50_rating5</t>
  </si>
  <si>
    <t>failurecost50_rating6</t>
  </si>
  <si>
    <t>failurecost50_rating7</t>
  </si>
  <si>
    <t>failurecost50_rating8</t>
  </si>
  <si>
    <t>failurecost50_rating9</t>
  </si>
  <si>
    <t>FailureCost_Rating1</t>
  </si>
  <si>
    <t>FailureCost_Rating2</t>
  </si>
  <si>
    <t>FailureCost_Rating3</t>
  </si>
  <si>
    <t>FailureCost_Rating4</t>
  </si>
  <si>
    <t>FailureCost_Rating5</t>
  </si>
  <si>
    <t>FailureCost_Rating6</t>
  </si>
  <si>
    <t>FailureCost_Rating7</t>
  </si>
  <si>
    <t>FailureCost_Rating8</t>
  </si>
  <si>
    <t>FailureCost_Rating9</t>
  </si>
  <si>
    <t>failurecost10_rating1</t>
  </si>
  <si>
    <t>failurecost10_rating2</t>
  </si>
  <si>
    <t>failurecost10_rating3</t>
  </si>
  <si>
    <t>failurecost10_rating4</t>
  </si>
  <si>
    <t>failurecost10_rating5</t>
  </si>
  <si>
    <t>failurecost10_rating6</t>
  </si>
  <si>
    <t>failurecost10_rating7</t>
  </si>
  <si>
    <t>failurecost10_rating8</t>
  </si>
  <si>
    <t>failurecost10_rating9</t>
  </si>
  <si>
    <t>FailureCost_Rating0</t>
  </si>
  <si>
    <t>cost_repair_rating0</t>
  </si>
  <si>
    <t>Rating_decay</t>
  </si>
  <si>
    <t>HYRISK_Cost_of_Faliure_term5</t>
  </si>
  <si>
    <t>Coeffs</t>
  </si>
  <si>
    <t>Expected_Failure</t>
  </si>
  <si>
    <t>Log_Failure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</si>
</sst>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"/>
    <numFmt numFmtId="166" formatCode="0.000000"/>
    <numFmt numFmtId="167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4" fillId="33" borderId="0" xfId="0" applyFont="1" applyFill="1" applyAlignment="1">
      <alignment horizontal="left" vertical="top" wrapText="1"/>
    </xf>
    <xf numFmtId="0" fontId="0" fillId="34" borderId="10" xfId="0" applyFill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10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val>
            <c:numRef>
              <c:f>Failure_prob!$B$2:$B$11</c:f>
              <c:numCache>
                <c:formatCode>General</c:formatCode>
                <c:ptCount val="10"/>
                <c:pt idx="0">
                  <c:v>1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1.1000000000000001E-3</c:v>
                </c:pt>
                <c:pt idx="4">
                  <c:v>4.0000000000000002E-4</c:v>
                </c:pt>
                <c:pt idx="5">
                  <c:v>6.9999999999999994E-5</c:v>
                </c:pt>
                <c:pt idx="6">
                  <c:v>1.8E-5</c:v>
                </c:pt>
                <c:pt idx="7">
                  <c:v>1.8E-5</c:v>
                </c:pt>
                <c:pt idx="8">
                  <c:v>3.9999999999999998E-7</c:v>
                </c:pt>
                <c:pt idx="9">
                  <c:v>2.4999999999999999E-7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B-AB47-A6E8-E186F388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79023"/>
        <c:axId val="1105397295"/>
      </c:lineChart>
      <c:catAx>
        <c:axId val="10826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7295"/>
        <c:crosses val="autoZero"/>
        <c:auto val="1"/>
        <c:lblAlgn val="ctr"/>
        <c:lblOffset val="100"/>
        <c:noMultiLvlLbl val="1"/>
      </c:catAx>
      <c:valAx>
        <c:axId val="1105397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790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Sheet4!$D$6:$D$12</c:f>
              <c:numCache>
                <c:formatCode>General</c:formatCode>
                <c:ptCount val="7"/>
                <c:pt idx="0">
                  <c:v>17027.915453333335</c:v>
                </c:pt>
                <c:pt idx="1">
                  <c:v>9578.2024425000018</c:v>
                </c:pt>
                <c:pt idx="2">
                  <c:v>6130.0495632000011</c:v>
                </c:pt>
                <c:pt idx="3">
                  <c:v>4256.9788633333337</c:v>
                </c:pt>
                <c:pt idx="4">
                  <c:v>3127.5763077551023</c:v>
                </c:pt>
                <c:pt idx="5">
                  <c:v>2394.5506106250004</c:v>
                </c:pt>
                <c:pt idx="6">
                  <c:v>1891.9906059259258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538-A530-8DBB0DD8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49752"/>
        <c:axId val="1052650112"/>
      </c:lineChart>
      <c:catAx>
        <c:axId val="105264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50112"/>
        <c:crosses val="autoZero"/>
        <c:auto val="1"/>
        <c:lblAlgn val="ctr"/>
        <c:lblOffset val="100"/>
        <c:noMultiLvlLbl val="0"/>
      </c:catAx>
      <c:valAx>
        <c:axId val="1052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4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475200</xdr:colOff>
      <xdr:row>30</xdr:row>
      <xdr:rowOff>142143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8FC6A-CEF2-5E24-0FA2-DB6300261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00000" cy="5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33049</xdr:colOff>
      <xdr:row>7</xdr:row>
      <xdr:rowOff>35726</xdr:rowOff>
    </xdr:from>
    <xdr:to>
      <xdr:col>14</xdr:col>
      <xdr:colOff>334197</xdr:colOff>
      <xdr:row>17</xdr:row>
      <xdr:rowOff>159130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8E6A1-6F28-CB6B-53C7-F55E145C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185737</xdr:rowOff>
    </xdr:from>
    <xdr:to>
      <xdr:col>14</xdr:col>
      <xdr:colOff>419100</xdr:colOff>
      <xdr:row>22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C8103-3339-DBAD-0F45-2FF400DE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EA88-988A-4182-B643-40FC3C5FB242}" name="Table1" displayName="Table1" ref="A1:JW20" totalsRowShown="0" headerRowDxfId="4009" dataDxfId="4008">
  <autoFilter ref="A1:JW20" xr:uid="{1E05EA88-988A-4182-B643-40FC3C5FB242}"/>
  <tableColumns count="283">
    <tableColumn id="1" xr3:uid="{8AF3EDE0-92D2-4D04-A2BD-D3DE2E38BD9C}" name="Number" dataDxfId="4007"/>
    <tableColumn id="2" xr3:uid="{F3F9F1B7-C14D-4145-AF16-3756153517C0}" name="Structure Name" dataDxfId="4006"/>
    <tableColumn id="3" xr3:uid="{E4E80BC6-069F-422C-B6D3-EF58384AAE10}" name="Body of water" dataDxfId="4005"/>
    <tableColumn id="4" xr3:uid="{A450C296-1A42-4D00-A53A-2F035C7A4265}" name="Lattitude" dataDxfId="4004"/>
    <tableColumn id="5" xr3:uid="{610AF45E-760F-4E67-A089-376C530206D2}" name="Longitude" dataDxfId="4003"/>
    <tableColumn id="6" xr3:uid="{39346443-07F7-42B5-9F26-3F351DE4DC7F}" name="Depth50" dataDxfId="4002"/>
    <tableColumn id="7" xr3:uid="{184ECBFB-2A3F-4038-94A8-2EABD029752A}" name="Depth10" dataDxfId="4001"/>
    <tableColumn id="8" xr3:uid="{00D7F174-B482-4393-921D-BAFBD0755969}" name="Depth100" dataDxfId="4000"/>
    <tableColumn id="9" xr3:uid="{DAD62833-0473-44DA-B72A-41D37BE7010A}" name="Depth500" dataDxfId="3999"/>
    <tableColumn id="10" xr3:uid="{84745D26-343C-41C0-813A-C27FD792F5B1}" name="Depth0_area" dataDxfId="3998"/>
    <tableColumn id="11" xr3:uid="{8A1CF1C2-CD16-40AC-B7E3-5F447986E5FB}" name="Depth0_wet" dataDxfId="3997"/>
    <tableColumn id="12" xr3:uid="{0E6D6E3D-25B5-4EAD-9672-51F21BFB9C3C}" name="Depth10_area" dataDxfId="3996"/>
    <tableColumn id="13" xr3:uid="{640D2624-626D-44E5-9933-27A98DCCA6EA}" name="Depth10_wet" dataDxfId="3995"/>
    <tableColumn id="14" xr3:uid="{A76650B1-EA6A-47E1-A38E-E821636CDFF0}" name="Depth50_area" dataDxfId="3994"/>
    <tableColumn id="15" xr3:uid="{D61CF54A-A036-4DD1-B828-18F78B7A8874}" name="Depth50_wet" dataDxfId="3993"/>
    <tableColumn id="16" xr3:uid="{C5596F19-27C2-4665-956A-7D16F29A4A57}" name="Depth100_area" dataDxfId="3992"/>
    <tableColumn id="17" xr3:uid="{18E703AC-F14B-4797-A75C-8CBBDEF9FBCA}" name="Depth100_wet" dataDxfId="3991"/>
    <tableColumn id="18" xr3:uid="{EC76DA2A-19AE-422A-9120-71F31511471B}" name="Depth500_area" dataDxfId="3990"/>
    <tableColumn id="19" xr3:uid="{732FBEF0-F11E-4458-B4B4-9C2C6186ABDA}" name="Depth500_wet" dataDxfId="3989"/>
    <tableColumn id="20" xr3:uid="{112AE84B-D3A6-43F0-98AF-15419F422810}" name="Depth0_HydraulicRadius" dataDxfId="3988"/>
    <tableColumn id="21" xr3:uid="{5DC2E230-9CC1-4178-B79F-D5B29F4A9DFF}" name="Depth10_HydraulicRadius" dataDxfId="3987"/>
    <tableColumn id="22" xr3:uid="{E3E08606-8D5E-4F60-8C2A-980C1DA1303C}" name="Depth50_HydraulicRadius" dataDxfId="3986"/>
    <tableColumn id="23" xr3:uid="{A1DA116A-0928-4D83-98B0-CAB9D69F8EE7}" name="Depth100_HydraulicRadius" dataDxfId="3985"/>
    <tableColumn id="24" xr3:uid="{84615BB5-8225-4546-AD9E-7ECB13A17146}" name="Depth500_HydraulicRadius" dataDxfId="3984"/>
    <tableColumn id="25" xr3:uid="{4CC2962F-C97E-4320-8A29-85E9C79380B1}" name="Slope" dataDxfId="3983"/>
    <tableColumn id="26" xr3:uid="{DCA6AC4F-96F2-4F10-80C3-7E16FBC862AD}" name="Foundation_Depth" dataDxfId="3982"/>
    <tableColumn id="27" xr3:uid="{DB0C0111-11A6-4C0E-B0E8-D7955B2D56CD}" name="Depth10_velocity" dataDxfId="3981"/>
    <tableColumn id="28" xr3:uid="{BCFEB4C6-529C-4F0F-81E2-EEDEDEC06CD8}" name="Depth50_velocity" dataDxfId="3980"/>
    <tableColumn id="29" xr3:uid="{8C2C3426-8939-4EDD-B9ED-88386DDF4303}" name="Depth100_velocity" dataDxfId="3979"/>
    <tableColumn id="30" xr3:uid="{6A79C462-59B6-4A75-895C-E5C821085D51}" name="Depth500_velocity" dataDxfId="3978"/>
    <tableColumn id="31" xr3:uid="{0D7CB41F-5334-4449-82FE-61BA474775B0}" name="Depth10_Froud" dataDxfId="3977"/>
    <tableColumn id="32" xr3:uid="{6CF60443-9037-453F-B53E-3D28C829142C}" name="Depth50_Froud" dataDxfId="3976"/>
    <tableColumn id="33" xr3:uid="{D4BB5322-A9EE-43C1-B12F-2C72FEFCBC44}" name="Depth100_Froud" dataDxfId="3975"/>
    <tableColumn id="34" xr3:uid="{AF08ED8A-5207-49EB-B1C7-D406870D71C7}" name="Depth500_Froud" dataDxfId="3974"/>
    <tableColumn id="35" xr3:uid="{22482794-6046-485B-B7D0-D4727334F8FB}" name="Depth10_Scour" dataDxfId="3973"/>
    <tableColumn id="36" xr3:uid="{E5909FF8-40F5-4F31-A835-44481E8B4345}" name="Depth50_Scour" dataDxfId="3972"/>
    <tableColumn id="37" xr3:uid="{621EAE42-145E-4662-A1B6-AEE2288BFD7F}" name="Depth100_Scour" dataDxfId="3971"/>
    <tableColumn id="38" xr3:uid="{FC43ED7E-63B0-4663-8650-E029B353CDF9}" name="Depth500_Scour" dataDxfId="3970"/>
    <tableColumn id="39" xr3:uid="{FAB8DBB5-FAE8-4517-AFC7-B4A5F623F15A}" name="Depth10_Soil_vol" dataDxfId="3969"/>
    <tableColumn id="40" xr3:uid="{9BF8D50C-7437-4B11-9004-B4FC520D438C}" name="Depth50_Soil_vol" dataDxfId="3968"/>
    <tableColumn id="41" xr3:uid="{B104B101-271A-4C99-9785-AA5627985F47}" name="Depth100_Soil_vol" dataDxfId="3967"/>
    <tableColumn id="42" xr3:uid="{AF76FF36-4EDB-4A33-82DC-FFC43B09B5AC}" name="Depth500_Soil_vol" dataDxfId="3966"/>
    <tableColumn id="191" xr3:uid="{1A76AC0B-3A52-4FFA-9C2D-529750FFC51A}" name="Depth10_cost" dataDxfId="3965">
      <calculatedColumnFormula>Table1[[#This Row],[Depth10_Soil_vol]]*(9.353+9.027)+(Table1[[#This Row],[Depth10_Soil_vol]]/2.5)*20*1.053+(PI()*Table1[[#This Row],[Depth10_Scour]])*Table1[[#This Row],[DECK_WIDTH_MT_052]]*1.062</calculatedColumnFormula>
    </tableColumn>
    <tableColumn id="190" xr3:uid="{7493052B-86CD-4F97-9089-D44FF462BD3B}" name="Depth50_cost" dataDxfId="3964">
      <calculatedColumnFormula>Table1[[#This Row],[Depth50_Soil_vol]]*(9.353+9.027)+(Table1[[#This Row],[Depth50_Soil_vol]]/2.5)*20*1.053+(PI()*Table1[[#This Row],[Depth50_Scour]])*Table1[[#This Row],[DECK_WIDTH_MT_052]]*1.062</calculatedColumnFormula>
    </tableColumn>
    <tableColumn id="189" xr3:uid="{781CF7C0-9E75-462E-B8AE-4A0ED7043A01}" name="Depth100_cost" dataDxfId="3963">
      <calculatedColumnFormula>Table1[[#This Row],[Depth100_Soil_vol]]*(9.353+9.027)+(Table1[[#This Row],[Depth100_Soil_vol]]/2.5)*20*1.053+(PI()*Table1[[#This Row],[Depth100_Scour]])*Table1[[#This Row],[DECK_WIDTH_MT_052]]*1.062</calculatedColumnFormula>
    </tableColumn>
    <tableColumn id="188" xr3:uid="{8BEA6A57-9340-4C83-8BC1-5BB709213FCE}" name="Depth500_cost" dataDxfId="3962">
      <calculatedColumnFormula>Table1[[#This Row],[Depth500_Soil_vol]]*(9.353+9.027)+(Table1[[#This Row],[Depth500_Soil_vol]]/2.5)*20*1.053+(PI()*Table1[[#This Row],[Depth500_Scour]])*Table1[[#This Row],[DECK_WIDTH_MT_052]]*1.062</calculatedColumnFormula>
    </tableColumn>
    <tableColumn id="43" xr3:uid="{A0F87A89-E26F-4393-87AA-5C7CEA268999}" name="Foundation_Width" dataDxfId="3961"/>
    <tableColumn id="44" xr3:uid="{711F1D76-6EAB-43F9-B296-6D580CFCE0D0}" name="Foundation_length" dataDxfId="3960"/>
    <tableColumn id="45" xr3:uid="{8C0AFA64-5F04-4395-88CA-A56021376957}" name="Shape" dataDxfId="3959"/>
    <tableColumn id="46" xr3:uid="{051CC193-C04C-43BF-94D4-6B3718B0F56A}" name="Depth10_Rating" dataDxfId="3958"/>
    <tableColumn id="47" xr3:uid="{0007A737-EB31-40D0-AB3F-CF936B7BE95D}" name="Depth50_Rating" dataDxfId="3957"/>
    <tableColumn id="48" xr3:uid="{6227CE15-C5F1-4C72-8DA9-3B911FF80C90}" name="Depth100_Rating" dataDxfId="3956"/>
    <tableColumn id="49" xr3:uid="{6D5C9709-B462-4702-9DC9-2A011AC980B5}" name="Depth500_Rating" dataDxfId="3955"/>
    <tableColumn id="50" xr3:uid="{049E9BCB-DFAE-40CC-A458-62C851340665}" name="STATE_CODE_001" dataDxfId="3954"/>
    <tableColumn id="51" xr3:uid="{0CDA7B35-DBC3-4600-BBFF-0C8730463AFC}" name="STRUCTURE_NUMBER_008" dataDxfId="3953"/>
    <tableColumn id="52" xr3:uid="{D5DC289C-728F-49C5-912A-3751BF4DBD9D}" name="LAT_016" dataDxfId="3952"/>
    <tableColumn id="53" xr3:uid="{644FEE5A-35B7-4DE2-801A-E8CF34B93D9B}" name="LONG_017" dataDxfId="3951"/>
    <tableColumn id="54" xr3:uid="{9638AB6A-652A-431B-BB01-341C97ECD0A2}" name="RECORD_TYPE_005A" dataDxfId="3950"/>
    <tableColumn id="55" xr3:uid="{4BE39861-5148-4D1C-ABDD-A9501FB7E320}" name="ROUTE_PREFIX_005B" dataDxfId="3949"/>
    <tableColumn id="56" xr3:uid="{E6F075CD-1A4A-432F-95E6-E8FD620BC939}" name="SERVICE_LEVEL_005C" dataDxfId="3948"/>
    <tableColumn id="57" xr3:uid="{5F2BD4E4-68E8-4BCA-9034-39353F9149BF}" name="ROUTE_NUMBER_005D" dataDxfId="3947"/>
    <tableColumn id="58" xr3:uid="{66685317-00AA-45BB-855B-A5259C3B1820}" name="DIRECTION_005E" dataDxfId="3946"/>
    <tableColumn id="59" xr3:uid="{2F57C737-DBED-4631-999F-10EB17BB79FD}" name="HIGHWAY_DISTRICT_002" dataDxfId="3945"/>
    <tableColumn id="60" xr3:uid="{D7645BD5-B0A7-4070-A38F-19C44E782B7B}" name="COUNTY_CODE_003" dataDxfId="3944"/>
    <tableColumn id="61" xr3:uid="{A55C28F2-6496-4517-BF92-F003CADF244B}" name="PLACE_CODE_004" dataDxfId="3943"/>
    <tableColumn id="62" xr3:uid="{7B00EA94-66BF-4D8E-986E-03DC4DD74C5E}" name="FEATURES_DESC_006A" dataDxfId="3942"/>
    <tableColumn id="63" xr3:uid="{C70CE6C9-6F18-4913-A0B8-795C96D839D9}" name="CRITICAL_FACILITY_006B" dataDxfId="3941"/>
    <tableColumn id="64" xr3:uid="{CCB2AC87-ADD6-498C-BBDB-AC5942B2042E}" name="FACILITY_CARRIED_007" dataDxfId="3940"/>
    <tableColumn id="65" xr3:uid="{099B4FAB-A7B5-4028-8507-680B38645B9C}" name="LOCATION_009" dataDxfId="3939"/>
    <tableColumn id="66" xr3:uid="{EBD21230-762F-48A9-A8F2-5B6ECBF91DCD}" name="MIN_VERT_CLR_010" dataDxfId="3938"/>
    <tableColumn id="67" xr3:uid="{A3513786-709A-450D-B287-BDEF53FAB771}" name="KILOPOINT_011" dataDxfId="3937"/>
    <tableColumn id="68" xr3:uid="{2F7E139F-0E02-4EFA-AD8A-027AFCB7FA07}" name="BASE_HWY_NETWORK_012" dataDxfId="3936"/>
    <tableColumn id="69" xr3:uid="{909A0313-D9EB-478E-9E33-C4A598469202}" name="LRS_INV_ROUTE_013A" dataDxfId="3935"/>
    <tableColumn id="70" xr3:uid="{99C2CBB9-8ED8-4515-8FFC-EF6656AC53B3}" name="SUBROUTE_NO_013B" dataDxfId="3934"/>
    <tableColumn id="71" xr3:uid="{9E5FEEF5-0426-48F3-B89A-54A2DF6B424D}" name="DETOUR_KILOS_019" dataDxfId="3933"/>
    <tableColumn id="72" xr3:uid="{5447623F-986B-493B-ACB8-C7DD5F819027}" name="TOLL_020" dataDxfId="3932"/>
    <tableColumn id="73" xr3:uid="{7D601607-DEE5-4B78-8AD1-7B7DE36D5016}" name="MAINTENANCE_021" dataDxfId="3931"/>
    <tableColumn id="74" xr3:uid="{41BEA36B-A6FB-4F5B-97C2-8CA23424636B}" name="OWNER_022" dataDxfId="3930"/>
    <tableColumn id="75" xr3:uid="{61F88A58-027D-4ADE-80A6-2191764AEA92}" name="FUNCTIONAL_CLASS_026" dataDxfId="3929"/>
    <tableColumn id="76" xr3:uid="{76F75D89-B469-4718-B440-42DDBCCE36B4}" name="YEAR_BUILT_027" dataDxfId="3928"/>
    <tableColumn id="77" xr3:uid="{4DA49C39-C88B-4258-A15E-88A55A010A27}" name="TRAFFIC_LANES_ON_028A" dataDxfId="3927"/>
    <tableColumn id="78" xr3:uid="{36280CA9-33FE-4764-8B93-787C4F5D6406}" name="TRAFFIC_LANES_UND_028B" dataDxfId="3926"/>
    <tableColumn id="79" xr3:uid="{F7E72958-C3F2-4B51-8081-F247BF26260D}" name="ADT_029" dataDxfId="3925"/>
    <tableColumn id="80" xr3:uid="{13EBEE88-EFC0-4122-A8A0-FBDF8CD40D1F}" name="YEAR_ADT_030" dataDxfId="3924"/>
    <tableColumn id="81" xr3:uid="{6CD4924F-FBA6-459A-9EC7-7162B01D1F87}" name="DESIGN_LOAD_031" dataDxfId="3923"/>
    <tableColumn id="82" xr3:uid="{0D79138E-1C2B-4D88-95A6-B9B3F4FE02A0}" name="APPR_WIDTH_MT_032" dataDxfId="3922"/>
    <tableColumn id="83" xr3:uid="{F1453675-C86F-4893-A49C-6D31A17AF742}" name="MEDIAN_CODE_033" dataDxfId="3921"/>
    <tableColumn id="84" xr3:uid="{19B741E2-ECBB-40F6-864A-42D63D94F048}" name="DEGREES_SKEW_034" dataDxfId="3920"/>
    <tableColumn id="85" xr3:uid="{CC321D2B-ED33-4B95-B171-E4105C38E953}" name="STRUCTURE_FLARED_035" dataDxfId="3919"/>
    <tableColumn id="86" xr3:uid="{83F4B87B-6F08-4E7D-9266-1AA68942BE64}" name="RAILINGS_036A" dataDxfId="3918"/>
    <tableColumn id="87" xr3:uid="{3D3117D2-82F2-496E-A2FF-2800B0372EAA}" name="TRANSITIONS_036B" dataDxfId="3917"/>
    <tableColumn id="88" xr3:uid="{A0F7ED8B-D159-48C0-AE31-3680DD060888}" name="APPR_RAIL_036C" dataDxfId="3916"/>
    <tableColumn id="89" xr3:uid="{36464774-082B-41DF-9178-0845ED6B0FAA}" name="APPR_RAIL_END_036D" dataDxfId="3915"/>
    <tableColumn id="90" xr3:uid="{336F7AE3-BE1A-45E3-9BB9-55418586AD1E}" name="HISTORY_037" dataDxfId="3914"/>
    <tableColumn id="91" xr3:uid="{0B67C68E-4864-43EA-A376-C400F3EC012A}" name="NAVIGATION_038" dataDxfId="3913"/>
    <tableColumn id="92" xr3:uid="{6B0A7559-1196-428C-B532-76DDAC42F665}" name="NAV_VERT_CLR_MT_039" dataDxfId="3912"/>
    <tableColumn id="93" xr3:uid="{ED8317E8-B77A-45D6-A918-CE81BCDF8EE0}" name="NAV_HORR_CLR_MT_040" dataDxfId="3911"/>
    <tableColumn id="94" xr3:uid="{DD111553-939F-42BC-81ED-96043182CD62}" name="OPEN_CLOSED_POSTED_041" dataDxfId="3910"/>
    <tableColumn id="95" xr3:uid="{0A2E5F06-A0C0-4760-89BF-3AA544B0C4B8}" name="SERVICE_ON_042A" dataDxfId="3909"/>
    <tableColumn id="96" xr3:uid="{25C353E1-102B-47BD-AC46-82BDC0E35F83}" name="SERVICE_UND_042B" dataDxfId="3908"/>
    <tableColumn id="97" xr3:uid="{A84FFF6B-B6C7-4141-A315-EC47BCC55E8E}" name="STRUCTURE_KIND_043A" dataDxfId="3907"/>
    <tableColumn id="98" xr3:uid="{D67E33D3-BE12-4221-8B8B-65E1BAB6B3BE}" name="STRUCTURE_TYPE_043B" dataDxfId="3906"/>
    <tableColumn id="99" xr3:uid="{DF5DAB56-1F3B-4FD5-9FE5-450C8C55A447}" name="APPR_KIND_044A" dataDxfId="3905"/>
    <tableColumn id="100" xr3:uid="{C58FA0D7-A62C-4773-AD3C-F3AC42F98247}" name="APPR_TYPE_044B" dataDxfId="3904"/>
    <tableColumn id="101" xr3:uid="{1A2F52A8-3573-4C6A-9119-BDEAE615BB50}" name="MAIN_UNIT_SPANS_045" dataDxfId="3903"/>
    <tableColumn id="102" xr3:uid="{EDE604FA-1B55-45A3-B3B9-0DD685506BB0}" name="APPR_SPANS_046" dataDxfId="3902"/>
    <tableColumn id="103" xr3:uid="{B28A561C-104F-43FC-9EC0-06EDB125538D}" name="HORR_CLR_MT_047" dataDxfId="3901"/>
    <tableColumn id="104" xr3:uid="{35EA1551-E9E0-4398-8F79-6A416BC8F1EA}" name="MAX_SPAN_LEN_MT_048" dataDxfId="3900"/>
    <tableColumn id="105" xr3:uid="{E2D5FD35-1322-4851-BB08-4D3163791B48}" name="STRUCTURE_LEN_MT_049" dataDxfId="3899"/>
    <tableColumn id="106" xr3:uid="{EF8CA2B0-E91C-4850-BEE3-78491D5DDE5E}" name="LEFT_CURB_MT_050A" dataDxfId="3898"/>
    <tableColumn id="107" xr3:uid="{8018F6E6-47A1-44C7-8132-0C0780A8B8DC}" name="RIGHT_CURB_MT_050B" dataDxfId="3897"/>
    <tableColumn id="108" xr3:uid="{A581D17B-A20D-4EA9-8D83-5C3BDDEF312B}" name="ROADWAY_WIDTH_MT_051" dataDxfId="3896"/>
    <tableColumn id="109" xr3:uid="{A4A47940-8913-4154-ADB2-D12AC4F94D6A}" name="DECK_WIDTH_MT_052" dataDxfId="3895"/>
    <tableColumn id="110" xr3:uid="{92482243-E9AC-452D-8031-6E50844F9B49}" name="VERT_CLR_OVER_MT_053" dataDxfId="3894"/>
    <tableColumn id="111" xr3:uid="{F733049D-E6D4-4791-8B6D-4B649303279D}" name="VERT_CLR_UND_REF_054A" dataDxfId="3893"/>
    <tableColumn id="112" xr3:uid="{19021031-D9F4-4C73-B909-8E19E3D10D4C}" name="VERT_CLR_UND_054B" dataDxfId="3892"/>
    <tableColumn id="113" xr3:uid="{DAF0F3F6-9586-4D65-BFE5-1F01AF356294}" name="LAT_UND_REF_055A" dataDxfId="3891"/>
    <tableColumn id="114" xr3:uid="{170DD410-C9E4-4CB7-AFBB-CE1E25B8403F}" name="LAT_UND_MT_055B" dataDxfId="3890"/>
    <tableColumn id="115" xr3:uid="{329733BF-A46C-4887-AC07-534191A56F26}" name="LEFT_LAT_UND_MT_056" dataDxfId="3889"/>
    <tableColumn id="116" xr3:uid="{A2406382-B427-4FC5-BAD7-8F0FD7A52F11}" name="DECK_COND_058" dataDxfId="3888"/>
    <tableColumn id="117" xr3:uid="{04539631-DCE3-44BC-9141-F975C0C573EF}" name="SUPERSTRUCTURE_COND_059" dataDxfId="3887"/>
    <tableColumn id="118" xr3:uid="{32FE0BE5-A66D-41FE-8F11-A2C9879BF0DC}" name="SUBSTRUCTURE_COND_060" dataDxfId="3886"/>
    <tableColumn id="119" xr3:uid="{18B2C4CB-CE44-46BE-A944-91F6852067F8}" name="CHANNEL_COND_061" dataDxfId="3885"/>
    <tableColumn id="120" xr3:uid="{7124426E-0033-4A09-BCF3-4E129820ABFC}" name="CULVERT_COND_062" dataDxfId="3884"/>
    <tableColumn id="121" xr3:uid="{8A9464D2-B4B9-40BC-9650-9650D75A7186}" name="OPR_RATING_METH_063" dataDxfId="3883"/>
    <tableColumn id="122" xr3:uid="{2255FE01-8375-4526-9AC4-2D52CF717CC7}" name="OPERATING_RATING_064" dataDxfId="3882"/>
    <tableColumn id="123" xr3:uid="{9F013DCC-B31A-4979-A022-5198923C5E1E}" name="INV_RATING_METH_065" dataDxfId="3881"/>
    <tableColumn id="124" xr3:uid="{39B08649-0859-4BAA-999B-B83CA53302C2}" name="INVENTORY_RATING_066" dataDxfId="3880"/>
    <tableColumn id="125" xr3:uid="{899568C8-0405-4B17-A3AF-107EA7027F9C}" name="STRUCTURAL_EVAL_067" dataDxfId="3879"/>
    <tableColumn id="126" xr3:uid="{DD61ED8D-221B-4286-B984-BD2D1E761EF5}" name="DECK_GEOMETRY_EVAL_068" dataDxfId="3878"/>
    <tableColumn id="127" xr3:uid="{4862A148-06C1-4BE1-B588-C1F41C968DCA}" name="UNDCLRENCE_EVAL_069" dataDxfId="3877"/>
    <tableColumn id="128" xr3:uid="{EE7CDEB0-B8E1-4A88-A57D-893C89394553}" name="POSTING_EVAL_070" dataDxfId="3876"/>
    <tableColumn id="129" xr3:uid="{5F2F58AC-8A1B-4052-86AB-25E7BAF63812}" name="WATERWAY_EVAL_071" dataDxfId="3875"/>
    <tableColumn id="130" xr3:uid="{2D91B79F-4F05-4B56-9368-4645355036BB}" name="APPR_ROAD_EVAL_072" dataDxfId="3874"/>
    <tableColumn id="131" xr3:uid="{659DE81E-076F-4BAD-A14F-EDEB7EE80C51}" name="WORK_PROPOSED_075A" dataDxfId="3873"/>
    <tableColumn id="132" xr3:uid="{7A69766E-FE5C-4611-93BA-858736FE31AA}" name="WORK_DONE_BY_075B" dataDxfId="3872"/>
    <tableColumn id="133" xr3:uid="{6D6B055D-3C91-4DD6-BAC9-2DA0A9D64569}" name="IMP_LEN_MT_076" dataDxfId="3871"/>
    <tableColumn id="134" xr3:uid="{0D09E0F0-E1F1-4139-A787-ACE28C319031}" name="DATE_OF_INSPECT_090" dataDxfId="3870"/>
    <tableColumn id="135" xr3:uid="{3C3438CB-BC34-4282-97B5-8DA1F882CFF4}" name="INSPECT_FREQ_MONTHS_091" dataDxfId="3869"/>
    <tableColumn id="136" xr3:uid="{B327CD6F-BD8C-4E84-A74F-A00173A51D31}" name="FRACTURE_092A" dataDxfId="3868"/>
    <tableColumn id="137" xr3:uid="{17983495-478E-4A98-947C-8E9737B30F6C}" name="UNDWATER_LOOK_SEE_092B" dataDxfId="3867"/>
    <tableColumn id="138" xr3:uid="{9B2EB63B-D3B6-410A-B3FA-52364AF3BC4B}" name="SPEC_INSPECT_092C" dataDxfId="3866"/>
    <tableColumn id="139" xr3:uid="{3BF530F5-A294-4E6C-8BD8-02A960F56537}" name="FRACTURE_LAST_DATE_093A" dataDxfId="3865"/>
    <tableColumn id="140" xr3:uid="{C8CBB9DD-8B21-446C-8CD6-009F48299DBC}" name="UNDWATER_LAST_DATE_093B" dataDxfId="3864"/>
    <tableColumn id="141" xr3:uid="{BFD228AE-C055-4AAA-AE2D-C6251496D43E}" name="SPEC_LAST_DATE_093C" dataDxfId="3863"/>
    <tableColumn id="142" xr3:uid="{FFE29985-6D75-4E08-8C09-59F11FE5A9C6}" name="BRIDGE_IMP_COST_094" dataDxfId="3862"/>
    <tableColumn id="143" xr3:uid="{49B40418-BE26-49A7-9BFD-7880A79EF826}" name="ROADWAY_IMP_COST_095" dataDxfId="3861"/>
    <tableColumn id="144" xr3:uid="{0FC621DB-1417-4A71-8294-7BA03ECEEA8F}" name="TOTAL_IMP_COST_096" dataDxfId="3860"/>
    <tableColumn id="145" xr3:uid="{A6DFB2CD-3CE3-4160-8A74-00F8B85DA57C}" name="YEAR_OF_IMP_097" dataDxfId="3859"/>
    <tableColumn id="146" xr3:uid="{1EBFDB80-AB1C-44E1-B40D-6C65B33C4099}" name="OTHER_STATE_CODE_098A" dataDxfId="3858"/>
    <tableColumn id="147" xr3:uid="{AF42F6E6-28F3-4969-8D31-EE547A443BCA}" name="OTHER_STATE_PCNT_098B" dataDxfId="3857"/>
    <tableColumn id="148" xr3:uid="{9D39480D-AED8-40C2-BFED-5C531036CB0B}" name="OTHR_STATE_STRUC_NO_099" dataDxfId="3856"/>
    <tableColumn id="149" xr3:uid="{2D53E5FB-5581-48FC-85B7-199866E4E9AF}" name="STRAHNET_HIGHWAY_100" dataDxfId="3855"/>
    <tableColumn id="150" xr3:uid="{AF8DDE8C-B7B2-466E-BD7D-407F17450E01}" name="PARALLEL_STRUCTURE_101" dataDxfId="3854"/>
    <tableColumn id="151" xr3:uid="{2D432602-A6D8-4184-A8AD-F0C8DC759C83}" name="TRAFFIC_DIRECTION_102" dataDxfId="3853"/>
    <tableColumn id="152" xr3:uid="{C93F72B0-8AC6-48F7-B9EF-1500A0F4A74B}" name="TEMP_STRUCTURE_103" dataDxfId="3852"/>
    <tableColumn id="153" xr3:uid="{D47F9200-CFAC-4AF4-B97D-3C398B2A2CCA}" name="HIGHWAY_SYSTEM_104" dataDxfId="3851"/>
    <tableColumn id="154" xr3:uid="{39AC02E4-5A32-487D-AC8E-DBA9C082B746}" name="FEDERAL_LANDS_105" dataDxfId="3850"/>
    <tableColumn id="155" xr3:uid="{ED037FA2-A9DA-4518-B164-E892FD6B779E}" name="YEAR_RECONSTRUCTED_106" dataDxfId="3849"/>
    <tableColumn id="156" xr3:uid="{5015D367-E7D2-4110-A7FA-FFD85998D5CB}" name="DECK_STRUCTURE_TYPE_107" dataDxfId="3848"/>
    <tableColumn id="157" xr3:uid="{595E17E8-54BF-4C77-B776-B68F24E7F9BB}" name="SURFACE_TYPE_108A" dataDxfId="3847"/>
    <tableColumn id="158" xr3:uid="{0702F437-125C-430E-BDC4-36413850B266}" name="MEMBRANE_TYPE_108B" dataDxfId="3846"/>
    <tableColumn id="159" xr3:uid="{F1D44C0A-4C76-4F19-836F-D560923600DC}" name="DECK_PROTECTION_108C" dataDxfId="3845"/>
    <tableColumn id="160" xr3:uid="{7B6BE494-6E53-4551-9300-C49685667167}" name="PERCENT_ADT_TRUCK_109" dataDxfId="3844"/>
    <tableColumn id="161" xr3:uid="{93D25E13-C1A2-42CE-A46D-FB181E52A2C5}" name="NATIONAL_NETWORK_110" dataDxfId="3843"/>
    <tableColumn id="162" xr3:uid="{FC386A17-EE00-4BB7-A3F6-99155F68D5DD}" name="PIER_PROTECTION_111" dataDxfId="3842"/>
    <tableColumn id="163" xr3:uid="{2D934FF3-4567-4437-82ED-D20496535301}" name="BRIDGE_LEN_IND_112" dataDxfId="3841"/>
    <tableColumn id="164" xr3:uid="{73177950-3E84-44D5-9237-613B837049D1}" name="SCOUR_CRITICAL_113" dataDxfId="3840"/>
    <tableColumn id="165" xr3:uid="{8A6AC1EB-A401-4374-965D-B042A22E1958}" name="FUTURE_ADT_114" dataDxfId="3839"/>
    <tableColumn id="166" xr3:uid="{62F3FC96-F41A-45B4-AB96-264B6295D35D}" name="YEAR_OF_FUTURE_ADT_115" dataDxfId="3838"/>
    <tableColumn id="167" xr3:uid="{7A6BFDC6-3D42-4E04-8791-68ECF2DB436D}" name="MIN_NAV_CLR_MT_116" dataDxfId="3837"/>
    <tableColumn id="168" xr3:uid="{EB8ABCCE-9A28-404C-9A5F-4E572A8E6D16}" name="FED_AGENCY" dataDxfId="3836"/>
    <tableColumn id="169" xr3:uid="{77DA08DA-D6AA-4FB5-99C5-4D3EF46EFB97}" name="SUBMITTED_BY" dataDxfId="3835"/>
    <tableColumn id="170" xr3:uid="{25691005-1240-40FF-8FD3-CB55ADD3DA60}" name="BRIDGE_CONDITION" dataDxfId="3834"/>
    <tableColumn id="171" xr3:uid="{D7FAEC1F-9AC0-40F7-B8DF-7D10CD2E0F04}" name="LOWEST_RATING" dataDxfId="3833"/>
    <tableColumn id="172" xr3:uid="{E3B0FA59-11CE-469A-BE3A-5A8FC0FAF3E4}" name="DECK_AREA" dataDxfId="3832"/>
    <tableColumn id="173" xr3:uid="{AD45496F-B03E-48C1-9A51-5005C517B072}" name="Detour_Duration" dataDxfId="3831"/>
    <tableColumn id="174" xr3:uid="{81FCF273-FBC2-4106-95B8-25042C97270A}" name="Min_Unit_Rebuilding_Cost($/ft2)" dataDxfId="3830"/>
    <tableColumn id="175" xr3:uid="{C79E5002-55E5-4C5C-8BC0-DB24966DD774}" name="Max_Unit_Rebuilding_Cost($/ft2)2" dataDxfId="3829"/>
    <tableColumn id="176" xr3:uid="{A83A3839-AEE6-4F8E-9045-8D0E188B541F}" name="Cost_Multiplier_for_Early_Replacement" dataDxfId="3828"/>
    <tableColumn id="177" xr3:uid="{1904FC25-ED37-4122-8FB8-E898DF46703C}" name="Assumed_Number_of_Lives_Lost_in_Bridge_Failure" dataDxfId="3827"/>
    <tableColumn id="178" xr3:uid="{319E6066-9F20-4146-BF9D-CF4845BCD8AA}" name="HYRISK_Cost_of_Faliure_term1" dataDxfId="3826"/>
    <tableColumn id="179" xr3:uid="{492DEB1E-6065-442A-AFD8-99758F107EB1}" name="HYRISK_Cost_of_Faliure_term2" dataDxfId="3825"/>
    <tableColumn id="180" xr3:uid="{F08709ED-AF2E-4C45-9A71-163BBDC98A82}" name="HYRISK_Cost_of_Faliure_term3" dataDxfId="3824"/>
    <tableColumn id="181" xr3:uid="{CA4FDD84-F536-45BF-9256-F11F3F6CC8AF}" name="HYRISK_Cost_of_Faliure_term4" dataDxfId="3823"/>
    <tableColumn id="182" xr3:uid="{B843B885-CF83-494D-BFFB-A08A69B64BD1}" name="Total_Cost_MUSD" dataDxfId="3822"/>
    <tableColumn id="186" xr3:uid="{0A84B00E-07FC-4483-94BF-D4A9DDA633F7}" name="Hazus_Failure_Prob_10" dataDxfId="3821"/>
    <tableColumn id="185" xr3:uid="{B4A4CC80-A28E-4668-BD8E-401EB84A8C65}" name="Hazus_Failure_Prob_50" dataDxfId="3820"/>
    <tableColumn id="184" xr3:uid="{7135044E-F675-40E1-A56F-FFA20C312F18}" name="Hazus_Failure_Prob_100" dataDxfId="3819"/>
    <tableColumn id="183" xr3:uid="{2E1D66E6-F8D7-45A7-B592-8D65DDBE8F2D}" name="Hazus_Failure_Prob_500" dataDxfId="3818"/>
    <tableColumn id="187" xr3:uid="{6ABF13B3-3F85-4215-B71D-B67121D09955}" name="Current_rating" dataDxfId="3817"/>
    <tableColumn id="283" xr3:uid="{9BC3F066-3466-4FD0-8B55-A0EF4D4E173F}" name="cost_repair_rating0" dataDxfId="3816">
      <calculatedColumnFormula>Table1[[#This Row],[cost_repair_rating1]]</calculatedColumnFormula>
    </tableColumn>
    <tableColumn id="192" xr3:uid="{839DF8FE-E6EB-4886-B1A9-E3891DDC35BA}" name="cost_repair_rating1" dataDxfId="3815">
      <calculatedColumnFormula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calculatedColumnFormula>
    </tableColumn>
    <tableColumn id="193" xr3:uid="{4276E78E-838D-488A-8478-191E91D96858}" name="cost_repair_rating2" dataDxfId="3814">
      <calculatedColumnFormula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calculatedColumnFormula>
    </tableColumn>
    <tableColumn id="194" xr3:uid="{A9D6080B-0DBB-43B4-BE35-593EC9C90CDB}" name="cost_repair_rating3" dataDxfId="3813">
      <calculatedColumnFormula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calculatedColumnFormula>
    </tableColumn>
    <tableColumn id="195" xr3:uid="{6457BB40-15A9-4CA4-83B6-F5F7220EA986}" name="cost_repair_rating4" dataDxfId="3812">
      <calculatedColumnFormula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calculatedColumnFormula>
    </tableColumn>
    <tableColumn id="196" xr3:uid="{84ED0105-FBAB-4F07-8DE6-3E689A6DE788}" name="cost_repair_rating5" dataDxfId="3811">
      <calculatedColumnFormula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calculatedColumnFormula>
    </tableColumn>
    <tableColumn id="197" xr3:uid="{78D589E3-2CB0-4B7B-A905-12519E8C1E4D}" name="cost_repair_rating6" dataDxfId="3810">
      <calculatedColumnFormula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calculatedColumnFormula>
    </tableColumn>
    <tableColumn id="198" xr3:uid="{1119FF4D-6DAA-4D60-82DE-6CCCAAC99A7D}" name="cost_repair_rating7" dataDxfId="3809"/>
    <tableColumn id="199" xr3:uid="{6408807D-5F8F-4859-AE35-5FFC4A30E034}" name="cost_repair_rating8" dataDxfId="3808"/>
    <tableColumn id="200" xr3:uid="{C771556F-2C63-46E8-B204-BDE9CC360232}" name="cost_repair_rating9" dataDxfId="3807"/>
    <tableColumn id="201" xr3:uid="{3AAB26A7-7F5C-40B3-836D-2725F8AF448F}" name="prob500-failure_rating1" dataDxfId="3806">
      <calculatedColumnFormula>2.5/100</calculatedColumnFormula>
    </tableColumn>
    <tableColumn id="202" xr3:uid="{DF1E7C05-8458-488C-818F-CF6448984517}" name="prob500-failure_rating2" dataDxfId="3805"/>
    <tableColumn id="203" xr3:uid="{22561FBB-561D-448C-80E7-D85182DA33FE}" name="prob500-failure_rating3" dataDxfId="3804"/>
    <tableColumn id="204" xr3:uid="{DBA2DEEC-F752-4067-A0D4-D6A940584D39}" name="prob500-failure_rating4" dataDxfId="3803"/>
    <tableColumn id="205" xr3:uid="{C11313AD-C04B-4FD1-8365-225D9FE9998A}" name="prob500-failure_rating5" dataDxfId="3802"/>
    <tableColumn id="206" xr3:uid="{89F5D2C5-4593-4D59-BB0F-2946B40DBC3B}" name="prob500-failure_rating6" dataDxfId="3801"/>
    <tableColumn id="207" xr3:uid="{268BD9A0-250C-4A86-B604-D8644374AB2C}" name="prob500-failure_rating7" dataDxfId="3800"/>
    <tableColumn id="208" xr3:uid="{5EF3A7BE-205B-411E-99AB-2031CBAB9EFA}" name="prob500-failure_rating8" dataDxfId="3799"/>
    <tableColumn id="209" xr3:uid="{339F4930-4B19-410D-8856-3B8196F9B3B1}" name="prob500-failure_rating9" dataDxfId="3798"/>
    <tableColumn id="210" xr3:uid="{F5A208BE-9950-4D04-816C-9DA5348EB531}" name="prob100-failure_rating1" dataDxfId="3797">
      <calculatedColumnFormula>1.25/100</calculatedColumnFormula>
    </tableColumn>
    <tableColumn id="211" xr3:uid="{7A9D3317-459C-483B-B5A6-ACBF2751A5FC}" name="prob100-failure_rating2" dataDxfId="3796"/>
    <tableColumn id="212" xr3:uid="{1CDCEEA1-4ACA-42CA-9A28-7F6EFFDABE05}" name="prob100-failure_rating3" dataDxfId="3795"/>
    <tableColumn id="213" xr3:uid="{38BBD3FA-3ACF-4ED7-862E-922F6A9E0735}" name="prob100-failure_rating4" dataDxfId="3794"/>
    <tableColumn id="214" xr3:uid="{19427C5A-9DA5-43C2-8C3E-C4F7E5F67EC2}" name="prob100-failure_rating5" dataDxfId="3793"/>
    <tableColumn id="215" xr3:uid="{362F3C97-57CA-40A1-8645-BAB6007C663D}" name="prob100-failure_rating6" dataDxfId="3792"/>
    <tableColumn id="216" xr3:uid="{C8DD2136-15EC-4349-9BF0-65C8E4FB7575}" name="prob100-failure_rating7" dataDxfId="3791"/>
    <tableColumn id="217" xr3:uid="{3C366B7B-B7C7-44D6-AAB4-40F8BDD93325}" name="prob100-failure_rating8" dataDxfId="3790"/>
    <tableColumn id="218" xr3:uid="{B3281B05-6260-4449-B4F9-62D7960F0AEA}" name="prob100-failure_rating9" dataDxfId="3789"/>
    <tableColumn id="219" xr3:uid="{77607F00-E7A0-453B-AC4B-62E07B49FF22}" name="prob50-failure_rating1" dataDxfId="3788"/>
    <tableColumn id="220" xr3:uid="{9DF724D2-02A8-4689-8A49-19B055C86DFA}" name="prob50-failure_rating2" dataDxfId="3787"/>
    <tableColumn id="221" xr3:uid="{BD569496-D57F-4BD2-BBB9-995AC07A453B}" name="prob50-failure_rating3" dataDxfId="3786"/>
    <tableColumn id="222" xr3:uid="{F5AD9123-4868-4808-A46F-C4F19243BB84}" name="prob50-failure_rating4" dataDxfId="3785"/>
    <tableColumn id="223" xr3:uid="{A35EB54D-048F-4E88-9C93-7EB54375294C}" name="prob50-failure_rating5" dataDxfId="3784"/>
    <tableColumn id="224" xr3:uid="{6D54796B-4831-4D0D-A714-94F80F1820A2}" name="prob50-failure_rating6" dataDxfId="3783"/>
    <tableColumn id="225" xr3:uid="{FDA42493-946B-4A72-AA50-6CA2B7FFD074}" name="prob50-failure_rating7" dataDxfId="3782"/>
    <tableColumn id="226" xr3:uid="{8810078C-AC20-40A7-A8B7-8BD190C5E7E3}" name="prob50-failure_rating8" dataDxfId="3781"/>
    <tableColumn id="227" xr3:uid="{708364E3-FF8A-4B69-BBC5-54BF2D0A8416}" name="prob50-failure_rating9" dataDxfId="3780"/>
    <tableColumn id="228" xr3:uid="{9A865DE5-7EC1-4F97-81B7-DCF836F934BA}" name="prob10-failure_rating1" dataDxfId="3779"/>
    <tableColumn id="229" xr3:uid="{F53D153B-7A34-43C8-AC6D-23B0D0726A01}" name="prob10-failure_rating2" dataDxfId="3778"/>
    <tableColumn id="230" xr3:uid="{66A0A43B-966B-4849-AF8D-E75141FD0B0F}" name="prob10-failure_rating3" dataDxfId="3777"/>
    <tableColumn id="231" xr3:uid="{2B38CBC6-9AFF-4DF8-B511-BD40A2B4238D}" name="prob10-failure_rating4" dataDxfId="3776"/>
    <tableColumn id="232" xr3:uid="{E535DD13-C88F-4989-9DE6-313E93526EF9}" name="prob10-failure_rating5" dataDxfId="3775"/>
    <tableColumn id="233" xr3:uid="{00FDF21E-C7B2-4D34-A5BA-2A44A432B2F3}" name="prob10-failure_rating6" dataDxfId="3774"/>
    <tableColumn id="234" xr3:uid="{F97726AC-4A1F-48BC-B414-B3C2D206A9EB}" name="prob10-failure_rating7" dataDxfId="3773"/>
    <tableColumn id="235" xr3:uid="{3236F954-8939-4CD8-B1ED-7BD98B501C38}" name="prob10-failure_rating8" dataDxfId="3772"/>
    <tableColumn id="236" xr3:uid="{3EA165FC-A7BE-4063-B9FB-D07590B1A351}" name="prob10-failure_rating9" dataDxfId="3771"/>
    <tableColumn id="237" xr3:uid="{AC623FCE-CD01-45A2-834D-1BD74DA50C8F}" name="failurecost500_rating1" dataDxfId="3770">
      <calculatedColumnFormula>Table1[[#This Row],[Total_Cost_MUSD]]*Table1[[#This Row],[prob500-failure_rating1]]*1000000/500</calculatedColumnFormula>
    </tableColumn>
    <tableColumn id="238" xr3:uid="{DE7CE838-F469-4E64-BEA5-09AD8FA56973}" name="failurecost500_rating2" dataDxfId="3769">
      <calculatedColumnFormula>Table1[[#This Row],[Total_Cost_MUSD]]*Table1[[#This Row],[prob500-failure_rating2]]*1000000/500</calculatedColumnFormula>
    </tableColumn>
    <tableColumn id="239" xr3:uid="{65BD6066-12B1-4EAA-BC85-904F94E9CEFB}" name="failurecost500_rating3" dataDxfId="3768">
      <calculatedColumnFormula>Table1[[#This Row],[Total_Cost_MUSD]]*Table1[[#This Row],[prob500-failure_rating3]]*1000000/500</calculatedColumnFormula>
    </tableColumn>
    <tableColumn id="240" xr3:uid="{3B43467B-F45A-40A0-847B-40D59BAC6C03}" name="failurecost500_rating4" dataDxfId="3767">
      <calculatedColumnFormula>Table1[[#This Row],[Total_Cost_MUSD]]*Table1[[#This Row],[prob500-failure_rating4]]*1000000/500</calculatedColumnFormula>
    </tableColumn>
    <tableColumn id="241" xr3:uid="{9E51F50E-2A9A-43B6-A6A2-06445F71A5AD}" name="failurecost500_rating5" dataDxfId="3766">
      <calculatedColumnFormula>Table1[[#This Row],[Total_Cost_MUSD]]*Table1[[#This Row],[prob500-failure_rating5]]*1000000/500</calculatedColumnFormula>
    </tableColumn>
    <tableColumn id="242" xr3:uid="{CC26BE31-0089-454F-845B-3ECC9ADD124A}" name="failurecost500_rating6" dataDxfId="3765">
      <calculatedColumnFormula>Table1[[#This Row],[Total_Cost_MUSD]]*Table1[[#This Row],[prob500-failure_rating6]]*1000000/500</calculatedColumnFormula>
    </tableColumn>
    <tableColumn id="243" xr3:uid="{7D295D18-FDED-4F98-9719-FEFA0A6CE96D}" name="failurecost500_rating7" dataDxfId="3764">
      <calculatedColumnFormula>Table1[[#This Row],[Total_Cost_MUSD]]*Table1[[#This Row],[prob500-failure_rating7]]*1000000/500</calculatedColumnFormula>
    </tableColumn>
    <tableColumn id="244" xr3:uid="{9C78FDF5-0142-407C-98C8-4E67695DD482}" name="failurecost500_rating8" dataDxfId="3763">
      <calculatedColumnFormula>Table1[[#This Row],[Total_Cost_MUSD]]*Table1[[#This Row],[prob500-failure_rating8]]*1000000/500</calculatedColumnFormula>
    </tableColumn>
    <tableColumn id="245" xr3:uid="{5521BD20-1F8A-4AFC-8661-38F7A6C1A2CB}" name="failurecost500_rating9" dataDxfId="3762">
      <calculatedColumnFormula>Table1[[#This Row],[Total_Cost_MUSD]]*Table1[[#This Row],[prob500-failure_rating9]]*1000000/500</calculatedColumnFormula>
    </tableColumn>
    <tableColumn id="246" xr3:uid="{8F2C0ED2-83C6-49E2-9B7A-44AD184267FE}" name="failurecost100_rating1" dataDxfId="3761">
      <calculatedColumnFormula>Table1[[#This Row],[Total_Cost_MUSD]]*Table1[[#This Row],[prob100-failure_rating1]]*1000000/100</calculatedColumnFormula>
    </tableColumn>
    <tableColumn id="247" xr3:uid="{8DBAA7A3-F1C8-4EFE-9583-EF6BF6B360F0}" name="failurecost100_rating2" dataDxfId="3760">
      <calculatedColumnFormula>Table1[[#This Row],[Total_Cost_MUSD]]*Table1[[#This Row],[prob100-failure_rating2]]*1000000/100</calculatedColumnFormula>
    </tableColumn>
    <tableColumn id="248" xr3:uid="{E3B69A12-4201-490E-AE82-6B8DBF49EC05}" name="failurecost100_rating3" dataDxfId="3759">
      <calculatedColumnFormula>Table1[[#This Row],[Total_Cost_MUSD]]*Table1[[#This Row],[prob100-failure_rating3]]*1000000/100</calculatedColumnFormula>
    </tableColumn>
    <tableColumn id="249" xr3:uid="{29091465-4844-440A-8AD2-BE8AC8FD1063}" name="failurecost100_rating4" dataDxfId="3758">
      <calculatedColumnFormula>Table1[[#This Row],[Total_Cost_MUSD]]*Table1[[#This Row],[prob100-failure_rating4]]*1000000/100</calculatedColumnFormula>
    </tableColumn>
    <tableColumn id="250" xr3:uid="{4406B5DC-BD8F-42F5-AD35-7019F30F3A42}" name="failurecost100_rating5" dataDxfId="3757">
      <calculatedColumnFormula>Table1[[#This Row],[Total_Cost_MUSD]]*Table1[[#This Row],[prob100-failure_rating5]]*1000000/100</calculatedColumnFormula>
    </tableColumn>
    <tableColumn id="251" xr3:uid="{325E3217-A772-46E3-9D74-87EE8DBD8061}" name="failurecost100_rating6" dataDxfId="3756">
      <calculatedColumnFormula>Table1[[#This Row],[Total_Cost_MUSD]]*Table1[[#This Row],[prob100-failure_rating6]]*1000000/100</calculatedColumnFormula>
    </tableColumn>
    <tableColumn id="252" xr3:uid="{CE59B3CC-9BE9-4790-9648-331D025F7A1B}" name="failurecost100_rating7" dataDxfId="3755">
      <calculatedColumnFormula>Table1[[#This Row],[Total_Cost_MUSD]]*Table1[[#This Row],[prob100-failure_rating7]]*1000000/100</calculatedColumnFormula>
    </tableColumn>
    <tableColumn id="253" xr3:uid="{631FD385-30E7-43A6-B098-E51218891ABF}" name="failurecost100_rating8" dataDxfId="3754">
      <calculatedColumnFormula>Table1[[#This Row],[Total_Cost_MUSD]]*Table1[[#This Row],[prob100-failure_rating8]]*1000000/100</calculatedColumnFormula>
    </tableColumn>
    <tableColumn id="254" xr3:uid="{D2178D75-058B-465C-9157-73CCE649E4E2}" name="failurecost100_rating9" dataDxfId="3753">
      <calculatedColumnFormula>Table1[[#This Row],[Total_Cost_MUSD]]*Table1[[#This Row],[prob100-failure_rating9]]*1000000/100</calculatedColumnFormula>
    </tableColumn>
    <tableColumn id="255" xr3:uid="{DAA3A073-CA5C-44AA-BE94-CED8B5289DDD}" name="failurecost50_rating1" dataDxfId="3752">
      <calculatedColumnFormula>Table1[[#This Row],[Total_Cost_MUSD]]*Table1[[#This Row],[prob50-failure_rating1]]*1000000/50</calculatedColumnFormula>
    </tableColumn>
    <tableColumn id="256" xr3:uid="{5E297846-4FB9-4AA2-A408-6DE957596916}" name="failurecost50_rating2" dataDxfId="3751">
      <calculatedColumnFormula>Table1[[#This Row],[Total_Cost_MUSD]]*Table1[[#This Row],[prob50-failure_rating2]]*1000000/50</calculatedColumnFormula>
    </tableColumn>
    <tableColumn id="257" xr3:uid="{7ACC3E22-F5C5-4B4B-AC3A-90F844628401}" name="failurecost50_rating3" dataDxfId="3750">
      <calculatedColumnFormula>Table1[[#This Row],[Total_Cost_MUSD]]*Table1[[#This Row],[prob50-failure_rating3]]*1000000/50</calculatedColumnFormula>
    </tableColumn>
    <tableColumn id="258" xr3:uid="{0313A9AA-A346-4EE3-9D50-E8DF745BD75B}" name="failurecost50_rating4" dataDxfId="3749">
      <calculatedColumnFormula>Table1[[#This Row],[Total_Cost_MUSD]]*Table1[[#This Row],[prob50-failure_rating4]]*1000000/50</calculatedColumnFormula>
    </tableColumn>
    <tableColumn id="259" xr3:uid="{3E421570-0871-43C6-A1B5-089A7BCAD472}" name="failurecost50_rating5" dataDxfId="3748">
      <calculatedColumnFormula>Table1[[#This Row],[Total_Cost_MUSD]]*Table1[[#This Row],[prob50-failure_rating5]]*1000000/50</calculatedColumnFormula>
    </tableColumn>
    <tableColumn id="260" xr3:uid="{01789463-E330-46D9-BA35-75F7ECEB1400}" name="failurecost50_rating6" dataDxfId="3747">
      <calculatedColumnFormula>Table1[[#This Row],[Total_Cost_MUSD]]*Table1[[#This Row],[prob50-failure_rating6]]*1000000/50</calculatedColumnFormula>
    </tableColumn>
    <tableColumn id="261" xr3:uid="{72D8FA15-87AD-450C-A488-DADC015C1AA8}" name="failurecost50_rating7" dataDxfId="3746">
      <calculatedColumnFormula>Table1[[#This Row],[Total_Cost_MUSD]]*Table1[[#This Row],[prob50-failure_rating7]]*1000000/50</calculatedColumnFormula>
    </tableColumn>
    <tableColumn id="262" xr3:uid="{84A724F7-ADBF-41D6-B972-1F371B522658}" name="failurecost50_rating8" dataDxfId="3745">
      <calculatedColumnFormula>Table1[[#This Row],[Total_Cost_MUSD]]*Table1[[#This Row],[prob50-failure_rating8]]*1000000/50</calculatedColumnFormula>
    </tableColumn>
    <tableColumn id="263" xr3:uid="{AB4C0FDE-527F-4A0C-9B53-4C7D93ED84BF}" name="failurecost50_rating9" dataDxfId="3744">
      <calculatedColumnFormula>Table1[[#This Row],[Total_Cost_MUSD]]*Table1[[#This Row],[prob50-failure_rating9]]*1000000/50</calculatedColumnFormula>
    </tableColumn>
    <tableColumn id="273" xr3:uid="{3A3CD4ED-42B1-445C-BE0A-9753415AD7E6}" name="failurecost10_rating1" dataDxfId="3743">
      <calculatedColumnFormula>Table1[[#This Row],[Total_Cost_MUSD]]*Table1[[#This Row],[prob10-failure_rating1]]*1000000/10</calculatedColumnFormula>
    </tableColumn>
    <tableColumn id="274" xr3:uid="{228ED43B-FDC8-4A6A-BA4D-102A06C8D7C2}" name="failurecost10_rating2" dataDxfId="3742">
      <calculatedColumnFormula>Table1[[#This Row],[Total_Cost_MUSD]]*Table1[[#This Row],[prob10-failure_rating2]]*1000000/10</calculatedColumnFormula>
    </tableColumn>
    <tableColumn id="275" xr3:uid="{261EACB9-92C6-4946-B19D-F4B12EB5A132}" name="failurecost10_rating3" dataDxfId="3741">
      <calculatedColumnFormula>Table1[[#This Row],[Total_Cost_MUSD]]*Table1[[#This Row],[prob10-failure_rating3]]*1000000/10</calculatedColumnFormula>
    </tableColumn>
    <tableColumn id="276" xr3:uid="{01455219-CCEB-445A-82C8-7E469456FD67}" name="failurecost10_rating4" dataDxfId="3740">
      <calculatedColumnFormula>Table1[[#This Row],[Total_Cost_MUSD]]*Table1[[#This Row],[prob10-failure_rating4]]*1000000/10</calculatedColumnFormula>
    </tableColumn>
    <tableColumn id="277" xr3:uid="{8F37C65A-781C-410F-98A9-37381D97A8DA}" name="failurecost10_rating5" dataDxfId="3739">
      <calculatedColumnFormula>Table1[[#This Row],[Total_Cost_MUSD]]*Table1[[#This Row],[prob10-failure_rating5]]*1000000/10</calculatedColumnFormula>
    </tableColumn>
    <tableColumn id="278" xr3:uid="{12D2D93C-5E8F-4732-8B75-8CA370870322}" name="failurecost10_rating6" dataDxfId="3738">
      <calculatedColumnFormula>Table1[[#This Row],[Total_Cost_MUSD]]*Table1[[#This Row],[prob10-failure_rating6]]*1000000/10</calculatedColumnFormula>
    </tableColumn>
    <tableColumn id="279" xr3:uid="{AF4EB0B7-FF8F-45D7-AF08-54DC304B8F1D}" name="failurecost10_rating7" dataDxfId="3737">
      <calculatedColumnFormula>Table1[[#This Row],[Total_Cost_MUSD]]*Table1[[#This Row],[prob10-failure_rating7]]*1000000/10</calculatedColumnFormula>
    </tableColumn>
    <tableColumn id="280" xr3:uid="{FCF6652E-BE3C-40C0-A035-008DE2797215}" name="failurecost10_rating8" dataDxfId="3736">
      <calculatedColumnFormula>Table1[[#This Row],[Total_Cost_MUSD]]*Table1[[#This Row],[prob10-failure_rating8]]*1000000/10</calculatedColumnFormula>
    </tableColumn>
    <tableColumn id="281" xr3:uid="{51B03388-AA2B-4E82-A540-DF1805237C37}" name="failurecost10_rating9" dataDxfId="3735">
      <calculatedColumnFormula>Table1[[#This Row],[Total_Cost_MUSD]]*Table1[[#This Row],[prob10-failure_rating9]]*1000000/10</calculatedColumnFormula>
    </tableColumn>
    <tableColumn id="282" xr3:uid="{DEA801B6-8B3F-4FED-BD77-1F7605A09D5C}" name="FailureCost_Rating0" dataDxfId="3734">
      <calculatedColumnFormula>Table1[[#This Row],[FailureCost_Rating1]]</calculatedColumnFormula>
    </tableColumn>
    <tableColumn id="264" xr3:uid="{C3A25B80-7384-40D9-BECE-D80182E08A28}" name="FailureCost_Rating1" dataDxfId="3733">
      <calculatedColumnFormula>Table1[[#This Row],[failurecost500_rating1]]+Table1[[#This Row],[failurecost100_rating1]]+Table1[[#This Row],[failurecost50_rating1]]+Table1[[#This Row],[failurecost10_rating1]]</calculatedColumnFormula>
    </tableColumn>
    <tableColumn id="265" xr3:uid="{3E5A1530-6723-4F2E-B00B-389ADF2813E9}" name="FailureCost_Rating2" dataDxfId="3732">
      <calculatedColumnFormula>Table1[[#This Row],[failurecost500_rating2]]+Table1[[#This Row],[failurecost100_rating2]]+Table1[[#This Row],[failurecost50_rating2]]+Table1[[#This Row],[failurecost10_rating2]]</calculatedColumnFormula>
    </tableColumn>
    <tableColumn id="266" xr3:uid="{38C8FB4D-F2E6-4F53-8A74-535583449E86}" name="FailureCost_Rating3" dataDxfId="3731">
      <calculatedColumnFormula>Table1[[#This Row],[failurecost500_rating2]]+Table1[[#This Row],[failurecost100_rating2]]+Table1[[#This Row],[failurecost50_rating2]]+Table1[[#This Row],[failurecost10_rating2]]</calculatedColumnFormula>
    </tableColumn>
    <tableColumn id="267" xr3:uid="{004B4C98-E4DA-47FB-9C42-50696A281751}" name="FailureCost_Rating4" dataDxfId="3730">
      <calculatedColumnFormula>Table1[[#This Row],[failurecost500_rating3]]+Table1[[#This Row],[failurecost100_rating3]]+Table1[[#This Row],[failurecost50_rating3]]+Table1[[#This Row],[failurecost10_rating3]]</calculatedColumnFormula>
    </tableColumn>
    <tableColumn id="268" xr3:uid="{A03F88A6-FA27-4CD9-A223-F430BB87468D}" name="FailureCost_Rating5" dataDxfId="3729">
      <calculatedColumnFormula>Table1[[#This Row],[failurecost500_rating3]]+Table1[[#This Row],[failurecost100_rating3]]+Table1[[#This Row],[failurecost50_rating3]]+Table1[[#This Row],[failurecost10_rating3]]</calculatedColumnFormula>
    </tableColumn>
    <tableColumn id="269" xr3:uid="{2637CB8B-CB2C-4D77-B709-47064A927B7B}" name="FailureCost_Rating6" dataDxfId="3728">
      <calculatedColumnFormula>Table1[[#This Row],[failurecost500_rating4]]+Table1[[#This Row],[failurecost100_rating4]]+Table1[[#This Row],[failurecost50_rating4]]+Table1[[#This Row],[failurecost10_rating4]]</calculatedColumnFormula>
    </tableColumn>
    <tableColumn id="270" xr3:uid="{604E94D3-CB89-417C-A335-B2CB7C063CF8}" name="FailureCost_Rating7" dataDxfId="3727">
      <calculatedColumnFormula>Table1[[#This Row],[failurecost500_rating4]]+Table1[[#This Row],[failurecost100_rating4]]+Table1[[#This Row],[failurecost50_rating4]]+Table1[[#This Row],[failurecost10_rating4]]</calculatedColumnFormula>
    </tableColumn>
    <tableColumn id="271" xr3:uid="{379133E8-E5D1-4E5F-BF78-4D6F8402BBC7}" name="FailureCost_Rating8" dataDxfId="3726">
      <calculatedColumnFormula>Table1[[#This Row],[failurecost500_rating5]]+Table1[[#This Row],[failurecost100_rating5]]+Table1[[#This Row],[failurecost50_rating5]]+Table1[[#This Row],[failurecost10_rating5]]</calculatedColumnFormula>
    </tableColumn>
    <tableColumn id="272" xr3:uid="{10C648B8-C602-4E70-B31C-56E709D75148}" name="FailureCost_Rating9" dataDxfId="3725">
      <calculatedColumnFormula>Table1[[#This Row],[failurecost500_rating5]]+Table1[[#This Row],[failurecost100_rating5]]+Table1[[#This Row],[failurecost50_rating5]]+Table1[[#This Row],[failurecost10_rating5]]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DE59CB-7B3A-4800-82F8-BF860CDCCDF9}" name="Table15678911" displayName="Table15678911" ref="A1:JY20" totalsRowShown="0" headerRowDxfId="1434" dataDxfId="1433">
  <autoFilter ref="A1:JY20" xr:uid="{1E05EA88-988A-4182-B643-40FC3C5FB242}"/>
  <tableColumns count="285">
    <tableColumn id="1" xr3:uid="{61E77D14-29FD-4603-85CD-7632EA11F046}" name="Number" dataDxfId="1432"/>
    <tableColumn id="2" xr3:uid="{F24B2312-F33C-4AC8-B6E2-4CEA6FBF48A2}" name="Structure Name" dataDxfId="1431"/>
    <tableColumn id="3" xr3:uid="{ABFCC3A5-6EDB-4750-B96A-C44EC4DDEB3D}" name="Body of water" dataDxfId="1430"/>
    <tableColumn id="4" xr3:uid="{C47B81FF-1E27-45D0-BE03-5021CA8EFCEB}" name="Lattitude" dataDxfId="1429"/>
    <tableColumn id="5" xr3:uid="{2E22B566-B9C5-444E-9FCB-649D6C83A605}" name="Longitude" dataDxfId="1428"/>
    <tableColumn id="6" xr3:uid="{D8CD8A50-68E3-445C-B6FE-2F08F6ACE42E}" name="Depth50" dataDxfId="1427"/>
    <tableColumn id="7" xr3:uid="{1D99DD66-9071-4952-8DBA-76BAFE0E0BBE}" name="Depth10" dataDxfId="1426"/>
    <tableColumn id="8" xr3:uid="{6DC19462-1FBE-4ED7-9717-3D3A57B87A0E}" name="Depth100" dataDxfId="1425"/>
    <tableColumn id="9" xr3:uid="{E3FDAE5E-7D38-482F-928E-87A2D4DC3315}" name="Depth500" dataDxfId="1424"/>
    <tableColumn id="10" xr3:uid="{4458CA59-8AD0-461B-9EA8-E6D2718ADC82}" name="Depth0_area" dataDxfId="1423"/>
    <tableColumn id="11" xr3:uid="{44B62A42-BA3E-4544-8E79-C109327B064C}" name="Depth0_wet" dataDxfId="1422"/>
    <tableColumn id="12" xr3:uid="{EF8A3DC6-1F6E-468E-BB03-7A1B2896AA79}" name="Depth10_area" dataDxfId="1421"/>
    <tableColumn id="13" xr3:uid="{6B09F524-5A29-4731-A55F-7351A8F9A2FB}" name="Depth10_wet" dataDxfId="1420"/>
    <tableColumn id="14" xr3:uid="{31A6A59D-C868-4EEC-92D4-041F06039784}" name="Depth50_area" dataDxfId="1419"/>
    <tableColumn id="15" xr3:uid="{8A337667-A632-4946-852C-DA5DAC659CD1}" name="Depth50_wet" dataDxfId="1418"/>
    <tableColumn id="16" xr3:uid="{9A1CA8C9-F1BA-43A4-A600-36F7454C7B28}" name="Depth100_area" dataDxfId="1417"/>
    <tableColumn id="17" xr3:uid="{5D10D663-43A3-4820-B55B-E66452D88600}" name="Depth100_wet" dataDxfId="1416"/>
    <tableColumn id="18" xr3:uid="{AF484D8F-B3ED-41C6-9CD7-E512BA9C5A01}" name="Depth500_area" dataDxfId="1415"/>
    <tableColumn id="19" xr3:uid="{B93BF7B9-1E6C-4E09-864D-E627910E2E99}" name="Depth500_wet" dataDxfId="1414"/>
    <tableColumn id="20" xr3:uid="{AF2BA610-1848-44CB-B27F-06EEE7E8D08E}" name="Depth0_HydraulicRadius" dataDxfId="1413"/>
    <tableColumn id="21" xr3:uid="{9B9662F5-9447-4F08-9783-D2627D7E4D4B}" name="Depth10_HydraulicRadius" dataDxfId="1412"/>
    <tableColumn id="22" xr3:uid="{2DACCB6E-8497-4E0D-B9B0-B87A48994257}" name="Depth50_HydraulicRadius" dataDxfId="1411"/>
    <tableColumn id="23" xr3:uid="{A8E62510-A2B7-451B-A250-A887BF00A956}" name="Depth100_HydraulicRadius" dataDxfId="1410"/>
    <tableColumn id="24" xr3:uid="{FC3A7C95-C9D8-4055-AF66-C09A3A3B6553}" name="Depth500_HydraulicRadius" dataDxfId="1409"/>
    <tableColumn id="25" xr3:uid="{6BBB9367-C144-4BB8-99F5-E1BE43C35E88}" name="Slope" dataDxfId="1408"/>
    <tableColumn id="26" xr3:uid="{4E2D087F-E543-4FFE-903C-2834F64B45A6}" name="Foundation_Depth" dataDxfId="1407"/>
    <tableColumn id="27" xr3:uid="{2A82C1C1-CA0D-4E76-B462-7217C98D1402}" name="Depth10_velocity" dataDxfId="1406"/>
    <tableColumn id="28" xr3:uid="{CA610B7C-6415-4549-9AF0-0247FFAF630E}" name="Depth50_velocity" dataDxfId="1405"/>
    <tableColumn id="29" xr3:uid="{18BB6DD4-4BE0-497C-921C-4F88A5073F67}" name="Depth100_velocity" dataDxfId="1404"/>
    <tableColumn id="30" xr3:uid="{7CFBA51F-B023-4837-A805-E7E5D930C8CD}" name="Depth500_velocity" dataDxfId="1403"/>
    <tableColumn id="31" xr3:uid="{E7F5BA31-5DEA-44C1-94DD-B9045AD09E1D}" name="Depth10_Froud" dataDxfId="1402"/>
    <tableColumn id="32" xr3:uid="{47C7395D-C7F1-4A95-BD83-A7678006151E}" name="Depth50_Froud" dataDxfId="1401"/>
    <tableColumn id="33" xr3:uid="{6160A3CF-D3F7-4FEB-8963-4536F8023977}" name="Depth100_Froud" dataDxfId="1400"/>
    <tableColumn id="34" xr3:uid="{13B225BF-D927-4BC3-8ED1-17BDF70331B9}" name="Depth500_Froud" dataDxfId="1399"/>
    <tableColumn id="35" xr3:uid="{AB70DA31-A80C-4946-B775-694BDBEA766E}" name="Depth10_Scour" dataDxfId="1398"/>
    <tableColumn id="36" xr3:uid="{AD4293C6-7CFC-468F-83E5-00D0724C5292}" name="Depth50_Scour" dataDxfId="1397"/>
    <tableColumn id="37" xr3:uid="{B111053F-B248-443A-84D8-A5F447F753D1}" name="Depth100_Scour" dataDxfId="1396"/>
    <tableColumn id="38" xr3:uid="{D16764D0-BAA3-4613-B03C-A6C8AF1E9D7B}" name="Depth500_Scour" dataDxfId="1395"/>
    <tableColumn id="39" xr3:uid="{AA7EA056-E795-4C9C-8E8D-0BAD46613368}" name="Depth10_Soil_vol" dataDxfId="1394"/>
    <tableColumn id="40" xr3:uid="{21C0EE42-009B-4AB7-977E-1AA0386788BA}" name="Depth50_Soil_vol" dataDxfId="1393"/>
    <tableColumn id="41" xr3:uid="{0D565048-20AB-42F6-9E10-F4B15DEFCCB0}" name="Depth100_Soil_vol" dataDxfId="1392"/>
    <tableColumn id="42" xr3:uid="{A39B74AF-99CA-4781-9BD0-E859723DB69B}" name="Depth500_Soil_vol" dataDxfId="1391"/>
    <tableColumn id="191" xr3:uid="{2BDF34BB-9F9F-4986-8D26-65163AC7511B}" name="Depth10_cost" dataDxfId="1390">
      <calculatedColumnFormula>Table15678911[[#This Row],[Depth10_Soil_vol]]*(9.353+9.027)+(Table15678911[[#This Row],[Depth10_Soil_vol]]/2.5)*20*1.053+(PI()*Table15678911[[#This Row],[Depth10_Scour]])*Table15678911[[#This Row],[DECK_WIDTH_MT_052]]*1.062</calculatedColumnFormula>
    </tableColumn>
    <tableColumn id="190" xr3:uid="{A1DC1F76-28C1-41B2-B1A1-CAF3C38E0C08}" name="Depth50_cost" dataDxfId="1389">
      <calculatedColumnFormula>Table15678911[[#This Row],[Depth50_Soil_vol]]*(9.353+9.027)+(Table15678911[[#This Row],[Depth50_Soil_vol]]/2.5)*20*1.053+(PI()*Table15678911[[#This Row],[Depth50_Scour]])*Table15678911[[#This Row],[DECK_WIDTH_MT_052]]*1.062</calculatedColumnFormula>
    </tableColumn>
    <tableColumn id="189" xr3:uid="{499A945D-B112-430B-AECA-486A56AE370E}" name="Depth100_cost" dataDxfId="1388">
      <calculatedColumnFormula>Table15678911[[#This Row],[Depth100_Soil_vol]]*(9.353+9.027)+(Table15678911[[#This Row],[Depth100_Soil_vol]]/2.5)*20*1.053+(PI()*Table15678911[[#This Row],[Depth100_Scour]])*Table15678911[[#This Row],[DECK_WIDTH_MT_052]]*1.062</calculatedColumnFormula>
    </tableColumn>
    <tableColumn id="188" xr3:uid="{1FF55056-56F3-454E-852E-973A183F5BEB}" name="Depth500_cost" dataDxfId="1387">
      <calculatedColumnFormula>Table15678911[[#This Row],[Depth500_Soil_vol]]*(9.353+9.027)+(Table15678911[[#This Row],[Depth500_Soil_vol]]/2.5)*20*1.053+(PI()*Table15678911[[#This Row],[Depth500_Scour]])*Table15678911[[#This Row],[DECK_WIDTH_MT_052]]*1.062</calculatedColumnFormula>
    </tableColumn>
    <tableColumn id="43" xr3:uid="{8AEF3794-0ABC-41C4-B749-5259F1F8ED9A}" name="Foundation_Width" dataDxfId="1386"/>
    <tableColumn id="44" xr3:uid="{D6A780D4-0D9F-42ED-A898-5BD03B0D661C}" name="Foundation_length" dataDxfId="1385"/>
    <tableColumn id="45" xr3:uid="{30904C9E-3DBE-4E62-ABAB-76DC968D1977}" name="Shape" dataDxfId="1384"/>
    <tableColumn id="46" xr3:uid="{A15B1E74-6E6C-4C88-8B73-E830B8D6A10E}" name="Depth10_Rating" dataDxfId="1383"/>
    <tableColumn id="47" xr3:uid="{0CFEA762-9C52-43B1-A798-2060D1ED8A7C}" name="Depth50_Rating" dataDxfId="1382"/>
    <tableColumn id="48" xr3:uid="{9B74028E-00DE-47BC-95C4-E99BD99F9170}" name="Depth100_Rating" dataDxfId="1381"/>
    <tableColumn id="49" xr3:uid="{C03D0EBF-F0AC-49F7-B193-2A8894CB37DA}" name="Depth500_Rating" dataDxfId="1380"/>
    <tableColumn id="50" xr3:uid="{E4D9D9D3-6B2C-4A43-8613-53EFDAEE7942}" name="STATE_CODE_001" dataDxfId="1379"/>
    <tableColumn id="51" xr3:uid="{78643A86-CEC5-4F33-A125-BE40D5F12AEC}" name="STRUCTURE_NUMBER_008" dataDxfId="1378"/>
    <tableColumn id="52" xr3:uid="{E91E3EE6-D83F-4114-949A-428B5430FB17}" name="LAT_016" dataDxfId="1377"/>
    <tableColumn id="53" xr3:uid="{8BED1E44-796A-4622-915E-31E721FFD4BF}" name="LONG_017" dataDxfId="1376"/>
    <tableColumn id="54" xr3:uid="{AC74E7D2-ED5F-4469-ADCC-238C7EC94769}" name="RECORD_TYPE_005A" dataDxfId="1375"/>
    <tableColumn id="55" xr3:uid="{3CCA37D7-CFB8-4C1E-A78B-D1A2A321E93C}" name="ROUTE_PREFIX_005B" dataDxfId="1374"/>
    <tableColumn id="56" xr3:uid="{96CBF102-0167-432A-8EAB-E46BCDDA373A}" name="SERVICE_LEVEL_005C" dataDxfId="1373"/>
    <tableColumn id="57" xr3:uid="{9FB1BF94-74D4-43F4-8451-4D2D7927CA74}" name="ROUTE_NUMBER_005D" dataDxfId="1372"/>
    <tableColumn id="58" xr3:uid="{92D5ED0B-EF3D-4F7E-ACBE-19A9B29DBFBE}" name="DIRECTION_005E" dataDxfId="1371"/>
    <tableColumn id="59" xr3:uid="{CD9530BA-5E3D-420E-8613-320B70344865}" name="HIGHWAY_DISTRICT_002" dataDxfId="1370"/>
    <tableColumn id="60" xr3:uid="{80A557BD-EF01-45CA-A713-F7F54D64F359}" name="COUNTY_CODE_003" dataDxfId="1369"/>
    <tableColumn id="61" xr3:uid="{4797595A-5891-48F5-AEF3-4DA45660C896}" name="PLACE_CODE_004" dataDxfId="1368"/>
    <tableColumn id="62" xr3:uid="{811E4B0F-F2A0-401C-9A3B-ECC18B2AFA3D}" name="FEATURES_DESC_006A" dataDxfId="1367"/>
    <tableColumn id="63" xr3:uid="{A672B067-82F8-4855-B264-41BA3F17A7A9}" name="CRITICAL_FACILITY_006B" dataDxfId="1366"/>
    <tableColumn id="64" xr3:uid="{3F5A6676-BDE6-4301-82EB-F953365310A1}" name="FACILITY_CARRIED_007" dataDxfId="1365"/>
    <tableColumn id="65" xr3:uid="{9980F436-8C4F-4EDC-B0F7-BDD41974427A}" name="LOCATION_009" dataDxfId="1364"/>
    <tableColumn id="66" xr3:uid="{FE2FAF19-AE41-4ADC-AF7C-2E67746F8E0C}" name="MIN_VERT_CLR_010" dataDxfId="1363"/>
    <tableColumn id="67" xr3:uid="{CF751A2B-C219-493A-80B3-03A3397B371B}" name="KILOPOINT_011" dataDxfId="1362"/>
    <tableColumn id="68" xr3:uid="{E5098352-C894-4922-80F9-F46552CBE5CA}" name="BASE_HWY_NETWORK_012" dataDxfId="1361"/>
    <tableColumn id="69" xr3:uid="{EEF878F5-6D1C-4601-95BB-4A20537CA0D3}" name="LRS_INV_ROUTE_013A" dataDxfId="1360"/>
    <tableColumn id="70" xr3:uid="{178E66BC-C814-4D8C-A392-6D7FCAB58D5F}" name="SUBROUTE_NO_013B" dataDxfId="1359"/>
    <tableColumn id="71" xr3:uid="{54E5FBED-9AD2-41C9-A141-BF7FE964CC0D}" name="DETOUR_KILOS_019" dataDxfId="1358"/>
    <tableColumn id="72" xr3:uid="{68A84B89-DC76-41E4-A973-8128B4AEB257}" name="TOLL_020" dataDxfId="1357"/>
    <tableColumn id="73" xr3:uid="{54C56A2E-A78B-450F-964F-2FCD5E80DC2D}" name="MAINTENANCE_021" dataDxfId="1356"/>
    <tableColumn id="74" xr3:uid="{646CACD9-F3E5-45D8-8BEA-294AC9FA0A35}" name="OWNER_022" dataDxfId="1355"/>
    <tableColumn id="75" xr3:uid="{AC9BCE1A-DF6D-4BB0-BA2A-23CF744679DF}" name="FUNCTIONAL_CLASS_026" dataDxfId="1354"/>
    <tableColumn id="76" xr3:uid="{AB7F3519-B10B-4E40-991E-F5786880F8A8}" name="YEAR_BUILT_027" dataDxfId="1353"/>
    <tableColumn id="77" xr3:uid="{723E9339-BBE6-42E0-A368-CB0F3CC780DC}" name="TRAFFIC_LANES_ON_028A" dataDxfId="1352"/>
    <tableColumn id="78" xr3:uid="{A1CC9DEA-58B0-4FB1-9CD4-34079958821D}" name="TRAFFIC_LANES_UND_028B" dataDxfId="1351"/>
    <tableColumn id="79" xr3:uid="{6530B594-9A6C-47FC-8845-FCF057B681FA}" name="ADT_029" dataDxfId="1350"/>
    <tableColumn id="80" xr3:uid="{51BE0A9E-7F50-41FF-B501-619418BB7C53}" name="YEAR_ADT_030" dataDxfId="1349"/>
    <tableColumn id="81" xr3:uid="{D9A921F6-6303-4F34-AEEC-F1A9793FA6CD}" name="DESIGN_LOAD_031" dataDxfId="1348"/>
    <tableColumn id="82" xr3:uid="{6788FC21-2B37-4AB2-9278-8C6B392BCA73}" name="APPR_WIDTH_MT_032" dataDxfId="1347"/>
    <tableColumn id="83" xr3:uid="{D3F09CF1-A490-41C0-A66B-682DA0B39C11}" name="MEDIAN_CODE_033" dataDxfId="1346"/>
    <tableColumn id="84" xr3:uid="{B92DDF78-CFBD-4048-BF46-EC2EA94717F5}" name="DEGREES_SKEW_034" dataDxfId="1345"/>
    <tableColumn id="85" xr3:uid="{D81C4C22-FF56-4FC5-AEAA-6AB72AA2F74A}" name="STRUCTURE_FLARED_035" dataDxfId="1344"/>
    <tableColumn id="86" xr3:uid="{4C771229-C0A5-44FF-B272-0AEA8067179C}" name="RAILINGS_036A" dataDxfId="1343"/>
    <tableColumn id="87" xr3:uid="{D037368E-A8E7-42CD-9B34-83763302CB4B}" name="TRANSITIONS_036B" dataDxfId="1342"/>
    <tableColumn id="88" xr3:uid="{1F46CEE1-8539-44D7-AD53-EF7F04C84804}" name="APPR_RAIL_036C" dataDxfId="1341"/>
    <tableColumn id="89" xr3:uid="{73B21239-58AB-4381-BC1D-9A93DC7066BE}" name="APPR_RAIL_END_036D" dataDxfId="1340"/>
    <tableColumn id="90" xr3:uid="{2333D7B7-05A0-4012-9126-77A23CE5B679}" name="HISTORY_037" dataDxfId="1339"/>
    <tableColumn id="91" xr3:uid="{B4EC974B-FDE7-4A72-AFC4-7DC762E17459}" name="NAVIGATION_038" dataDxfId="1338"/>
    <tableColumn id="92" xr3:uid="{4FCF60E5-44C1-4542-8E9D-8C38AFE901C9}" name="NAV_VERT_CLR_MT_039" dataDxfId="1337"/>
    <tableColumn id="93" xr3:uid="{25A7012A-C1BA-458D-B1AC-30CE8D7616AF}" name="NAV_HORR_CLR_MT_040" dataDxfId="1336"/>
    <tableColumn id="94" xr3:uid="{CE35F77D-83B5-4715-A547-97E90B4CC3AB}" name="OPEN_CLOSED_POSTED_041" dataDxfId="1335"/>
    <tableColumn id="95" xr3:uid="{DBE63CD2-9E63-4B74-AF80-41E9E4AF56C7}" name="SERVICE_ON_042A" dataDxfId="1334"/>
    <tableColumn id="96" xr3:uid="{46BC0068-D84A-4907-BFA5-50137D459740}" name="SERVICE_UND_042B" dataDxfId="1333"/>
    <tableColumn id="97" xr3:uid="{FA38DA26-00E0-4B8A-B0CC-C2AF3840E63B}" name="STRUCTURE_KIND_043A" dataDxfId="1332"/>
    <tableColumn id="98" xr3:uid="{74786DBB-B668-467E-AA90-3DEEFE8F948C}" name="STRUCTURE_TYPE_043B" dataDxfId="1331"/>
    <tableColumn id="99" xr3:uid="{AA4AD510-6247-4269-979F-123D354DD039}" name="APPR_KIND_044A" dataDxfId="1330"/>
    <tableColumn id="100" xr3:uid="{7F602968-1DD5-4EDF-B955-DDAE40CC1FDA}" name="APPR_TYPE_044B" dataDxfId="1329"/>
    <tableColumn id="101" xr3:uid="{9A504704-4EBA-4A70-83F2-C812695DF7BC}" name="MAIN_UNIT_SPANS_045" dataDxfId="1328"/>
    <tableColumn id="102" xr3:uid="{7B11CD24-3EEF-423A-B761-420229803C0B}" name="APPR_SPANS_046" dataDxfId="1327"/>
    <tableColumn id="103" xr3:uid="{24151BDA-935F-4BBE-B859-7EB42DDF75F3}" name="HORR_CLR_MT_047" dataDxfId="1326"/>
    <tableColumn id="104" xr3:uid="{140CD4DB-3C51-4B67-8835-36BF03D6281D}" name="MAX_SPAN_LEN_MT_048" dataDxfId="1325"/>
    <tableColumn id="105" xr3:uid="{FF5B209C-4F5B-4801-AF70-A356E35CEECE}" name="STRUCTURE_LEN_MT_049" dataDxfId="1324"/>
    <tableColumn id="106" xr3:uid="{1D8982CA-ABCE-486C-96B4-B2BB2CA264F9}" name="LEFT_CURB_MT_050A" dataDxfId="1323"/>
    <tableColumn id="107" xr3:uid="{7D80020D-BC5B-4AC6-A5F3-1EBFA96BAD3F}" name="RIGHT_CURB_MT_050B" dataDxfId="1322"/>
    <tableColumn id="108" xr3:uid="{1A6E498E-9FCE-469E-B4B4-793ABCC386F9}" name="ROADWAY_WIDTH_MT_051" dataDxfId="1321"/>
    <tableColumn id="109" xr3:uid="{19AA5785-DA08-4330-9EB5-7102AB24C6AE}" name="DECK_WIDTH_MT_052" dataDxfId="1320"/>
    <tableColumn id="110" xr3:uid="{E455D58A-0BC1-4228-92BD-00F275A55B7C}" name="VERT_CLR_OVER_MT_053" dataDxfId="1319"/>
    <tableColumn id="111" xr3:uid="{E3FCF67B-DFC6-4F50-9D55-32A6708FADD4}" name="VERT_CLR_UND_REF_054A" dataDxfId="1318"/>
    <tableColumn id="112" xr3:uid="{4DE6A338-9E05-4252-A306-D0BEE146CB1B}" name="VERT_CLR_UND_054B" dataDxfId="1317"/>
    <tableColumn id="113" xr3:uid="{6A9B4006-49D2-45C9-8E4C-55767C1EC24E}" name="LAT_UND_REF_055A" dataDxfId="1316"/>
    <tableColumn id="114" xr3:uid="{3B89B46A-DAA6-4DAF-B9F6-EEC991922256}" name="LAT_UND_MT_055B" dataDxfId="1315"/>
    <tableColumn id="115" xr3:uid="{2F254669-D5DE-4B30-9639-1807665045B9}" name="LEFT_LAT_UND_MT_056" dataDxfId="1314"/>
    <tableColumn id="116" xr3:uid="{A7776885-3C4F-42DE-A173-1FC74EE4526B}" name="DECK_COND_058" dataDxfId="1313"/>
    <tableColumn id="117" xr3:uid="{BEA637A2-56ED-4256-97DC-60B83137AD64}" name="SUPERSTRUCTURE_COND_059" dataDxfId="1312"/>
    <tableColumn id="118" xr3:uid="{1A2CB354-7ECB-4106-979D-54E504C9C432}" name="SUBSTRUCTURE_COND_060" dataDxfId="1311"/>
    <tableColumn id="119" xr3:uid="{0EDBDA69-54FB-45CA-BFA5-BCA3A4EF4EEE}" name="CHANNEL_COND_061" dataDxfId="1310"/>
    <tableColumn id="120" xr3:uid="{271B7708-7F5D-4A91-9C8E-5BE033F31D58}" name="CULVERT_COND_062" dataDxfId="1309"/>
    <tableColumn id="121" xr3:uid="{61E02867-879B-46CA-A3BD-0D804BBD3953}" name="OPR_RATING_METH_063" dataDxfId="1308"/>
    <tableColumn id="122" xr3:uid="{623DEB18-2462-422A-B99A-B4E6150EC2DD}" name="OPERATING_RATING_064" dataDxfId="1307"/>
    <tableColumn id="123" xr3:uid="{C8E4FF0A-31A2-4E22-B1AA-0308FBFC7ECD}" name="INV_RATING_METH_065" dataDxfId="1306"/>
    <tableColumn id="124" xr3:uid="{DE94DA4E-3130-47F1-A6D3-5478D1D5DB59}" name="INVENTORY_RATING_066" dataDxfId="1305"/>
    <tableColumn id="125" xr3:uid="{A84BA93A-76EC-4F0D-A750-CB15A895C57B}" name="STRUCTURAL_EVAL_067" dataDxfId="1304"/>
    <tableColumn id="126" xr3:uid="{552D7DD9-D71F-49DA-8C47-4733B5D56029}" name="DECK_GEOMETRY_EVAL_068" dataDxfId="1303"/>
    <tableColumn id="127" xr3:uid="{4CE9E429-5314-4456-ADF0-02880F748CCB}" name="UNDCLRENCE_EVAL_069" dataDxfId="1302"/>
    <tableColumn id="128" xr3:uid="{58FB88CC-DCB1-4899-BACB-449A5D7095BF}" name="POSTING_EVAL_070" dataDxfId="1301"/>
    <tableColumn id="129" xr3:uid="{E0021DB4-2FC6-461A-B0DB-D29B42F8D539}" name="WATERWAY_EVAL_071" dataDxfId="1300"/>
    <tableColumn id="130" xr3:uid="{DB61807C-87A2-4E3C-AAD8-51E275659C4F}" name="APPR_ROAD_EVAL_072" dataDxfId="1299"/>
    <tableColumn id="131" xr3:uid="{4CE27089-3039-4DF5-B8D4-C3E03DE05A4B}" name="WORK_PROPOSED_075A" dataDxfId="1298"/>
    <tableColumn id="132" xr3:uid="{98B5037D-E1AB-45D7-B35B-E6B588EC8FD0}" name="WORK_DONE_BY_075B" dataDxfId="1297"/>
    <tableColumn id="133" xr3:uid="{CDEA34DA-C7A1-4A1E-A3F2-F2D0B9B81313}" name="IMP_LEN_MT_076" dataDxfId="1296"/>
    <tableColumn id="134" xr3:uid="{86213E7E-0735-4D0F-8BA2-09CD115FB6E0}" name="DATE_OF_INSPECT_090" dataDxfId="1295"/>
    <tableColumn id="135" xr3:uid="{BB108584-CC92-44EC-943C-38019FFAEBBD}" name="INSPECT_FREQ_MONTHS_091" dataDxfId="1294"/>
    <tableColumn id="136" xr3:uid="{C6853996-48F6-4ACD-AD5B-92114377C9EC}" name="FRACTURE_092A" dataDxfId="1293"/>
    <tableColumn id="137" xr3:uid="{8B7175CF-5855-46ED-A90B-6048CE20D759}" name="UNDWATER_LOOK_SEE_092B" dataDxfId="1292"/>
    <tableColumn id="138" xr3:uid="{24489B5F-9619-4793-8F67-4D188E2A29BE}" name="SPEC_INSPECT_092C" dataDxfId="1291"/>
    <tableColumn id="139" xr3:uid="{4FC1130A-EB06-4C40-A92F-EE32EFCFCD0A}" name="FRACTURE_LAST_DATE_093A" dataDxfId="1290"/>
    <tableColumn id="140" xr3:uid="{BF981C37-FE7B-4D94-81B5-981631B0A02F}" name="UNDWATER_LAST_DATE_093B" dataDxfId="1289"/>
    <tableColumn id="141" xr3:uid="{C7841BC1-5326-497F-B820-F5429D33F492}" name="SPEC_LAST_DATE_093C" dataDxfId="1288"/>
    <tableColumn id="142" xr3:uid="{185E219A-13ED-4E3D-A296-0E437B691FBE}" name="BRIDGE_IMP_COST_094" dataDxfId="1287"/>
    <tableColumn id="143" xr3:uid="{27F6427D-6AA8-488C-B05A-D39615C6BE42}" name="ROADWAY_IMP_COST_095" dataDxfId="1286"/>
    <tableColumn id="144" xr3:uid="{D5EF7E78-9839-4A3A-8EA5-48BE9856BF2C}" name="TOTAL_IMP_COST_096" dataDxfId="1285"/>
    <tableColumn id="145" xr3:uid="{E3F9A3A6-7D60-4EBD-9BE2-88BF9D495CF0}" name="YEAR_OF_IMP_097" dataDxfId="1284"/>
    <tableColumn id="146" xr3:uid="{1653124B-4291-47F5-AECC-323538DDD2DA}" name="OTHER_STATE_CODE_098A" dataDxfId="1283"/>
    <tableColumn id="147" xr3:uid="{6A3A4A90-A77D-4CE7-98A2-578544C5AE19}" name="OTHER_STATE_PCNT_098B" dataDxfId="1282"/>
    <tableColumn id="148" xr3:uid="{B24F8BDD-B74F-41CD-8706-1869F0AD0934}" name="OTHR_STATE_STRUC_NO_099" dataDxfId="1281"/>
    <tableColumn id="149" xr3:uid="{9D525D67-B74F-49A1-B763-921CD56E9AED}" name="STRAHNET_HIGHWAY_100" dataDxfId="1280"/>
    <tableColumn id="150" xr3:uid="{59961E16-3560-4D01-A438-1A81D78011E4}" name="PARALLEL_STRUCTURE_101" dataDxfId="1279"/>
    <tableColumn id="151" xr3:uid="{7BE89546-F98B-4EB9-8AEE-2C4F7BB1425A}" name="TRAFFIC_DIRECTION_102" dataDxfId="1278"/>
    <tableColumn id="152" xr3:uid="{725B174A-1876-4D8D-8DD0-2BAFDEB1BC3D}" name="TEMP_STRUCTURE_103" dataDxfId="1277"/>
    <tableColumn id="153" xr3:uid="{FB6075CB-1CAE-4026-9DDD-677108D4916E}" name="HIGHWAY_SYSTEM_104" dataDxfId="1276"/>
    <tableColumn id="154" xr3:uid="{1BA4859E-A0B9-418A-A852-F0E8D557B789}" name="FEDERAL_LANDS_105" dataDxfId="1275"/>
    <tableColumn id="155" xr3:uid="{392B304F-249F-46F7-9040-8605A006D50E}" name="YEAR_RECONSTRUCTED_106" dataDxfId="1274"/>
    <tableColumn id="156" xr3:uid="{B4B6758B-FA95-4224-95DC-CA9DEB7A9634}" name="DECK_STRUCTURE_TYPE_107" dataDxfId="1273"/>
    <tableColumn id="157" xr3:uid="{C08A5890-A2B5-4D8C-9037-20B22C89C736}" name="SURFACE_TYPE_108A" dataDxfId="1272"/>
    <tableColumn id="158" xr3:uid="{00F302AB-4072-4388-A824-B9F4DA2BC5F0}" name="MEMBRANE_TYPE_108B" dataDxfId="1271"/>
    <tableColumn id="159" xr3:uid="{090BB387-5850-4CE2-9900-0A4BEC9F3CCB}" name="DECK_PROTECTION_108C" dataDxfId="1270"/>
    <tableColumn id="160" xr3:uid="{2CED9A3B-529F-4EA9-8E50-B2E5DE4BC89D}" name="PERCENT_ADT_TRUCK_109" dataDxfId="1269"/>
    <tableColumn id="161" xr3:uid="{722F03B3-C458-4294-A8BC-3051C3495638}" name="NATIONAL_NETWORK_110" dataDxfId="1268"/>
    <tableColumn id="162" xr3:uid="{B89D4BA4-91E7-45DA-8616-BD3B1133FE91}" name="PIER_PROTECTION_111" dataDxfId="1267"/>
    <tableColumn id="163" xr3:uid="{36A83EC2-3075-4A2B-9F9A-1932438A7DC1}" name="BRIDGE_LEN_IND_112" dataDxfId="1266"/>
    <tableColumn id="164" xr3:uid="{875B01DE-16DA-4EFE-BD60-9CC0AF63848C}" name="SCOUR_CRITICAL_113" dataDxfId="1265"/>
    <tableColumn id="165" xr3:uid="{305DA5D5-2542-436A-9B63-7EADE8831AB2}" name="FUTURE_ADT_114" dataDxfId="1264"/>
    <tableColumn id="166" xr3:uid="{75B881AC-C8E8-4CCE-BF7C-79C1750BCCDB}" name="YEAR_OF_FUTURE_ADT_115" dataDxfId="1263"/>
    <tableColumn id="167" xr3:uid="{9A0CA7E4-9C80-4F81-9891-387CEE0DDD93}" name="MIN_NAV_CLR_MT_116" dataDxfId="1262"/>
    <tableColumn id="168" xr3:uid="{BA10D736-461D-459A-B78B-6C072B7403F1}" name="FED_AGENCY" dataDxfId="1261"/>
    <tableColumn id="169" xr3:uid="{BB5CD9BF-5676-4FB9-BDA9-823C13064F72}" name="SUBMITTED_BY" dataDxfId="1260"/>
    <tableColumn id="170" xr3:uid="{ACB917A4-26D1-45DC-AB45-2646C4FFA325}" name="BRIDGE_CONDITION" dataDxfId="1259"/>
    <tableColumn id="171" xr3:uid="{282E3A1F-CF6A-4F78-A37B-52220688E5DE}" name="LOWEST_RATING" dataDxfId="1258"/>
    <tableColumn id="172" xr3:uid="{4D1235EC-6C5C-4A0E-8028-8FF5861F1B5E}" name="DECK_AREA" dataDxfId="1257"/>
    <tableColumn id="173" xr3:uid="{1D1A3135-2DF9-43B0-99F8-03464A7544A7}" name="Detour_Duration" dataDxfId="1256"/>
    <tableColumn id="174" xr3:uid="{02F936E4-624B-4F48-9E13-554C10DC87E1}" name="Min_Unit_Rebuilding_Cost($/ft2)" dataDxfId="1255"/>
    <tableColumn id="175" xr3:uid="{41F9672F-FE5E-4747-B5FD-322EE01C3F61}" name="Max_Unit_Rebuilding_Cost($/ft2)2" dataDxfId="1254"/>
    <tableColumn id="176" xr3:uid="{31A729DC-EFFD-4E2B-857B-D57A80FFF836}" name="Cost_Multiplier_for_Early_Replacement" dataDxfId="1253"/>
    <tableColumn id="177" xr3:uid="{41720C87-EBF8-49B0-84AD-3B766FFE739B}" name="Assumed_Number_of_Lives_Lost_in_Bridge_Failure" dataDxfId="1252"/>
    <tableColumn id="178" xr3:uid="{57AD5596-0EDA-4420-9965-FE6A33DECE26}" name="HYRISK_Cost_of_Faliure_term1" dataDxfId="1251"/>
    <tableColumn id="179" xr3:uid="{7597103D-3A63-4134-B437-684C58B06675}" name="HYRISK_Cost_of_Faliure_term2" dataDxfId="1250"/>
    <tableColumn id="180" xr3:uid="{FDC37E35-6238-4EA7-B4CE-2D00DEBC51CA}" name="HYRISK_Cost_of_Faliure_term3" dataDxfId="1249"/>
    <tableColumn id="181" xr3:uid="{657ACF49-71B7-41AC-88AE-0687CBDC5D1A}" name="HYRISK_Cost_of_Faliure_term4" dataDxfId="1248"/>
    <tableColumn id="285" xr3:uid="{3843E5F6-B7F7-4742-AF09-0567FB2A527F}" name="HYRISK_Cost_of_Faliure_term5" dataDxfId="1247"/>
    <tableColumn id="286" xr3:uid="{AA93AC3D-F266-41BB-B7C7-9EC906FF2ACE}" name="Rating_decay" dataDxfId="1246">
      <calculatedColumnFormula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calculatedColumnFormula>
    </tableColumn>
    <tableColumn id="182" xr3:uid="{D7BA144A-6726-4526-99C4-2885C099996E}" name="Total_Cost_MUSD" dataDxfId="1245"/>
    <tableColumn id="186" xr3:uid="{6B3F8DAE-1C6D-4D69-B51C-2946A3E8CAAD}" name="Hazus_Failure_Prob_10" dataDxfId="1244"/>
    <tableColumn id="185" xr3:uid="{FE08B2D4-D30C-4F93-A483-D3240AEA7E60}" name="Hazus_Failure_Prob_50" dataDxfId="1243"/>
    <tableColumn id="184" xr3:uid="{F0626D69-A418-4197-B55B-8F8755D78C46}" name="Hazus_Failure_Prob_100" dataDxfId="1242"/>
    <tableColumn id="183" xr3:uid="{10945FD5-94A9-414B-A750-A474A4D6CBE2}" name="Hazus_Failure_Prob_500" dataDxfId="1241"/>
    <tableColumn id="187" xr3:uid="{F7F06C56-E7B2-471D-BAA1-68BAC59E6BA8}" name="Current_rating" dataDxfId="1240"/>
    <tableColumn id="283" xr3:uid="{619E4540-EB6E-487F-8D7E-98ADA640CA08}" name="cost_repair_rating0" dataDxfId="1239">
      <calculatedColumnFormula>Sheet4!Q32*$GF2*1000000</calculatedColumnFormula>
    </tableColumn>
    <tableColumn id="192" xr3:uid="{F20F843D-6BB2-42B1-AE10-F4E443800B61}" name="cost_repair_rating1" dataDxfId="1238">
      <calculatedColumnFormula>Sheet4!R32*$GF2*1000000</calculatedColumnFormula>
    </tableColumn>
    <tableColumn id="193" xr3:uid="{0C91942C-57F8-4B89-86A7-5543B72879A6}" name="cost_repair_rating2" dataDxfId="1237">
      <calculatedColumnFormula>Sheet4!S32*$GF2*1000000</calculatedColumnFormula>
    </tableColumn>
    <tableColumn id="194" xr3:uid="{F40268BF-7F93-4C6B-9F54-268D164D9809}" name="cost_repair_rating3" dataDxfId="1236">
      <calculatedColumnFormula>Sheet4!T32*$GF2*1000000</calculatedColumnFormula>
    </tableColumn>
    <tableColumn id="195" xr3:uid="{49B61C99-D1B0-421E-9E98-4E1EA8717253}" name="cost_repair_rating4" dataDxfId="1235">
      <calculatedColumnFormula>Sheet4!U32*$GF2*1000000</calculatedColumnFormula>
    </tableColumn>
    <tableColumn id="196" xr3:uid="{DCFFCE02-07DC-4918-B8D0-C8882D55D25B}" name="cost_repair_rating5" dataDxfId="1234">
      <calculatedColumnFormula>Sheet4!V32*$GF2*1000000</calculatedColumnFormula>
    </tableColumn>
    <tableColumn id="197" xr3:uid="{6CFC9BA6-F173-4BD8-9912-19ABD66DFE47}" name="cost_repair_rating6" dataDxfId="1233">
      <calculatedColumnFormula>Sheet4!W32*$GF2*1000000</calculatedColumnFormula>
    </tableColumn>
    <tableColumn id="198" xr3:uid="{99222B24-C8D9-4BF7-A17F-7CADA1B720CA}" name="cost_repair_rating7" dataDxfId="1232"/>
    <tableColumn id="199" xr3:uid="{52B1E488-8819-48FF-A4C8-036276F6EB30}" name="cost_repair_rating8" dataDxfId="1231"/>
    <tableColumn id="200" xr3:uid="{C842ACE5-EB13-4F62-BDB7-6F65C34B50BA}" name="cost_repair_rating9" dataDxfId="1230"/>
    <tableColumn id="201" xr3:uid="{5F6399FE-653B-455C-91FD-657E1ABF8C44}" name="prob500-failure_rating1" dataDxfId="1229">
      <calculatedColumnFormula>2.5/100</calculatedColumnFormula>
    </tableColumn>
    <tableColumn id="202" xr3:uid="{4A3BC25D-59F4-4D92-AAFF-11FEE17C9867}" name="prob500-failure_rating2" dataDxfId="1228"/>
    <tableColumn id="203" xr3:uid="{FE55834A-44E8-44D3-9EE7-5CD33D7A85D8}" name="prob500-failure_rating3" dataDxfId="1227"/>
    <tableColumn id="204" xr3:uid="{22A0A574-216A-44A0-82BC-181F18634568}" name="prob500-failure_rating4" dataDxfId="1226"/>
    <tableColumn id="205" xr3:uid="{CCBDA00D-EC1E-481E-921B-096EBE4E1A2D}" name="prob500-failure_rating5" dataDxfId="1225"/>
    <tableColumn id="206" xr3:uid="{680EAE71-79C6-4FB1-82CF-EFA90CD723BF}" name="prob500-failure_rating6" dataDxfId="1224"/>
    <tableColumn id="207" xr3:uid="{FD46A458-6F4B-44F0-92E4-6F5417E5DE1F}" name="prob500-failure_rating7" dataDxfId="1223"/>
    <tableColumn id="208" xr3:uid="{615B0512-B889-4E4E-A310-0FF9D17C43C3}" name="prob500-failure_rating8" dataDxfId="1222"/>
    <tableColumn id="209" xr3:uid="{0E7CB67E-228F-4F8E-A758-0278F94E6F8D}" name="prob500-failure_rating9" dataDxfId="1221"/>
    <tableColumn id="210" xr3:uid="{F21ED235-1921-4334-A07C-2EA87622462A}" name="prob100-failure_rating1" dataDxfId="1220">
      <calculatedColumnFormula>1.25/100</calculatedColumnFormula>
    </tableColumn>
    <tableColumn id="211" xr3:uid="{EBCF1916-8C0E-4496-B3D1-37DB0E3FA6BC}" name="prob100-failure_rating2" dataDxfId="1219"/>
    <tableColumn id="212" xr3:uid="{72F2ADC0-03C5-4C9A-8AC7-487355D0F82C}" name="prob100-failure_rating3" dataDxfId="1218"/>
    <tableColumn id="213" xr3:uid="{DBB50B45-40BD-4AB5-9A7B-3F7F5B7E5E81}" name="prob100-failure_rating4" dataDxfId="1217"/>
    <tableColumn id="214" xr3:uid="{273664FB-D6AD-4DF8-A30B-D7D4D38B8E90}" name="prob100-failure_rating5" dataDxfId="1216"/>
    <tableColumn id="215" xr3:uid="{DCF536D4-B729-4747-AE13-196A5A90A012}" name="prob100-failure_rating6" dataDxfId="1215"/>
    <tableColumn id="216" xr3:uid="{4582F005-3EEE-4345-BE71-4EA044A2DC2E}" name="prob100-failure_rating7" dataDxfId="1214"/>
    <tableColumn id="217" xr3:uid="{CCB239F3-8113-44BC-8044-808A853B468C}" name="prob100-failure_rating8" dataDxfId="1213"/>
    <tableColumn id="218" xr3:uid="{BA6DC132-CBC5-4499-B9A4-3602C0FF3A2F}" name="prob100-failure_rating9" dataDxfId="1212"/>
    <tableColumn id="219" xr3:uid="{B894972F-374A-423B-9695-0FEED370F3EE}" name="prob50-failure_rating1" dataDxfId="1211"/>
    <tableColumn id="220" xr3:uid="{0F460FA7-31AA-48C3-AE0F-248BDB9ED279}" name="prob50-failure_rating2" dataDxfId="1210"/>
    <tableColumn id="221" xr3:uid="{BB9F2FE8-7853-4475-806D-CCEFE8EE2B39}" name="prob50-failure_rating3" dataDxfId="1209"/>
    <tableColumn id="222" xr3:uid="{1842AFED-A67E-40F0-BDD0-D5D80E0CCDB2}" name="prob50-failure_rating4" dataDxfId="1208"/>
    <tableColumn id="223" xr3:uid="{3313E8EA-A218-4F1D-869D-D0F244C0318A}" name="prob50-failure_rating5" dataDxfId="1207"/>
    <tableColumn id="224" xr3:uid="{1976474E-CBFB-44A4-8E6A-F90A9D397C79}" name="prob50-failure_rating6" dataDxfId="1206"/>
    <tableColumn id="225" xr3:uid="{948CCA05-AFEE-4FC7-A19F-3781C5917012}" name="prob50-failure_rating7" dataDxfId="1205"/>
    <tableColumn id="226" xr3:uid="{63F9A4D0-CDD7-4AB6-A308-E899C3582BD3}" name="prob50-failure_rating8" dataDxfId="1204"/>
    <tableColumn id="227" xr3:uid="{B52D28DE-A618-48ED-A71C-0BAB35AF1EFD}" name="prob50-failure_rating9" dataDxfId="1203"/>
    <tableColumn id="228" xr3:uid="{1596A195-B5E3-4FF0-BC4D-6B433D7B38A9}" name="prob10-failure_rating1" dataDxfId="1202"/>
    <tableColumn id="229" xr3:uid="{EE9639EF-3769-49CF-83D9-607ABCC5D17D}" name="prob10-failure_rating2" dataDxfId="1201"/>
    <tableColumn id="230" xr3:uid="{A5C04124-AF13-43F2-8E62-F0228743DDD0}" name="prob10-failure_rating3" dataDxfId="1200"/>
    <tableColumn id="231" xr3:uid="{7775B270-0579-4873-B952-D65FC126C8D6}" name="prob10-failure_rating4" dataDxfId="1199"/>
    <tableColumn id="232" xr3:uid="{079CB92D-37EA-4FEB-96DA-C3C25E478092}" name="prob10-failure_rating5" dataDxfId="1198"/>
    <tableColumn id="233" xr3:uid="{F1B30A12-A371-4ABF-9D2F-8919C13FF068}" name="prob10-failure_rating6" dataDxfId="1197"/>
    <tableColumn id="234" xr3:uid="{CDD3A5C8-3967-40B0-9BFA-B1F369256A2B}" name="prob10-failure_rating7" dataDxfId="1196"/>
    <tableColumn id="235" xr3:uid="{B008352D-D396-4858-B2BC-BAFD70D34E6E}" name="prob10-failure_rating8" dataDxfId="1195"/>
    <tableColumn id="236" xr3:uid="{07897C38-C12A-4943-BDAE-EDCF5DB0EF8D}" name="prob10-failure_rating9" dataDxfId="1194"/>
    <tableColumn id="237" xr3:uid="{650AC6F6-35CE-4A79-81EF-58DA8E4B5EA9}" name="failurecost500_rating1" dataDxfId="1193">
      <calculatedColumnFormula>Table15678911[[#This Row],[Total_Cost_MUSD]]*1000000*Table15678911[[#This Row],[prob500-failure_rating1]]/500</calculatedColumnFormula>
    </tableColumn>
    <tableColumn id="238" xr3:uid="{2289786D-916D-4DEA-9575-CDD5CBCB0812}" name="failurecost500_rating2" dataDxfId="1192">
      <calculatedColumnFormula>Table15678911[[#This Row],[Total_Cost_MUSD]]*1000000*Table15678911[[#This Row],[prob500-failure_rating2]]/500</calculatedColumnFormula>
    </tableColumn>
    <tableColumn id="239" xr3:uid="{C1F64059-1009-4CB9-AFAB-9BA3BA493919}" name="failurecost500_rating3" dataDxfId="1191">
      <calculatedColumnFormula>Table15678911[[#This Row],[Total_Cost_MUSD]]*1000000*Table15678911[[#This Row],[prob500-failure_rating3]]/500</calculatedColumnFormula>
    </tableColumn>
    <tableColumn id="240" xr3:uid="{FB0FFF40-D6B9-4D62-8C6E-78EF972F9A0E}" name="failurecost500_rating4" dataDxfId="1190">
      <calculatedColumnFormula>Table15678911[[#This Row],[Total_Cost_MUSD]]*1000000*Table15678911[[#This Row],[prob500-failure_rating4]]/500</calculatedColumnFormula>
    </tableColumn>
    <tableColumn id="241" xr3:uid="{DCDDA671-E9FE-46A7-BFA5-0DD0A07BE388}" name="failurecost500_rating5" dataDxfId="1189">
      <calculatedColumnFormula>Table15678911[[#This Row],[Total_Cost_MUSD]]*1000000*Table15678911[[#This Row],[prob500-failure_rating5]]/500</calculatedColumnFormula>
    </tableColumn>
    <tableColumn id="242" xr3:uid="{ABC1071A-FBF7-45CA-9D44-5A2603E31629}" name="failurecost500_rating6" dataDxfId="1188">
      <calculatedColumnFormula>Table15678911[[#This Row],[Total_Cost_MUSD]]*1000000*Table15678911[[#This Row],[prob500-failure_rating6]]/500</calculatedColumnFormula>
    </tableColumn>
    <tableColumn id="243" xr3:uid="{9E46807B-FE04-48C3-A54C-547E8AF973FB}" name="failurecost500_rating7" dataDxfId="1187">
      <calculatedColumnFormula>Table15678911[[#This Row],[Total_Cost_MUSD]]*1000000*Table15678911[[#This Row],[prob500-failure_rating7]]/500</calculatedColumnFormula>
    </tableColumn>
    <tableColumn id="244" xr3:uid="{4FB38390-C8F1-4002-B1F5-7A24B8F84EDC}" name="failurecost500_rating8" dataDxfId="1186">
      <calculatedColumnFormula>Table15678911[[#This Row],[Total_Cost_MUSD]]*1000000*Table15678911[[#This Row],[prob500-failure_rating8]]/500</calculatedColumnFormula>
    </tableColumn>
    <tableColumn id="245" xr3:uid="{48610D0E-D667-468E-9BFC-A761845A8547}" name="failurecost500_rating9" dataDxfId="1185">
      <calculatedColumnFormula>Table15678911[[#This Row],[Total_Cost_MUSD]]*1000000*Table15678911[[#This Row],[prob500-failure_rating9]]/500</calculatedColumnFormula>
    </tableColumn>
    <tableColumn id="246" xr3:uid="{0C530165-D5DF-4A5B-8812-7DD9FFD59E53}" name="failurecost100_rating1" dataDxfId="1184">
      <calculatedColumnFormula>Table15678911[[#This Row],[Total_Cost_MUSD]]*1000000*Table15678911[[#This Row],[prob100-failure_rating1]]/100</calculatedColumnFormula>
    </tableColumn>
    <tableColumn id="247" xr3:uid="{F61DD685-BC86-48D8-9A1E-13BD11A11DD4}" name="failurecost100_rating2" dataDxfId="1183">
      <calculatedColumnFormula>Table15678911[[#This Row],[Total_Cost_MUSD]]*1000000*Table15678911[[#This Row],[prob100-failure_rating2]]/100</calculatedColumnFormula>
    </tableColumn>
    <tableColumn id="248" xr3:uid="{6499FD48-8503-4231-AD47-1156AA101183}" name="failurecost100_rating3" dataDxfId="1182">
      <calculatedColumnFormula>Table15678911[[#This Row],[Total_Cost_MUSD]]*1000000*Table15678911[[#This Row],[prob100-failure_rating3]]/100</calculatedColumnFormula>
    </tableColumn>
    <tableColumn id="249" xr3:uid="{C516AC78-27AF-4A3C-BB6B-23A073DA5CF4}" name="failurecost100_rating4" dataDxfId="1181">
      <calculatedColumnFormula>Table15678911[[#This Row],[Total_Cost_MUSD]]*1000000*Table15678911[[#This Row],[prob100-failure_rating4]]/100</calculatedColumnFormula>
    </tableColumn>
    <tableColumn id="250" xr3:uid="{7FB67C64-D96A-44D9-8E7C-E2C59F7375F1}" name="failurecost100_rating5" dataDxfId="1180">
      <calculatedColumnFormula>Table15678911[[#This Row],[Total_Cost_MUSD]]*1000000*Table15678911[[#This Row],[prob100-failure_rating5]]/100</calculatedColumnFormula>
    </tableColumn>
    <tableColumn id="251" xr3:uid="{26740F79-4C23-4BAC-8435-CC65AA054877}" name="failurecost100_rating6" dataDxfId="1179">
      <calculatedColumnFormula>Table15678911[[#This Row],[Total_Cost_MUSD]]*1000000*Table15678911[[#This Row],[prob100-failure_rating6]]/100</calculatedColumnFormula>
    </tableColumn>
    <tableColumn id="252" xr3:uid="{EAEB2210-7E74-4550-9052-FC2465FD2275}" name="failurecost100_rating7" dataDxfId="1178">
      <calculatedColumnFormula>Table15678911[[#This Row],[Total_Cost_MUSD]]*1000000*Table15678911[[#This Row],[prob100-failure_rating7]]/100</calculatedColumnFormula>
    </tableColumn>
    <tableColumn id="253" xr3:uid="{AD539D68-0A2F-4E66-98D0-DDF1D8F5977C}" name="failurecost100_rating8" dataDxfId="1177">
      <calculatedColumnFormula>Table15678911[[#This Row],[Total_Cost_MUSD]]*1000000*Table15678911[[#This Row],[prob100-failure_rating8]]/100</calculatedColumnFormula>
    </tableColumn>
    <tableColumn id="254" xr3:uid="{22574CDD-F790-4F60-A558-A52BD5B6AB0F}" name="failurecost100_rating9" dataDxfId="1176">
      <calculatedColumnFormula>Table15678911[[#This Row],[Total_Cost_MUSD]]*1000000*Table15678911[[#This Row],[prob100-failure_rating9]]/100</calculatedColumnFormula>
    </tableColumn>
    <tableColumn id="255" xr3:uid="{D609C513-CEED-47C4-93CB-BD90A005EBD3}" name="failurecost50_rating1" dataDxfId="1175">
      <calculatedColumnFormula>Table15678911[[#This Row],[Total_Cost_MUSD]]*1000000*Table15678911[[#This Row],[prob50-failure_rating1]]/50</calculatedColumnFormula>
    </tableColumn>
    <tableColumn id="256" xr3:uid="{1783F7D4-AD65-4409-BED9-2E191D56FC2B}" name="failurecost50_rating2" dataDxfId="1174">
      <calculatedColumnFormula>Table15678911[[#This Row],[Total_Cost_MUSD]]*1000000*Table15678911[[#This Row],[prob50-failure_rating2]]/50</calculatedColumnFormula>
    </tableColumn>
    <tableColumn id="257" xr3:uid="{9357C07F-DBF5-4183-8E72-9A2981A0C3B0}" name="failurecost50_rating3" dataDxfId="1173">
      <calculatedColumnFormula>Table15678911[[#This Row],[Total_Cost_MUSD]]*1000000*Table15678911[[#This Row],[prob50-failure_rating3]]/50</calculatedColumnFormula>
    </tableColumn>
    <tableColumn id="258" xr3:uid="{2D79EE14-56BE-49FA-8A27-68AF5FFACE7F}" name="failurecost50_rating4" dataDxfId="1172">
      <calculatedColumnFormula>Table15678911[[#This Row],[Total_Cost_MUSD]]*1000000*Table15678911[[#This Row],[prob50-failure_rating4]]/50</calculatedColumnFormula>
    </tableColumn>
    <tableColumn id="259" xr3:uid="{452560C1-1B91-4337-B21E-5D17CAD88221}" name="failurecost50_rating5" dataDxfId="1171">
      <calculatedColumnFormula>Table15678911[[#This Row],[Total_Cost_MUSD]]*1000000*Table15678911[[#This Row],[prob50-failure_rating5]]/50</calculatedColumnFormula>
    </tableColumn>
    <tableColumn id="260" xr3:uid="{48057A31-5177-43BA-8074-5F76921E1F74}" name="failurecost50_rating6" dataDxfId="1170">
      <calculatedColumnFormula>Table15678911[[#This Row],[Total_Cost_MUSD]]*1000000*Table15678911[[#This Row],[prob50-failure_rating6]]/50</calculatedColumnFormula>
    </tableColumn>
    <tableColumn id="261" xr3:uid="{5021E103-FCA9-41B3-8231-41F5FBC4F30A}" name="failurecost50_rating7" dataDxfId="1169">
      <calculatedColumnFormula>Table15678911[[#This Row],[Total_Cost_MUSD]]*1000000*Table15678911[[#This Row],[prob50-failure_rating7]]/50</calculatedColumnFormula>
    </tableColumn>
    <tableColumn id="262" xr3:uid="{EEEEE8D4-9AAF-43EB-A5CC-39749568425B}" name="failurecost50_rating8" dataDxfId="1168">
      <calculatedColumnFormula>Table15678911[[#This Row],[Total_Cost_MUSD]]*1000000*Table15678911[[#This Row],[prob50-failure_rating8]]/50</calculatedColumnFormula>
    </tableColumn>
    <tableColumn id="263" xr3:uid="{F18EC2A0-89B7-454D-88F3-B095BF4F34E0}" name="failurecost50_rating9" dataDxfId="1167">
      <calculatedColumnFormula>Table15678911[[#This Row],[Total_Cost_MUSD]]*1000000*Table15678911[[#This Row],[prob50-failure_rating9]]/50</calculatedColumnFormula>
    </tableColumn>
    <tableColumn id="273" xr3:uid="{06BDDC2B-DB52-4BFD-8672-2E3216B313B5}" name="failurecost10_rating1" dataDxfId="1166">
      <calculatedColumnFormula>Table15678911[[#This Row],[Total_Cost_MUSD]]*1000000*Table15678911[[#This Row],[prob10-failure_rating1]]/10</calculatedColumnFormula>
    </tableColumn>
    <tableColumn id="274" xr3:uid="{94447B0E-CDF4-4E25-9121-EF4893454290}" name="failurecost10_rating2" dataDxfId="1165">
      <calculatedColumnFormula>Table15678911[[#This Row],[Total_Cost_MUSD]]*1000000*Table15678911[[#This Row],[prob10-failure_rating2]]/10</calculatedColumnFormula>
    </tableColumn>
    <tableColumn id="275" xr3:uid="{210AC95D-0597-4918-899E-A68E21A63CA9}" name="failurecost10_rating3" dataDxfId="1164">
      <calculatedColumnFormula>Table15678911[[#This Row],[Total_Cost_MUSD]]*1000000*Table15678911[[#This Row],[prob10-failure_rating3]]/10</calculatedColumnFormula>
    </tableColumn>
    <tableColumn id="276" xr3:uid="{FDC9317D-E721-4682-B6CA-F985B4AF460F}" name="failurecost10_rating4" dataDxfId="1163">
      <calculatedColumnFormula>Table15678911[[#This Row],[Total_Cost_MUSD]]*1000000*Table15678911[[#This Row],[prob10-failure_rating4]]/10</calculatedColumnFormula>
    </tableColumn>
    <tableColumn id="277" xr3:uid="{6733E2B0-9653-4D5F-8966-4CC47F2FC6A8}" name="failurecost10_rating5" dataDxfId="1162">
      <calculatedColumnFormula>Table15678911[[#This Row],[Total_Cost_MUSD]]*1000000*Table15678911[[#This Row],[prob10-failure_rating5]]/10</calculatedColumnFormula>
    </tableColumn>
    <tableColumn id="278" xr3:uid="{B7DC23B9-A2CC-44D5-AA8B-F1B943FCF4E8}" name="failurecost10_rating6" dataDxfId="1161">
      <calculatedColumnFormula>Table15678911[[#This Row],[Total_Cost_MUSD]]*1000000*Table15678911[[#This Row],[prob10-failure_rating6]]/10</calculatedColumnFormula>
    </tableColumn>
    <tableColumn id="279" xr3:uid="{F787CDFC-B4F4-4A48-A481-8EAA7E0AA716}" name="failurecost10_rating7" dataDxfId="1160">
      <calculatedColumnFormula>Table15678911[[#This Row],[Total_Cost_MUSD]]*1000000*Table15678911[[#This Row],[prob10-failure_rating7]]/10</calculatedColumnFormula>
    </tableColumn>
    <tableColumn id="280" xr3:uid="{0FFD3DE9-E28D-404D-91AB-15591A5F53F3}" name="failurecost10_rating8" dataDxfId="1159">
      <calculatedColumnFormula>Table15678911[[#This Row],[Total_Cost_MUSD]]*1000000*Table15678911[[#This Row],[prob10-failure_rating8]]/10</calculatedColumnFormula>
    </tableColumn>
    <tableColumn id="281" xr3:uid="{A1F13F4E-7BA0-4C54-96D0-2F24D26897B3}" name="failurecost10_rating9" dataDxfId="1158">
      <calculatedColumnFormula>Table15678911[[#This Row],[Total_Cost_MUSD]]*1000000*Table15678911[[#This Row],[prob10-failure_rating9]]/10</calculatedColumnFormula>
    </tableColumn>
    <tableColumn id="282" xr3:uid="{BE111D90-143F-4AF4-8B3C-4C9F2DFE134D}" name="FailureCost_Rating0" dataDxfId="1157">
      <calculatedColumnFormula>Table15678911[[#This Row],[FailureCost_Rating1]]</calculatedColumnFormula>
    </tableColumn>
    <tableColumn id="264" xr3:uid="{0BB39A2A-EF95-4875-BC97-E19A74BCB11E}" name="FailureCost_Rating1" dataDxfId="1156">
      <calculatedColumnFormula>Table15678911[[#This Row],[FailureCost_Rating2]]</calculatedColumnFormula>
    </tableColumn>
    <tableColumn id="265" xr3:uid="{4AED2E47-BFF2-4E27-9696-17FC0C0E70AF}" name="FailureCost_Rating2" dataDxfId="1155">
      <calculatedColumnFormula>(Table15678911[[#This Row],[failurecost500_rating2]]+Table15678911[[#This Row],[failurecost100_rating2]]+Table15678911[[#This Row],[failurecost50_rating2]]+Table15678911[[#This Row],[failurecost10_rating2]])</calculatedColumnFormula>
    </tableColumn>
    <tableColumn id="266" xr3:uid="{1F44BCBB-39E8-4CF7-9FF4-FABEFC3694D9}" name="FailureCost_Rating3" dataDxfId="1154">
      <calculatedColumnFormula>(Table15678911[[#This Row],[failurecost500_rating3]]+Table15678911[[#This Row],[failurecost100_rating3]]+Table15678911[[#This Row],[failurecost50_rating3]]+Table15678911[[#This Row],[failurecost10_rating3]])</calculatedColumnFormula>
    </tableColumn>
    <tableColumn id="267" xr3:uid="{07A885EF-BA96-4F0D-8107-1A4E574BAC39}" name="FailureCost_Rating4" dataDxfId="1153">
      <calculatedColumnFormula>(Table15678911[[#This Row],[failurecost500_rating4]]+Table15678911[[#This Row],[failurecost100_rating4]]+Table15678911[[#This Row],[failurecost50_rating4]]+Table15678911[[#This Row],[failurecost10_rating4]])</calculatedColumnFormula>
    </tableColumn>
    <tableColumn id="268" xr3:uid="{29667F31-75C6-4C88-B07C-D06F0159C6CB}" name="FailureCost_Rating5" dataDxfId="1152">
      <calculatedColumnFormula>(Table15678911[[#This Row],[failurecost500_rating5]]+Table15678911[[#This Row],[failurecost100_rating5]]+Table15678911[[#This Row],[failurecost50_rating5]]+Table15678911[[#This Row],[failurecost10_rating5]])</calculatedColumnFormula>
    </tableColumn>
    <tableColumn id="269" xr3:uid="{BDF324D8-FA14-4E0C-A666-E0C83A731EF5}" name="FailureCost_Rating6" dataDxfId="1151">
      <calculatedColumnFormula>(Table15678911[[#This Row],[failurecost500_rating6]]+Table15678911[[#This Row],[failurecost100_rating6]]+Table15678911[[#This Row],[failurecost50_rating6]]+Table15678911[[#This Row],[failurecost10_rating6]])</calculatedColumnFormula>
    </tableColumn>
    <tableColumn id="270" xr3:uid="{D1A47565-B5DF-4E45-9469-FC4FC2C17EB4}" name="FailureCost_Rating7" dataDxfId="1150">
      <calculatedColumnFormula>(Table15678911[[#This Row],[failurecost500_rating7]]+Table15678911[[#This Row],[failurecost100_rating7]]+Table15678911[[#This Row],[failurecost50_rating7]]+Table15678911[[#This Row],[failurecost10_rating7]])</calculatedColumnFormula>
    </tableColumn>
    <tableColumn id="271" xr3:uid="{BFBEBAC3-ADBB-4FD9-8C32-10F80A1B78F5}" name="FailureCost_Rating8" dataDxfId="1149">
      <calculatedColumnFormula>(Table15678911[[#This Row],[failurecost500_rating8]]+Table15678911[[#This Row],[failurecost100_rating8]]+Table15678911[[#This Row],[failurecost50_rating8]]+Table15678911[[#This Row],[failurecost10_rating8]])</calculatedColumnFormula>
    </tableColumn>
    <tableColumn id="272" xr3:uid="{CDB5A59D-0761-4385-8324-5817E6E49390}" name="FailureCost_Rating9" dataDxfId="1148">
      <calculatedColumnFormula>(Table15678911[[#This Row],[failurecost500_rating9]]+Table15678911[[#This Row],[failurecost100_rating9]]+Table15678911[[#This Row],[failurecost50_rating9]]+Table15678911[[#This Row],[failurecost10_rating9]])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F00487-070D-4574-A11B-4350E66877F0}" name="Table1567891112" displayName="Table1567891112" ref="A1:JY20" totalsRowShown="0" headerRowDxfId="1147" dataDxfId="1146">
  <autoFilter ref="A1:JY20" xr:uid="{1E05EA88-988A-4182-B643-40FC3C5FB242}"/>
  <tableColumns count="285">
    <tableColumn id="1" xr3:uid="{196DCDCB-9B59-46C6-A9FC-D2D7CC9DFF37}" name="Number" dataDxfId="1145"/>
    <tableColumn id="2" xr3:uid="{86D3C888-4594-474D-971A-C1D69687527B}" name="Structure Name" dataDxfId="1144"/>
    <tableColumn id="3" xr3:uid="{481902F4-3D61-4EC7-AA4E-AD87AE8AA403}" name="Body of water" dataDxfId="1143"/>
    <tableColumn id="4" xr3:uid="{0A1EDB2E-DBF4-4FE8-AD0C-39AD5AA498A5}" name="Lattitude" dataDxfId="1142"/>
    <tableColumn id="5" xr3:uid="{2DDDB9CF-0B62-40C5-BE39-66EFDEFE99B9}" name="Longitude" dataDxfId="1141"/>
    <tableColumn id="6" xr3:uid="{40BF93ED-3173-4012-843F-8BB87B4E6C80}" name="Depth50" dataDxfId="1140"/>
    <tableColumn id="7" xr3:uid="{B9BECE77-69E7-4067-A26B-305108783ED3}" name="Depth10" dataDxfId="1139"/>
    <tableColumn id="8" xr3:uid="{BDD09AD0-692E-4B5C-B620-D21D2E7529B4}" name="Depth100" dataDxfId="1138"/>
    <tableColumn id="9" xr3:uid="{07FF9311-B893-46EE-8725-636FE5ACBB07}" name="Depth500" dataDxfId="1137"/>
    <tableColumn id="10" xr3:uid="{88D7D424-1AF2-490B-BB8E-2CB854768291}" name="Depth0_area" dataDxfId="1136"/>
    <tableColumn id="11" xr3:uid="{557E7991-8BB6-41DD-AA12-07C053ABA826}" name="Depth0_wet" dataDxfId="1135"/>
    <tableColumn id="12" xr3:uid="{1D50851A-45DA-442A-A0E0-600FABFBD0D0}" name="Depth10_area" dataDxfId="1134"/>
    <tableColumn id="13" xr3:uid="{4A238CBF-9AD8-451B-9B61-C866D4294766}" name="Depth10_wet" dataDxfId="1133"/>
    <tableColumn id="14" xr3:uid="{CE34FB36-34C8-4337-AF0D-56BBBFF4AB8C}" name="Depth50_area" dataDxfId="1132"/>
    <tableColumn id="15" xr3:uid="{C41F58AE-BA1D-4C40-B55D-A7DD6D8DEFC2}" name="Depth50_wet" dataDxfId="1131"/>
    <tableColumn id="16" xr3:uid="{0A858D16-9BDC-4F68-B71D-E47D345C0EE2}" name="Depth100_area" dataDxfId="1130"/>
    <tableColumn id="17" xr3:uid="{6C2E2620-7515-44E4-8B60-E0A329673437}" name="Depth100_wet" dataDxfId="1129"/>
    <tableColumn id="18" xr3:uid="{CF148493-A25C-4165-AC2D-1E62D1E8F4F0}" name="Depth500_area" dataDxfId="1128"/>
    <tableColumn id="19" xr3:uid="{DAB44D01-DEA2-4C22-9122-CD4800E4ABC3}" name="Depth500_wet" dataDxfId="1127"/>
    <tableColumn id="20" xr3:uid="{72F1FF17-5233-46FE-9ACF-214B78787D09}" name="Depth0_HydraulicRadius" dataDxfId="1126"/>
    <tableColumn id="21" xr3:uid="{E2AB67F5-37D1-4F21-B7FB-0477F2E235BC}" name="Depth10_HydraulicRadius" dataDxfId="1125"/>
    <tableColumn id="22" xr3:uid="{4FAB5692-7CD9-416F-B225-BADF59C4DA72}" name="Depth50_HydraulicRadius" dataDxfId="1124"/>
    <tableColumn id="23" xr3:uid="{06CE4B7F-9790-4754-81C4-874825F28AF7}" name="Depth100_HydraulicRadius" dataDxfId="1123"/>
    <tableColumn id="24" xr3:uid="{9608401F-F961-4101-9331-DA393F5F0DB5}" name="Depth500_HydraulicRadius" dataDxfId="1122"/>
    <tableColumn id="25" xr3:uid="{D11B3470-6C28-4CCA-AED1-8604DEA0AA1A}" name="Slope" dataDxfId="1121"/>
    <tableColumn id="26" xr3:uid="{DFF8A25A-4167-4DA5-B08B-99CF591336E4}" name="Foundation_Depth" dataDxfId="1120"/>
    <tableColumn id="27" xr3:uid="{0BEAD15B-BD12-41B8-8BA4-7E1FBA22C359}" name="Depth10_velocity" dataDxfId="1119"/>
    <tableColumn id="28" xr3:uid="{9DA8FF88-FBF2-4EE0-9134-9E0474AEC0A4}" name="Depth50_velocity" dataDxfId="1118"/>
    <tableColumn id="29" xr3:uid="{CD3C03CB-B7BB-4D08-BAF3-5FFFE48C4722}" name="Depth100_velocity" dataDxfId="1117"/>
    <tableColumn id="30" xr3:uid="{BF9787DF-EBDA-47EB-A09C-C4625700A3B1}" name="Depth500_velocity" dataDxfId="1116"/>
    <tableColumn id="31" xr3:uid="{B089F7F9-6802-4387-814C-5B753C03DC6E}" name="Depth10_Froud" dataDxfId="1115"/>
    <tableColumn id="32" xr3:uid="{7017F965-2656-41A5-BA0D-15FD25AAF105}" name="Depth50_Froud" dataDxfId="1114"/>
    <tableColumn id="33" xr3:uid="{263FF1A9-B34D-4874-B00C-89813AFDCA08}" name="Depth100_Froud" dataDxfId="1113"/>
    <tableColumn id="34" xr3:uid="{6994FC8B-62D0-4D0A-8A9D-2E60749DA165}" name="Depth500_Froud" dataDxfId="1112"/>
    <tableColumn id="35" xr3:uid="{D8946155-3D64-4082-AB58-1D4831A7721C}" name="Depth10_Scour" dataDxfId="1111"/>
    <tableColumn id="36" xr3:uid="{3C278F61-3BDD-4BC3-B31A-95AA3EA69077}" name="Depth50_Scour" dataDxfId="1110"/>
    <tableColumn id="37" xr3:uid="{ACDB3246-FCCA-4821-A216-D43F86AE0C52}" name="Depth100_Scour" dataDxfId="1109"/>
    <tableColumn id="38" xr3:uid="{2D81CBFA-CDCE-43CF-9B40-0F557AD23643}" name="Depth500_Scour" dataDxfId="1108"/>
    <tableColumn id="39" xr3:uid="{1D341E0F-52A0-4B74-B7E9-8F2FBB6CC32F}" name="Depth10_Soil_vol" dataDxfId="1107"/>
    <tableColumn id="40" xr3:uid="{6B80DB28-4BD9-406B-8F20-0792B5C7B4D4}" name="Depth50_Soil_vol" dataDxfId="1106"/>
    <tableColumn id="41" xr3:uid="{AD05F8D4-F15D-4D69-A98E-6DC39E8B9C0D}" name="Depth100_Soil_vol" dataDxfId="1105"/>
    <tableColumn id="42" xr3:uid="{84DB4481-A4D5-497F-81CD-3854E0A015A5}" name="Depth500_Soil_vol" dataDxfId="1104"/>
    <tableColumn id="191" xr3:uid="{7906C741-1282-4F3A-B5CA-E32A1D29D6D2}" name="Depth10_cost" dataDxfId="1103">
      <calculatedColumnFormula>Table1567891112[[#This Row],[Depth10_Soil_vol]]*(9.353+9.027)+(Table1567891112[[#This Row],[Depth10_Soil_vol]]/2.5)*20*1.053+(PI()*Table1567891112[[#This Row],[Depth10_Scour]])*Table1567891112[[#This Row],[DECK_WIDTH_MT_052]]*1.062</calculatedColumnFormula>
    </tableColumn>
    <tableColumn id="190" xr3:uid="{5A1D1A88-9A0F-4368-B4A4-A8AACA6ACB77}" name="Depth50_cost" dataDxfId="1102">
      <calculatedColumnFormula>Table1567891112[[#This Row],[Depth50_Soil_vol]]*(9.353+9.027)+(Table1567891112[[#This Row],[Depth50_Soil_vol]]/2.5)*20*1.053+(PI()*Table1567891112[[#This Row],[Depth50_Scour]])*Table1567891112[[#This Row],[DECK_WIDTH_MT_052]]*1.062</calculatedColumnFormula>
    </tableColumn>
    <tableColumn id="189" xr3:uid="{7A531AFE-C9EF-470A-8F70-5A7979D3E127}" name="Depth100_cost" dataDxfId="1101">
      <calculatedColumnFormula>Table1567891112[[#This Row],[Depth100_Soil_vol]]*(9.353+9.027)+(Table1567891112[[#This Row],[Depth100_Soil_vol]]/2.5)*20*1.053+(PI()*Table1567891112[[#This Row],[Depth100_Scour]])*Table1567891112[[#This Row],[DECK_WIDTH_MT_052]]*1.062</calculatedColumnFormula>
    </tableColumn>
    <tableColumn id="188" xr3:uid="{21C4DFC0-0C3F-495B-B251-F8DCA749FB67}" name="Depth500_cost" dataDxfId="1100">
      <calculatedColumnFormula>Table1567891112[[#This Row],[Depth500_Soil_vol]]*(9.353+9.027)+(Table1567891112[[#This Row],[Depth500_Soil_vol]]/2.5)*20*1.053+(PI()*Table1567891112[[#This Row],[Depth500_Scour]])*Table1567891112[[#This Row],[DECK_WIDTH_MT_052]]*1.062</calculatedColumnFormula>
    </tableColumn>
    <tableColumn id="43" xr3:uid="{81E9B241-9E99-4025-8462-D3E1CF8C83EE}" name="Foundation_Width" dataDxfId="1099"/>
    <tableColumn id="44" xr3:uid="{91C2EFF3-75A4-4D79-97D8-A3424ACF77F9}" name="Foundation_length" dataDxfId="1098"/>
    <tableColumn id="45" xr3:uid="{A7C1A986-006E-41AC-8148-1A0FC9B9914C}" name="Shape" dataDxfId="1097"/>
    <tableColumn id="46" xr3:uid="{16900093-E868-4090-BB2C-ADD4B62BE85F}" name="Depth10_Rating" dataDxfId="1096"/>
    <tableColumn id="47" xr3:uid="{71822415-4968-4818-8A3F-6F1498433245}" name="Depth50_Rating" dataDxfId="1095"/>
    <tableColumn id="48" xr3:uid="{F97311E7-0934-451F-8073-0590E5481740}" name="Depth100_Rating" dataDxfId="1094"/>
    <tableColumn id="49" xr3:uid="{47A10575-5B0F-4D89-9D79-5AE7F45013D1}" name="Depth500_Rating" dataDxfId="1093"/>
    <tableColumn id="50" xr3:uid="{14CEC5C5-9AD3-496D-8F6B-BF3185A98AD8}" name="STATE_CODE_001" dataDxfId="1092"/>
    <tableColumn id="51" xr3:uid="{0223AE81-45B2-412C-9AF5-920C5670061F}" name="STRUCTURE_NUMBER_008" dataDxfId="1091"/>
    <tableColumn id="52" xr3:uid="{380CC93F-B179-4A3E-912D-88EAFDC3D6A5}" name="LAT_016" dataDxfId="1090"/>
    <tableColumn id="53" xr3:uid="{501FCE46-60A4-4BC7-B379-FAAE77E7A82D}" name="LONG_017" dataDxfId="1089"/>
    <tableColumn id="54" xr3:uid="{D0E8882E-4FB1-4AE1-9D7C-E197500D835B}" name="RECORD_TYPE_005A" dataDxfId="1088"/>
    <tableColumn id="55" xr3:uid="{05164AC3-E9BC-4836-88F7-0D549B51245E}" name="ROUTE_PREFIX_005B" dataDxfId="1087"/>
    <tableColumn id="56" xr3:uid="{8E415899-2965-4016-BA6D-D39FDDDB8A49}" name="SERVICE_LEVEL_005C" dataDxfId="1086"/>
    <tableColumn id="57" xr3:uid="{8AAFB1AB-ADAB-49D6-B5F7-E51D9BF8BED6}" name="ROUTE_NUMBER_005D" dataDxfId="1085"/>
    <tableColumn id="58" xr3:uid="{1BD6E7B9-450A-4CD6-966A-16FF20BD610B}" name="DIRECTION_005E" dataDxfId="1084"/>
    <tableColumn id="59" xr3:uid="{46513345-3A3F-4747-950C-8C108A8D3567}" name="HIGHWAY_DISTRICT_002" dataDxfId="1083"/>
    <tableColumn id="60" xr3:uid="{3F1771E9-9028-442F-8109-E19529259878}" name="COUNTY_CODE_003" dataDxfId="1082"/>
    <tableColumn id="61" xr3:uid="{3EDD6F14-0954-42B1-828B-5217B6047E29}" name="PLACE_CODE_004" dataDxfId="1081"/>
    <tableColumn id="62" xr3:uid="{C7ADB423-DE84-44A5-84D6-3DC85F79E985}" name="FEATURES_DESC_006A" dataDxfId="1080"/>
    <tableColumn id="63" xr3:uid="{4C9ABBFF-4E8A-4206-B01E-675AE0B1D891}" name="CRITICAL_FACILITY_006B" dataDxfId="1079"/>
    <tableColumn id="64" xr3:uid="{F63F16C8-3805-4061-BF49-28C4BD7FF55D}" name="FACILITY_CARRIED_007" dataDxfId="1078"/>
    <tableColumn id="65" xr3:uid="{46BB15AC-D348-4141-ADE3-3C306D320FA5}" name="LOCATION_009" dataDxfId="1077"/>
    <tableColumn id="66" xr3:uid="{ACC54E6D-FCBD-4C7C-ACD0-172FEA817A9C}" name="MIN_VERT_CLR_010" dataDxfId="1076"/>
    <tableColumn id="67" xr3:uid="{30BFEB90-5A9C-4028-A973-206E01FDA61C}" name="KILOPOINT_011" dataDxfId="1075"/>
    <tableColumn id="68" xr3:uid="{D4231AF9-A777-4283-B7C6-8FCC5065B1F2}" name="BASE_HWY_NETWORK_012" dataDxfId="1074"/>
    <tableColumn id="69" xr3:uid="{799C7A99-7ECD-49BB-8038-B16DBC5836B7}" name="LRS_INV_ROUTE_013A" dataDxfId="1073"/>
    <tableColumn id="70" xr3:uid="{0E6A96C0-D390-441B-B78F-DDAEEB848B6C}" name="SUBROUTE_NO_013B" dataDxfId="1072"/>
    <tableColumn id="71" xr3:uid="{4C4AE306-66C2-4222-A939-DB85763A3AF5}" name="DETOUR_KILOS_019" dataDxfId="1071"/>
    <tableColumn id="72" xr3:uid="{DD3FE525-B6B1-4468-BEDE-DBBCC7A06DEC}" name="TOLL_020" dataDxfId="1070"/>
    <tableColumn id="73" xr3:uid="{3521BC25-8A01-4913-B68D-72252F9635B5}" name="MAINTENANCE_021" dataDxfId="1069"/>
    <tableColumn id="74" xr3:uid="{85140A12-7C4B-4FA8-937E-01B741C7E2D4}" name="OWNER_022" dataDxfId="1068"/>
    <tableColumn id="75" xr3:uid="{19C1589C-9547-458E-AB4D-4D15042992A4}" name="FUNCTIONAL_CLASS_026" dataDxfId="1067"/>
    <tableColumn id="76" xr3:uid="{7CD9E63D-4761-42FD-8444-A85683372BBA}" name="YEAR_BUILT_027" dataDxfId="1066"/>
    <tableColumn id="77" xr3:uid="{EBE8F366-9ADB-42B2-A4B1-6E4EA6CA058F}" name="TRAFFIC_LANES_ON_028A" dataDxfId="1065"/>
    <tableColumn id="78" xr3:uid="{8CE164CE-F125-472C-AC5E-6A49F709033A}" name="TRAFFIC_LANES_UND_028B" dataDxfId="1064"/>
    <tableColumn id="79" xr3:uid="{FE299BBB-0546-4957-B8EA-7F86431041E3}" name="ADT_029" dataDxfId="1063"/>
    <tableColumn id="80" xr3:uid="{39DA0CC7-AFB7-4848-A37E-A3C20DB45A19}" name="YEAR_ADT_030" dataDxfId="1062"/>
    <tableColumn id="81" xr3:uid="{EAAAB552-10EE-405D-9FDE-6B7B2323C5B1}" name="DESIGN_LOAD_031" dataDxfId="1061"/>
    <tableColumn id="82" xr3:uid="{DEF70209-8DB7-4BEC-8C70-142B7E132506}" name="APPR_WIDTH_MT_032" dataDxfId="1060"/>
    <tableColumn id="83" xr3:uid="{0210AD81-776A-43BE-AB16-210D5D0E0F09}" name="MEDIAN_CODE_033" dataDxfId="1059"/>
    <tableColumn id="84" xr3:uid="{99D1DD66-9121-4721-AB35-012CA9C2D084}" name="DEGREES_SKEW_034" dataDxfId="1058"/>
    <tableColumn id="85" xr3:uid="{507B3A38-FE40-4746-923B-C3D7C011BC7F}" name="STRUCTURE_FLARED_035" dataDxfId="1057"/>
    <tableColumn id="86" xr3:uid="{71484DFD-2A73-4FFF-B301-6D749339A37F}" name="RAILINGS_036A" dataDxfId="1056"/>
    <tableColumn id="87" xr3:uid="{A8E0DA73-0ED7-42E6-A3DD-6D038310ECE3}" name="TRANSITIONS_036B" dataDxfId="1055"/>
    <tableColumn id="88" xr3:uid="{A3D31853-AEC9-4DEB-9FB5-A4B4337A9BD5}" name="APPR_RAIL_036C" dataDxfId="1054"/>
    <tableColumn id="89" xr3:uid="{6691E626-A381-40CA-9340-FDA82B6CC049}" name="APPR_RAIL_END_036D" dataDxfId="1053"/>
    <tableColumn id="90" xr3:uid="{619A7216-3C24-4C6D-963D-1AC035FC6215}" name="HISTORY_037" dataDxfId="1052"/>
    <tableColumn id="91" xr3:uid="{75D15A78-8E8A-4676-BF69-F263C21378D0}" name="NAVIGATION_038" dataDxfId="1051"/>
    <tableColumn id="92" xr3:uid="{06537D24-B790-41EC-B074-487C407ED546}" name="NAV_VERT_CLR_MT_039" dataDxfId="1050"/>
    <tableColumn id="93" xr3:uid="{969BEBA7-416F-4B81-A977-232E406381A8}" name="NAV_HORR_CLR_MT_040" dataDxfId="1049"/>
    <tableColumn id="94" xr3:uid="{755F3874-31B0-4A52-9C63-365A6476688D}" name="OPEN_CLOSED_POSTED_041" dataDxfId="1048"/>
    <tableColumn id="95" xr3:uid="{DFC3ADBD-9F3C-4759-AE6E-1C6CF44229FB}" name="SERVICE_ON_042A" dataDxfId="1047"/>
    <tableColumn id="96" xr3:uid="{18B4CF27-65E2-4B49-B9B9-A83D6A9B2C00}" name="SERVICE_UND_042B" dataDxfId="1046"/>
    <tableColumn id="97" xr3:uid="{2951A013-0285-4455-A172-F61E3DFCA11E}" name="STRUCTURE_KIND_043A" dataDxfId="1045"/>
    <tableColumn id="98" xr3:uid="{1440B82D-FB6D-4FE5-AF6C-480B6D4367CC}" name="STRUCTURE_TYPE_043B" dataDxfId="1044"/>
    <tableColumn id="99" xr3:uid="{A197F126-5295-4BB5-ACAB-883CABC528DF}" name="APPR_KIND_044A" dataDxfId="1043"/>
    <tableColumn id="100" xr3:uid="{DAAB21C6-B947-46D2-B9AA-B6EF448D5D50}" name="APPR_TYPE_044B" dataDxfId="1042"/>
    <tableColumn id="101" xr3:uid="{602833BE-B06C-428C-98FB-A1332369A2D5}" name="MAIN_UNIT_SPANS_045" dataDxfId="1041"/>
    <tableColumn id="102" xr3:uid="{CCF1562D-2C01-4F95-A773-DCBA3F9C082F}" name="APPR_SPANS_046" dataDxfId="1040"/>
    <tableColumn id="103" xr3:uid="{AFE5D2FA-E1B1-414D-96B7-3F52A2430F29}" name="HORR_CLR_MT_047" dataDxfId="1039"/>
    <tableColumn id="104" xr3:uid="{83C3D9C3-6D0E-4BAD-B37E-AA75BF52164C}" name="MAX_SPAN_LEN_MT_048" dataDxfId="1038"/>
    <tableColumn id="105" xr3:uid="{F17BC675-0C53-4FEC-A374-DA627DFA80C1}" name="STRUCTURE_LEN_MT_049" dataDxfId="1037"/>
    <tableColumn id="106" xr3:uid="{5905B7DE-9E21-4D36-A9F9-96372D5F031C}" name="LEFT_CURB_MT_050A" dataDxfId="1036"/>
    <tableColumn id="107" xr3:uid="{22984015-E09B-4C83-B9C3-01623CBC17EB}" name="RIGHT_CURB_MT_050B" dataDxfId="1035"/>
    <tableColumn id="108" xr3:uid="{DBF56633-BB1C-468C-8D9D-B1D9F5509A6A}" name="ROADWAY_WIDTH_MT_051" dataDxfId="1034"/>
    <tableColumn id="109" xr3:uid="{E70B081A-2F5E-40AE-A680-3DD898D223B5}" name="DECK_WIDTH_MT_052" dataDxfId="1033"/>
    <tableColumn id="110" xr3:uid="{01A1E321-9A36-4B74-AF7D-68303D3B68B0}" name="VERT_CLR_OVER_MT_053" dataDxfId="1032"/>
    <tableColumn id="111" xr3:uid="{7B004524-5D6E-4421-A2C0-194243439DF2}" name="VERT_CLR_UND_REF_054A" dataDxfId="1031"/>
    <tableColumn id="112" xr3:uid="{860E2FFE-3F25-47B1-8E76-A6149B7C52CC}" name="VERT_CLR_UND_054B" dataDxfId="1030"/>
    <tableColumn id="113" xr3:uid="{023FEDB4-6FDA-458B-9DD3-540CBA847CCD}" name="LAT_UND_REF_055A" dataDxfId="1029"/>
    <tableColumn id="114" xr3:uid="{A0496E11-594B-41EE-80C3-3B8E81791CC8}" name="LAT_UND_MT_055B" dataDxfId="1028"/>
    <tableColumn id="115" xr3:uid="{6F6A65B8-6C8A-4533-84F5-473B9A234E20}" name="LEFT_LAT_UND_MT_056" dataDxfId="1027"/>
    <tableColumn id="116" xr3:uid="{BBD38D3B-ABBF-49F9-BCEE-5843E961CFF0}" name="DECK_COND_058" dataDxfId="1026"/>
    <tableColumn id="117" xr3:uid="{9A34D55F-8A0A-42E9-898D-9D799ADEBEE1}" name="SUPERSTRUCTURE_COND_059" dataDxfId="1025"/>
    <tableColumn id="118" xr3:uid="{0D8ED12E-F554-42B4-AA2A-37519DCFE5A3}" name="SUBSTRUCTURE_COND_060" dataDxfId="1024"/>
    <tableColumn id="119" xr3:uid="{05A5C40C-E0C1-4DFE-A8DB-B300482E8364}" name="CHANNEL_COND_061" dataDxfId="1023"/>
    <tableColumn id="120" xr3:uid="{8E0B0BDB-9B64-43A4-A0CC-6539F76DC408}" name="CULVERT_COND_062" dataDxfId="1022"/>
    <tableColumn id="121" xr3:uid="{58E912B3-BD10-4E0F-88F9-F08F5C33D1B0}" name="OPR_RATING_METH_063" dataDxfId="1021"/>
    <tableColumn id="122" xr3:uid="{3563FE91-52D0-4CDF-8F59-9173001B39EC}" name="OPERATING_RATING_064" dataDxfId="1020"/>
    <tableColumn id="123" xr3:uid="{0535B041-194C-4EFC-B269-93EDE77385B8}" name="INV_RATING_METH_065" dataDxfId="1019"/>
    <tableColumn id="124" xr3:uid="{6DDB08C4-5630-4ECD-A10A-82CCB98A7C8B}" name="INVENTORY_RATING_066" dataDxfId="1018"/>
    <tableColumn id="125" xr3:uid="{D34B1568-D4A4-452A-8B6E-A4F9A1660BBE}" name="STRUCTURAL_EVAL_067" dataDxfId="1017"/>
    <tableColumn id="126" xr3:uid="{5F8A0545-E3E6-4546-9591-5FB4AC714E55}" name="DECK_GEOMETRY_EVAL_068" dataDxfId="1016"/>
    <tableColumn id="127" xr3:uid="{ED9F2C33-40DE-46A2-8920-DAF9C5B8F0EF}" name="UNDCLRENCE_EVAL_069" dataDxfId="1015"/>
    <tableColumn id="128" xr3:uid="{71ABEDB9-6316-4069-ACB7-F96CAA9019BC}" name="POSTING_EVAL_070" dataDxfId="1014"/>
    <tableColumn id="129" xr3:uid="{CF3DAB03-71D5-4609-A450-EF8231077B67}" name="WATERWAY_EVAL_071" dataDxfId="1013"/>
    <tableColumn id="130" xr3:uid="{245B66F8-A0D0-45A4-B28C-590F3840AB31}" name="APPR_ROAD_EVAL_072" dataDxfId="1012"/>
    <tableColumn id="131" xr3:uid="{59174BF7-9442-415D-B7F2-87424CF571BC}" name="WORK_PROPOSED_075A" dataDxfId="1011"/>
    <tableColumn id="132" xr3:uid="{951B2C9F-4721-4178-93AE-7E6AA612C59F}" name="WORK_DONE_BY_075B" dataDxfId="1010"/>
    <tableColumn id="133" xr3:uid="{20851C93-3A79-402E-9C50-AD8990F0BF79}" name="IMP_LEN_MT_076" dataDxfId="1009"/>
    <tableColumn id="134" xr3:uid="{4585379F-CE6E-4024-B35A-D51D456D8B9E}" name="DATE_OF_INSPECT_090" dataDxfId="1008"/>
    <tableColumn id="135" xr3:uid="{19E4066E-1609-49CF-8353-C8DDCC341768}" name="INSPECT_FREQ_MONTHS_091" dataDxfId="1007"/>
    <tableColumn id="136" xr3:uid="{C009E4DC-2081-4E53-9346-597BE155F0B1}" name="FRACTURE_092A" dataDxfId="1006"/>
    <tableColumn id="137" xr3:uid="{CAB35191-5D18-4883-AAAC-4D842D33BC5D}" name="UNDWATER_LOOK_SEE_092B" dataDxfId="1005"/>
    <tableColumn id="138" xr3:uid="{5B28252A-D30B-4292-94D6-F29EA49BA648}" name="SPEC_INSPECT_092C" dataDxfId="1004"/>
    <tableColumn id="139" xr3:uid="{1C9EC777-A401-48C2-8670-C36376903376}" name="FRACTURE_LAST_DATE_093A" dataDxfId="1003"/>
    <tableColumn id="140" xr3:uid="{B405C680-77C4-49CA-AB3C-F7DA9CF47CC9}" name="UNDWATER_LAST_DATE_093B" dataDxfId="1002"/>
    <tableColumn id="141" xr3:uid="{15C6792E-0D22-4DC5-A1A3-A82D26B65EEF}" name="SPEC_LAST_DATE_093C" dataDxfId="1001"/>
    <tableColumn id="142" xr3:uid="{56AFC742-0DDA-443C-BEEF-B49899A56CD7}" name="BRIDGE_IMP_COST_094" dataDxfId="1000"/>
    <tableColumn id="143" xr3:uid="{22BEB467-4F54-4EEF-BF09-A8CEDF45B545}" name="ROADWAY_IMP_COST_095" dataDxfId="999"/>
    <tableColumn id="144" xr3:uid="{16FB5A2F-2878-44E0-880C-42637F2EBF33}" name="TOTAL_IMP_COST_096" dataDxfId="998"/>
    <tableColumn id="145" xr3:uid="{E188DD03-7147-4688-9337-561E0E732924}" name="YEAR_OF_IMP_097" dataDxfId="997"/>
    <tableColumn id="146" xr3:uid="{75057551-9BBB-472E-9B5E-D7F49D0D1FE8}" name="OTHER_STATE_CODE_098A" dataDxfId="996"/>
    <tableColumn id="147" xr3:uid="{F96980F3-FEE1-4A6E-8AAB-D781BD6514E2}" name="OTHER_STATE_PCNT_098B" dataDxfId="995"/>
    <tableColumn id="148" xr3:uid="{4FAC1428-0F61-445D-B163-6B8012BD7F9F}" name="OTHR_STATE_STRUC_NO_099" dataDxfId="994"/>
    <tableColumn id="149" xr3:uid="{AE767585-9E2A-4362-97C5-0980327BFF2E}" name="STRAHNET_HIGHWAY_100" dataDxfId="993"/>
    <tableColumn id="150" xr3:uid="{921D3CA2-696F-46D1-92EC-2FF45BD0F517}" name="PARALLEL_STRUCTURE_101" dataDxfId="992"/>
    <tableColumn id="151" xr3:uid="{359927ED-FB91-46D8-A6B9-27028150592E}" name="TRAFFIC_DIRECTION_102" dataDxfId="991"/>
    <tableColumn id="152" xr3:uid="{7562557F-110D-4AE1-A072-37D2949501BA}" name="TEMP_STRUCTURE_103" dataDxfId="990"/>
    <tableColumn id="153" xr3:uid="{58D2D532-57A3-4351-8C83-3CFDF2B3809C}" name="HIGHWAY_SYSTEM_104" dataDxfId="989"/>
    <tableColumn id="154" xr3:uid="{C126AFA0-BC82-499F-9980-3F12E7D3C966}" name="FEDERAL_LANDS_105" dataDxfId="988"/>
    <tableColumn id="155" xr3:uid="{8E2A2D22-1FC1-4AB2-AA41-F276ADA3544F}" name="YEAR_RECONSTRUCTED_106" dataDxfId="987"/>
    <tableColumn id="156" xr3:uid="{BA5284E9-B889-4B92-8738-FFE38CA8376F}" name="DECK_STRUCTURE_TYPE_107" dataDxfId="986"/>
    <tableColumn id="157" xr3:uid="{F979F014-0629-4793-A82A-BFBF47FC570B}" name="SURFACE_TYPE_108A" dataDxfId="985"/>
    <tableColumn id="158" xr3:uid="{303A28C4-8E97-4FF8-98B0-2B9D8C35D1D9}" name="MEMBRANE_TYPE_108B" dataDxfId="984"/>
    <tableColumn id="159" xr3:uid="{50285BE6-1145-4F8C-8A46-EF5FC61C7A28}" name="DECK_PROTECTION_108C" dataDxfId="983"/>
    <tableColumn id="160" xr3:uid="{A7CC72FC-887E-4D4C-96A7-F7BA08BD29EF}" name="PERCENT_ADT_TRUCK_109" dataDxfId="982"/>
    <tableColumn id="161" xr3:uid="{6F4DD810-5CFE-40BD-8C03-576F5B901A6B}" name="NATIONAL_NETWORK_110" dataDxfId="981"/>
    <tableColumn id="162" xr3:uid="{143461FE-EB54-46A8-8B9E-9A3DB0F4D305}" name="PIER_PROTECTION_111" dataDxfId="980"/>
    <tableColumn id="163" xr3:uid="{0DE34EF5-38F4-4723-BF68-F2E4A29AA9FC}" name="BRIDGE_LEN_IND_112" dataDxfId="979"/>
    <tableColumn id="164" xr3:uid="{AB30F0F8-8AF3-4602-B40A-342BD3D390D7}" name="SCOUR_CRITICAL_113" dataDxfId="978"/>
    <tableColumn id="165" xr3:uid="{18D778D9-DFFD-439C-85CF-7B2E15258B39}" name="FUTURE_ADT_114" dataDxfId="977"/>
    <tableColumn id="166" xr3:uid="{1C32C154-A1AB-449E-BB31-338ED6F344CC}" name="YEAR_OF_FUTURE_ADT_115" dataDxfId="976"/>
    <tableColumn id="167" xr3:uid="{B825BF3F-9A70-4FAF-932F-3FA2D4A669B2}" name="MIN_NAV_CLR_MT_116" dataDxfId="975"/>
    <tableColumn id="168" xr3:uid="{DB0CAC0E-6F83-4A94-A39A-6365E049C01C}" name="FED_AGENCY" dataDxfId="974"/>
    <tableColumn id="169" xr3:uid="{AC8B49A7-F8A5-4099-8BF5-2600D62BD54D}" name="SUBMITTED_BY" dataDxfId="973"/>
    <tableColumn id="170" xr3:uid="{4C9200D1-8EF1-4BD7-84EA-8CE0458B570D}" name="BRIDGE_CONDITION" dataDxfId="972"/>
    <tableColumn id="171" xr3:uid="{165D7DCB-1F6A-4F09-B1B0-7F4B472508AF}" name="LOWEST_RATING" dataDxfId="971"/>
    <tableColumn id="172" xr3:uid="{ACBD7DB7-9250-43BA-95ED-233674562522}" name="DECK_AREA" dataDxfId="970"/>
    <tableColumn id="173" xr3:uid="{9AEE70CB-9E13-4D96-B3FA-D5286BA2CD16}" name="Detour_Duration" dataDxfId="969"/>
    <tableColumn id="174" xr3:uid="{6B650D6C-E937-4B87-B115-F8F229EBE2C7}" name="Min_Unit_Rebuilding_Cost($/ft2)" dataDxfId="968"/>
    <tableColumn id="175" xr3:uid="{B37CF875-FF3C-47C1-8573-81AA3C4E8C08}" name="Max_Unit_Rebuilding_Cost($/ft2)2" dataDxfId="967"/>
    <tableColumn id="176" xr3:uid="{D3E7031C-4764-4A39-93B2-C510321604A1}" name="Cost_Multiplier_for_Early_Replacement" dataDxfId="966"/>
    <tableColumn id="177" xr3:uid="{9F63CAF3-7AC1-4153-A453-7FDDAF99BAD7}" name="Assumed_Number_of_Lives_Lost_in_Bridge_Failure" dataDxfId="965"/>
    <tableColumn id="178" xr3:uid="{F15CB8C8-033C-4660-8D6B-0403335E216D}" name="HYRISK_Cost_of_Faliure_term1" dataDxfId="964"/>
    <tableColumn id="179" xr3:uid="{7624BE74-AE34-4706-9895-4DA4AEAA5391}" name="HYRISK_Cost_of_Faliure_term2" dataDxfId="963"/>
    <tableColumn id="180" xr3:uid="{97A0C31E-F33E-41E7-AF06-B50B581FB120}" name="HYRISK_Cost_of_Faliure_term3" dataDxfId="962"/>
    <tableColumn id="181" xr3:uid="{5A27CD43-4020-4391-8C0A-6BCD73AD67AE}" name="HYRISK_Cost_of_Faliure_term4" dataDxfId="961"/>
    <tableColumn id="285" xr3:uid="{A50EF899-4CDD-4E96-9022-0EE7AB88246D}" name="HYRISK_Cost_of_Faliure_term5" dataDxfId="960"/>
    <tableColumn id="286" xr3:uid="{A03D5500-2154-42CA-A44D-D80760797A82}" name="Rating_decay" dataDxfId="959">
      <calculatedColumnFormula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calculatedColumnFormula>
    </tableColumn>
    <tableColumn id="182" xr3:uid="{96590234-98FE-4DDD-BA03-2440ABA5A389}" name="Total_Cost_MUSD" dataDxfId="958"/>
    <tableColumn id="186" xr3:uid="{1F25DAB8-E0FC-48A4-A0AC-01C53143CF15}" name="Hazus_Failure_Prob_10" dataDxfId="957"/>
    <tableColumn id="185" xr3:uid="{A63CED9F-F42C-41FC-B861-B5C541CF88BE}" name="Hazus_Failure_Prob_50" dataDxfId="956"/>
    <tableColumn id="184" xr3:uid="{307E0687-D305-465F-81D2-E665A7E9054D}" name="Hazus_Failure_Prob_100" dataDxfId="955"/>
    <tableColumn id="183" xr3:uid="{5FC6E0E3-6BB3-4D9D-A7C0-58DB74EFDAFD}" name="Hazus_Failure_Prob_500" dataDxfId="954"/>
    <tableColumn id="187" xr3:uid="{83728C0E-D490-45ED-ABEB-406F59986AE0}" name="Current_rating" dataDxfId="953"/>
    <tableColumn id="283" xr3:uid="{91C6E2D7-045C-4D9A-84F2-3695DEEB24D7}" name="cost_repair_rating0" dataDxfId="952">
      <calculatedColumnFormula>Sheet4!Q32*$GF2*1000000</calculatedColumnFormula>
    </tableColumn>
    <tableColumn id="192" xr3:uid="{348B77E5-3E03-4EF7-AAB5-FB0B2E45CED2}" name="cost_repair_rating1" dataDxfId="951">
      <calculatedColumnFormula>Sheet4!R32*$GF2*1000000</calculatedColumnFormula>
    </tableColumn>
    <tableColumn id="193" xr3:uid="{77DBFB2D-702F-4A6F-87E8-58A2D3C4AE66}" name="cost_repair_rating2" dataDxfId="950">
      <calculatedColumnFormula>Sheet4!S32*$GF2*1000000</calculatedColumnFormula>
    </tableColumn>
    <tableColumn id="194" xr3:uid="{302E83E5-2465-411C-8AD2-557C6D21D142}" name="cost_repair_rating3" dataDxfId="949">
      <calculatedColumnFormula>Sheet4!T32*$GF2*1000000</calculatedColumnFormula>
    </tableColumn>
    <tableColumn id="195" xr3:uid="{7A279109-B995-4A8F-871C-C9C70C52136B}" name="cost_repair_rating4" dataDxfId="948">
      <calculatedColumnFormula>Sheet4!U32*$GF2*1000000</calculatedColumnFormula>
    </tableColumn>
    <tableColumn id="196" xr3:uid="{C899D2FB-974D-4D7F-A205-EC69C2E8EAA8}" name="cost_repair_rating5" dataDxfId="947">
      <calculatedColumnFormula>Sheet4!V32*$GF2*1000000</calculatedColumnFormula>
    </tableColumn>
    <tableColumn id="197" xr3:uid="{C2A59B1D-7A73-4999-A658-EFE9DB0A7D8E}" name="cost_repair_rating6" dataDxfId="946">
      <calculatedColumnFormula>Sheet4!W32*$GF2*1000000</calculatedColumnFormula>
    </tableColumn>
    <tableColumn id="198" xr3:uid="{9742B549-18D6-483E-A513-1F7D00F36BA3}" name="cost_repair_rating7" dataDxfId="945"/>
    <tableColumn id="199" xr3:uid="{8F43DC56-DC8B-47E6-8475-AB171B134A44}" name="cost_repair_rating8" dataDxfId="944"/>
    <tableColumn id="200" xr3:uid="{E12B9F53-5028-4D8A-B939-2EC33AE52CEA}" name="cost_repair_rating9" dataDxfId="943"/>
    <tableColumn id="201" xr3:uid="{885080BD-3A9A-4D1C-9F2B-A2266E6DBE1D}" name="prob500-failure_rating1" dataDxfId="942"/>
    <tableColumn id="202" xr3:uid="{1B41BA8A-5411-4E13-8060-74C7891C9755}" name="prob500-failure_rating2" dataDxfId="941"/>
    <tableColumn id="203" xr3:uid="{7B99EA91-BB8E-4EB1-B0E0-51B9E50CE3C8}" name="prob500-failure_rating3" dataDxfId="940"/>
    <tableColumn id="204" xr3:uid="{756FA994-3158-4487-B7CA-254DA28325DC}" name="prob500-failure_rating4" dataDxfId="939"/>
    <tableColumn id="205" xr3:uid="{FD9869E0-2040-4739-B149-0877386BCFAB}" name="prob500-failure_rating5" dataDxfId="938"/>
    <tableColumn id="206" xr3:uid="{FE2B67A0-04A4-4F06-8F24-7948E28AFD26}" name="prob500-failure_rating6" dataDxfId="937"/>
    <tableColumn id="207" xr3:uid="{E0D4EDF7-00B2-4055-8AC3-D1E47DD12BF7}" name="prob500-failure_rating7" dataDxfId="936"/>
    <tableColumn id="208" xr3:uid="{1AEF716A-05FE-4C26-B579-8F5F14F88E23}" name="prob500-failure_rating8" dataDxfId="935"/>
    <tableColumn id="209" xr3:uid="{C01408C7-E862-4E8A-A726-E093036BD297}" name="prob500-failure_rating9" dataDxfId="934"/>
    <tableColumn id="210" xr3:uid="{1DCB32E4-05E6-404C-93C8-6B16BA1C15ED}" name="prob100-failure_rating1" dataDxfId="933"/>
    <tableColumn id="211" xr3:uid="{AAC0945C-BD87-40A0-A07B-0935B14240F3}" name="prob100-failure_rating2" dataDxfId="932"/>
    <tableColumn id="212" xr3:uid="{3367B84E-AC48-4049-9655-B1BE71C95D92}" name="prob100-failure_rating3" dataDxfId="931"/>
    <tableColumn id="213" xr3:uid="{D94F4450-B257-4CAF-85A9-101B0F4B0C2D}" name="prob100-failure_rating4" dataDxfId="930"/>
    <tableColumn id="214" xr3:uid="{EADC7012-4D0C-49C0-9250-16B44B62E546}" name="prob100-failure_rating5" dataDxfId="929"/>
    <tableColumn id="215" xr3:uid="{F525F730-B4E3-42F6-B1D0-5D6171706CB1}" name="prob100-failure_rating6" dataDxfId="928"/>
    <tableColumn id="216" xr3:uid="{B69B1C5E-B6D1-4262-80C5-7AB2A93EA45D}" name="prob100-failure_rating7" dataDxfId="927"/>
    <tableColumn id="217" xr3:uid="{9C53307D-465F-4568-94E9-678060C692D5}" name="prob100-failure_rating8" dataDxfId="926"/>
    <tableColumn id="218" xr3:uid="{FFAE9164-D7D1-4866-B57A-41E410FBBC03}" name="prob100-failure_rating9" dataDxfId="925"/>
    <tableColumn id="219" xr3:uid="{18B2980D-E217-44DC-B5E0-E3692D112C96}" name="prob50-failure_rating1" dataDxfId="924"/>
    <tableColumn id="220" xr3:uid="{8DFFB1D2-034A-4B0B-93E3-BD86ED11ABBD}" name="prob50-failure_rating2" dataDxfId="923"/>
    <tableColumn id="221" xr3:uid="{CD14E54F-10C7-4145-A4EA-C5A9B74EB098}" name="prob50-failure_rating3" dataDxfId="922"/>
    <tableColumn id="222" xr3:uid="{BC32DA28-A5E1-4EFF-A033-B1047AF50F34}" name="prob50-failure_rating4" dataDxfId="921"/>
    <tableColumn id="223" xr3:uid="{EFE3A6D5-B215-420B-A495-ACFDC108E7FC}" name="prob50-failure_rating5" dataDxfId="920"/>
    <tableColumn id="224" xr3:uid="{681ED23F-89FD-4C46-8021-AAEA1D5E9B15}" name="prob50-failure_rating6" dataDxfId="919"/>
    <tableColumn id="225" xr3:uid="{2766AD84-77EC-4E63-B5C7-E2535AD960A3}" name="prob50-failure_rating7" dataDxfId="918"/>
    <tableColumn id="226" xr3:uid="{75867BAF-28C3-455A-97A6-D80AE6057A52}" name="prob50-failure_rating8" dataDxfId="917"/>
    <tableColumn id="227" xr3:uid="{D1540202-094B-4224-AB83-4D1621C696CB}" name="prob50-failure_rating9" dataDxfId="916"/>
    <tableColumn id="228" xr3:uid="{EF84D492-F55D-425A-9615-EF2EF1855C74}" name="prob10-failure_rating1" dataDxfId="915"/>
    <tableColumn id="229" xr3:uid="{FB042DF5-9F0E-424C-8EDB-5137DE3A72DA}" name="prob10-failure_rating2" dataDxfId="914"/>
    <tableColumn id="230" xr3:uid="{7A0F8378-10BC-4FA7-ABAF-63932A2C9F6E}" name="prob10-failure_rating3" dataDxfId="913"/>
    <tableColumn id="231" xr3:uid="{7FA4C089-714A-4ECC-B63D-8F7AE29004C3}" name="prob10-failure_rating4" dataDxfId="912"/>
    <tableColumn id="232" xr3:uid="{C5C13069-6C24-441D-9371-B44A54AEB885}" name="prob10-failure_rating5" dataDxfId="911"/>
    <tableColumn id="233" xr3:uid="{F1721419-0BF8-4531-9D55-209DC1BAA8D1}" name="prob10-failure_rating6" dataDxfId="910"/>
    <tableColumn id="234" xr3:uid="{7EC200DE-9C57-4C68-B45A-8BB6BB504944}" name="prob10-failure_rating7" dataDxfId="909"/>
    <tableColumn id="235" xr3:uid="{BF3F1B7E-B7D6-411B-944C-5BC82E637CF2}" name="prob10-failure_rating8" dataDxfId="908"/>
    <tableColumn id="236" xr3:uid="{FC64695B-9E1D-45A4-96D8-BFBEB23D39DB}" name="prob10-failure_rating9" dataDxfId="907"/>
    <tableColumn id="237" xr3:uid="{A7810F3E-340A-4EC9-9EE9-9BFB693FD676}" name="failurecost500_rating1" dataDxfId="906">
      <calculatedColumnFormula>Table1567891112[[#This Row],[Total_Cost_MUSD]]*1000000*Table1567891112[[#This Row],[prob500-failure_rating1]]/500</calculatedColumnFormula>
    </tableColumn>
    <tableColumn id="238" xr3:uid="{BD4F862B-FB3C-4B87-9B04-5824849F02C5}" name="failurecost500_rating2" dataDxfId="905">
      <calculatedColumnFormula>Table1567891112[[#This Row],[Total_Cost_MUSD]]*1000000*Table1567891112[[#This Row],[prob500-failure_rating2]]/500</calculatedColumnFormula>
    </tableColumn>
    <tableColumn id="239" xr3:uid="{A8999508-5D09-4622-B69B-DBFAD17D3574}" name="failurecost500_rating3" dataDxfId="904">
      <calculatedColumnFormula>Table1567891112[[#This Row],[Total_Cost_MUSD]]*1000000*Table1567891112[[#This Row],[prob500-failure_rating3]]/500</calculatedColumnFormula>
    </tableColumn>
    <tableColumn id="240" xr3:uid="{D0FE0B36-E348-496B-BB10-B693DF8B187F}" name="failurecost500_rating4" dataDxfId="903">
      <calculatedColumnFormula>Table1567891112[[#This Row],[Total_Cost_MUSD]]*1000000*Table1567891112[[#This Row],[prob500-failure_rating4]]/500</calculatedColumnFormula>
    </tableColumn>
    <tableColumn id="241" xr3:uid="{D11D123E-E2C2-477C-913E-9D96B239D134}" name="failurecost500_rating5" dataDxfId="902">
      <calculatedColumnFormula>Table1567891112[[#This Row],[Total_Cost_MUSD]]*1000000*Table1567891112[[#This Row],[prob500-failure_rating5]]/500</calculatedColumnFormula>
    </tableColumn>
    <tableColumn id="242" xr3:uid="{139749E5-EEFF-4454-84F0-5064ACBDE1FD}" name="failurecost500_rating6" dataDxfId="901">
      <calculatedColumnFormula>Table1567891112[[#This Row],[Total_Cost_MUSD]]*1000000*Table1567891112[[#This Row],[prob500-failure_rating6]]/500</calculatedColumnFormula>
    </tableColumn>
    <tableColumn id="243" xr3:uid="{238540EF-757B-40C3-B7E0-6E6F59969F65}" name="failurecost500_rating7" dataDxfId="900">
      <calculatedColumnFormula>Table1567891112[[#This Row],[Total_Cost_MUSD]]*1000000*Table1567891112[[#This Row],[prob500-failure_rating7]]/500</calculatedColumnFormula>
    </tableColumn>
    <tableColumn id="244" xr3:uid="{B6C0943F-8810-416B-BE1B-6DBA08340204}" name="failurecost500_rating8" dataDxfId="899">
      <calculatedColumnFormula>Table1567891112[[#This Row],[Total_Cost_MUSD]]*1000000*Table1567891112[[#This Row],[prob500-failure_rating8]]/500</calculatedColumnFormula>
    </tableColumn>
    <tableColumn id="245" xr3:uid="{00DDA166-988D-4B4C-B21B-5710B9A03ABC}" name="failurecost500_rating9" dataDxfId="898">
      <calculatedColumnFormula>Table1567891112[[#This Row],[Total_Cost_MUSD]]*1000000*Table1567891112[[#This Row],[prob500-failure_rating9]]/500</calculatedColumnFormula>
    </tableColumn>
    <tableColumn id="246" xr3:uid="{AA625443-4C53-45DD-85F7-63ED99E68E0D}" name="failurecost100_rating1" dataDxfId="897">
      <calculatedColumnFormula>Table1567891112[[#This Row],[Total_Cost_MUSD]]*1000000*Table1567891112[[#This Row],[prob100-failure_rating1]]/100</calculatedColumnFormula>
    </tableColumn>
    <tableColumn id="247" xr3:uid="{A140235E-3545-419F-9517-EB67E2B1E62A}" name="failurecost100_rating2" dataDxfId="896">
      <calculatedColumnFormula>Table1567891112[[#This Row],[Total_Cost_MUSD]]*1000000*Table1567891112[[#This Row],[prob100-failure_rating2]]/100</calculatedColumnFormula>
    </tableColumn>
    <tableColumn id="248" xr3:uid="{25EFFB38-4241-4461-A5EC-2B2F85DD19EB}" name="failurecost100_rating3" dataDxfId="895">
      <calculatedColumnFormula>Table1567891112[[#This Row],[Total_Cost_MUSD]]*1000000*Table1567891112[[#This Row],[prob100-failure_rating3]]/100</calculatedColumnFormula>
    </tableColumn>
    <tableColumn id="249" xr3:uid="{B2CBE7B8-E838-497D-A22D-FF1DBC218866}" name="failurecost100_rating4" dataDxfId="894">
      <calculatedColumnFormula>Table1567891112[[#This Row],[Total_Cost_MUSD]]*1000000*Table1567891112[[#This Row],[prob100-failure_rating4]]/100</calculatedColumnFormula>
    </tableColumn>
    <tableColumn id="250" xr3:uid="{1A737CE4-1E96-432E-BB8A-01A6B4CFECAF}" name="failurecost100_rating5" dataDxfId="893">
      <calculatedColumnFormula>Table1567891112[[#This Row],[Total_Cost_MUSD]]*1000000*Table1567891112[[#This Row],[prob100-failure_rating5]]/100</calculatedColumnFormula>
    </tableColumn>
    <tableColumn id="251" xr3:uid="{6259D417-0BDF-4F7A-8826-138A884184C4}" name="failurecost100_rating6" dataDxfId="892">
      <calculatedColumnFormula>Table1567891112[[#This Row],[Total_Cost_MUSD]]*1000000*Table1567891112[[#This Row],[prob100-failure_rating6]]/100</calculatedColumnFormula>
    </tableColumn>
    <tableColumn id="252" xr3:uid="{7FC10569-E93B-4E83-8C7E-7E21255215C4}" name="failurecost100_rating7" dataDxfId="891">
      <calculatedColumnFormula>Table1567891112[[#This Row],[Total_Cost_MUSD]]*1000000*Table1567891112[[#This Row],[prob100-failure_rating7]]/100</calculatedColumnFormula>
    </tableColumn>
    <tableColumn id="253" xr3:uid="{A5872CAD-5AF3-48FC-9A02-B633309FAC60}" name="failurecost100_rating8" dataDxfId="890">
      <calculatedColumnFormula>Table1567891112[[#This Row],[Total_Cost_MUSD]]*1000000*Table1567891112[[#This Row],[prob100-failure_rating8]]/100</calculatedColumnFormula>
    </tableColumn>
    <tableColumn id="254" xr3:uid="{222C863E-FBEC-47E7-9EB2-8A909F795CC1}" name="failurecost100_rating9" dataDxfId="889">
      <calculatedColumnFormula>Table1567891112[[#This Row],[Total_Cost_MUSD]]*1000000*Table1567891112[[#This Row],[prob100-failure_rating9]]/100</calculatedColumnFormula>
    </tableColumn>
    <tableColumn id="255" xr3:uid="{F7D2AABB-C469-443F-894D-2C9E103F82C6}" name="failurecost50_rating1" dataDxfId="888">
      <calculatedColumnFormula>Table1567891112[[#This Row],[Total_Cost_MUSD]]*1000000*Table1567891112[[#This Row],[prob50-failure_rating1]]/50</calculatedColumnFormula>
    </tableColumn>
    <tableColumn id="256" xr3:uid="{F8BD0D24-79A6-4806-B0D3-1B95BB4EA8D5}" name="failurecost50_rating2" dataDxfId="887">
      <calculatedColumnFormula>Table1567891112[[#This Row],[Total_Cost_MUSD]]*1000000*Table1567891112[[#This Row],[prob50-failure_rating2]]/50</calculatedColumnFormula>
    </tableColumn>
    <tableColumn id="257" xr3:uid="{3DCE088D-660F-4551-BA6B-2EF930BCED31}" name="failurecost50_rating3" dataDxfId="886">
      <calculatedColumnFormula>Table1567891112[[#This Row],[Total_Cost_MUSD]]*1000000*Table1567891112[[#This Row],[prob50-failure_rating3]]/50</calculatedColumnFormula>
    </tableColumn>
    <tableColumn id="258" xr3:uid="{B0223D85-0806-4B96-A530-BF3A0EF95A78}" name="failurecost50_rating4" dataDxfId="885">
      <calculatedColumnFormula>Table1567891112[[#This Row],[Total_Cost_MUSD]]*1000000*Table1567891112[[#This Row],[prob50-failure_rating4]]/50</calculatedColumnFormula>
    </tableColumn>
    <tableColumn id="259" xr3:uid="{9710E732-4F76-4257-9255-72CF8E9357CF}" name="failurecost50_rating5" dataDxfId="884">
      <calculatedColumnFormula>Table1567891112[[#This Row],[Total_Cost_MUSD]]*1000000*Table1567891112[[#This Row],[prob50-failure_rating5]]/50</calculatedColumnFormula>
    </tableColumn>
    <tableColumn id="260" xr3:uid="{BD1E735C-B617-4814-A1ED-0152590A5B1F}" name="failurecost50_rating6" dataDxfId="883">
      <calculatedColumnFormula>Table1567891112[[#This Row],[Total_Cost_MUSD]]*1000000*Table1567891112[[#This Row],[prob50-failure_rating6]]/50</calculatedColumnFormula>
    </tableColumn>
    <tableColumn id="261" xr3:uid="{1A58CFEA-208D-4AA0-8502-5CA9403147B3}" name="failurecost50_rating7" dataDxfId="882">
      <calculatedColumnFormula>Table1567891112[[#This Row],[Total_Cost_MUSD]]*1000000*Table1567891112[[#This Row],[prob50-failure_rating7]]/50</calculatedColumnFormula>
    </tableColumn>
    <tableColumn id="262" xr3:uid="{0871D990-C9D9-4B4D-8E90-AE3211353CAA}" name="failurecost50_rating8" dataDxfId="881">
      <calculatedColumnFormula>Table1567891112[[#This Row],[Total_Cost_MUSD]]*1000000*Table1567891112[[#This Row],[prob50-failure_rating8]]/50</calculatedColumnFormula>
    </tableColumn>
    <tableColumn id="263" xr3:uid="{CC27E146-1AB0-4E90-AE93-25237E98261A}" name="failurecost50_rating9" dataDxfId="880">
      <calculatedColumnFormula>Table1567891112[[#This Row],[Total_Cost_MUSD]]*1000000*Table1567891112[[#This Row],[prob50-failure_rating9]]/50</calculatedColumnFormula>
    </tableColumn>
    <tableColumn id="273" xr3:uid="{7DA30717-5CBA-42F4-8AE3-441FCE434DFA}" name="failurecost10_rating1" dataDxfId="879">
      <calculatedColumnFormula>Table1567891112[[#This Row],[Total_Cost_MUSD]]*1000000*Table1567891112[[#This Row],[prob10-failure_rating1]]/10</calculatedColumnFormula>
    </tableColumn>
    <tableColumn id="274" xr3:uid="{FE1C2EC2-9C49-491D-9F5D-61D5834EA4A5}" name="failurecost10_rating2" dataDxfId="878">
      <calculatedColumnFormula>Table1567891112[[#This Row],[Total_Cost_MUSD]]*1000000*Table1567891112[[#This Row],[prob10-failure_rating2]]/10</calculatedColumnFormula>
    </tableColumn>
    <tableColumn id="275" xr3:uid="{DEB65605-78C5-4181-B38D-DFE0C2C4DDBB}" name="failurecost10_rating3" dataDxfId="877">
      <calculatedColumnFormula>Table1567891112[[#This Row],[Total_Cost_MUSD]]*1000000*Table1567891112[[#This Row],[prob10-failure_rating3]]/10</calculatedColumnFormula>
    </tableColumn>
    <tableColumn id="276" xr3:uid="{ADEB7447-C9A6-44EC-A07F-FEE41E01D9AB}" name="failurecost10_rating4" dataDxfId="876">
      <calculatedColumnFormula>Table1567891112[[#This Row],[Total_Cost_MUSD]]*1000000*Table1567891112[[#This Row],[prob10-failure_rating4]]/10</calculatedColumnFormula>
    </tableColumn>
    <tableColumn id="277" xr3:uid="{7D9C77C6-8341-418D-9D42-20B7EDAE9C55}" name="failurecost10_rating5" dataDxfId="875">
      <calculatedColumnFormula>Table1567891112[[#This Row],[Total_Cost_MUSD]]*1000000*Table1567891112[[#This Row],[prob10-failure_rating5]]/10</calculatedColumnFormula>
    </tableColumn>
    <tableColumn id="278" xr3:uid="{30082328-C212-473B-B383-24FBBCD190D1}" name="failurecost10_rating6" dataDxfId="874">
      <calculatedColumnFormula>Table1567891112[[#This Row],[Total_Cost_MUSD]]*1000000*Table1567891112[[#This Row],[prob10-failure_rating6]]/10</calculatedColumnFormula>
    </tableColumn>
    <tableColumn id="279" xr3:uid="{560ECBD4-AB20-4FC4-8301-B653684E257C}" name="failurecost10_rating7" dataDxfId="873">
      <calculatedColumnFormula>Table1567891112[[#This Row],[Total_Cost_MUSD]]*1000000*Table1567891112[[#This Row],[prob10-failure_rating7]]/10</calculatedColumnFormula>
    </tableColumn>
    <tableColumn id="280" xr3:uid="{8C21EA7A-5D9C-4705-A6A0-3AF5CBA9AC65}" name="failurecost10_rating8" dataDxfId="872">
      <calculatedColumnFormula>Table1567891112[[#This Row],[Total_Cost_MUSD]]*1000000*Table1567891112[[#This Row],[prob10-failure_rating8]]/10</calculatedColumnFormula>
    </tableColumn>
    <tableColumn id="281" xr3:uid="{9B5CC3CF-D18C-4179-829C-D41DE0F1B4CD}" name="failurecost10_rating9" dataDxfId="871">
      <calculatedColumnFormula>Table1567891112[[#This Row],[Total_Cost_MUSD]]*1000000*Table1567891112[[#This Row],[prob10-failure_rating9]]/10</calculatedColumnFormula>
    </tableColumn>
    <tableColumn id="282" xr3:uid="{AC2B60BA-3B4A-407E-B6CB-B54F0AC87063}" name="FailureCost_Rating0" dataDxfId="870">
      <calculatedColumnFormula>Table1567891112[[#This Row],[FailureCost_Rating1]]</calculatedColumnFormula>
    </tableColumn>
    <tableColumn id="264" xr3:uid="{3765F8AC-94A3-4D67-BADB-E58D595E2C23}" name="FailureCost_Rating1" dataDxfId="869">
      <calculatedColumnFormula>Table1567891112[[#This Row],[FailureCost_Rating2]]</calculatedColumnFormula>
    </tableColumn>
    <tableColumn id="265" xr3:uid="{A5B16132-9254-44F1-A56F-CAE494469340}" name="FailureCost_Rating2" dataDxfId="868">
      <calculatedColumnFormula>(Table1567891112[[#This Row],[failurecost500_rating2]]+Table1567891112[[#This Row],[failurecost100_rating2]]+Table1567891112[[#This Row],[failurecost50_rating2]]+Table1567891112[[#This Row],[failurecost10_rating2]])</calculatedColumnFormula>
    </tableColumn>
    <tableColumn id="266" xr3:uid="{A9417CA0-0A89-4EFD-A4D2-C304B54F1EB7}" name="FailureCost_Rating3" dataDxfId="867">
      <calculatedColumnFormula>(Table1567891112[[#This Row],[failurecost500_rating3]]+Table1567891112[[#This Row],[failurecost100_rating3]]+Table1567891112[[#This Row],[failurecost50_rating3]]+Table1567891112[[#This Row],[failurecost10_rating3]])</calculatedColumnFormula>
    </tableColumn>
    <tableColumn id="267" xr3:uid="{4CDCDF36-D6B5-4161-8E83-4D0F76EA5813}" name="FailureCost_Rating4" dataDxfId="866">
      <calculatedColumnFormula>(Table1567891112[[#This Row],[failurecost500_rating4]]+Table1567891112[[#This Row],[failurecost100_rating4]]+Table1567891112[[#This Row],[failurecost50_rating4]]+Table1567891112[[#This Row],[failurecost10_rating4]])</calculatedColumnFormula>
    </tableColumn>
    <tableColumn id="268" xr3:uid="{B2BA5FAC-EBED-4138-B1E0-0A3A38255685}" name="FailureCost_Rating5" dataDxfId="865">
      <calculatedColumnFormula>(Table1567891112[[#This Row],[failurecost500_rating5]]+Table1567891112[[#This Row],[failurecost100_rating5]]+Table1567891112[[#This Row],[failurecost50_rating5]]+Table1567891112[[#This Row],[failurecost10_rating5]])</calculatedColumnFormula>
    </tableColumn>
    <tableColumn id="269" xr3:uid="{658AAA9B-EAA5-4944-8CA3-361C00EE5BF7}" name="FailureCost_Rating6" dataDxfId="864">
      <calculatedColumnFormula>(Table1567891112[[#This Row],[failurecost500_rating6]]+Table1567891112[[#This Row],[failurecost100_rating6]]+Table1567891112[[#This Row],[failurecost50_rating6]]+Table1567891112[[#This Row],[failurecost10_rating6]])</calculatedColumnFormula>
    </tableColumn>
    <tableColumn id="270" xr3:uid="{1803C3B5-41B9-4064-97E6-8FFE639BFD7A}" name="FailureCost_Rating7" dataDxfId="863">
      <calculatedColumnFormula>(Table1567891112[[#This Row],[failurecost500_rating7]]+Table1567891112[[#This Row],[failurecost100_rating7]]+Table1567891112[[#This Row],[failurecost50_rating7]]+Table1567891112[[#This Row],[failurecost10_rating7]])</calculatedColumnFormula>
    </tableColumn>
    <tableColumn id="271" xr3:uid="{21425B4E-793F-42FC-8FB2-9F92646F5AD8}" name="FailureCost_Rating8" dataDxfId="862">
      <calculatedColumnFormula>(Table1567891112[[#This Row],[failurecost500_rating8]]+Table1567891112[[#This Row],[failurecost100_rating8]]+Table1567891112[[#This Row],[failurecost50_rating8]]+Table1567891112[[#This Row],[failurecost10_rating8]])</calculatedColumnFormula>
    </tableColumn>
    <tableColumn id="272" xr3:uid="{10BB99FB-067F-4EB9-9D16-80F73B771F69}" name="FailureCost_Rating9" dataDxfId="861">
      <calculatedColumnFormula>(Table1567891112[[#This Row],[failurecost500_rating9]]+Table1567891112[[#This Row],[failurecost100_rating9]]+Table1567891112[[#This Row],[failurecost50_rating9]]+Table1567891112[[#This Row],[failurecost10_rating9]])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175907-572B-43AD-A156-4963B1E3260F}" name="Table156789111213" displayName="Table156789111213" ref="A1:JY20" totalsRowShown="0" headerRowDxfId="860" dataDxfId="859">
  <autoFilter ref="A1:JY20" xr:uid="{1E05EA88-988A-4182-B643-40FC3C5FB242}"/>
  <tableColumns count="285">
    <tableColumn id="1" xr3:uid="{7B9C74AD-DE6C-445F-BC55-853ABFEF5ACF}" name="Number" dataDxfId="858"/>
    <tableColumn id="2" xr3:uid="{FD7474BC-7895-48D2-82E6-0CFFBD7ADA85}" name="Structure Name" dataDxfId="857"/>
    <tableColumn id="3" xr3:uid="{FF7E3370-8137-4BF8-A1F8-70FFF2000193}" name="Body of water" dataDxfId="856"/>
    <tableColumn id="4" xr3:uid="{36DD1814-6635-4B4E-8C6B-950A6213BFC0}" name="Lattitude" dataDxfId="855"/>
    <tableColumn id="5" xr3:uid="{12F6E38C-31A7-47D7-B8D1-8A71517F0A05}" name="Longitude" dataDxfId="854"/>
    <tableColumn id="6" xr3:uid="{02E313BD-6CE9-462A-856D-890F803C2EA3}" name="Depth50" dataDxfId="853"/>
    <tableColumn id="7" xr3:uid="{55B8E186-970C-4142-9E1A-91ED270BE370}" name="Depth10" dataDxfId="852"/>
    <tableColumn id="8" xr3:uid="{C0C0D209-CA6D-43AE-91B1-752E30E377C7}" name="Depth100" dataDxfId="851"/>
    <tableColumn id="9" xr3:uid="{5C23AE43-9EE0-4DE2-80C4-1D65166BCD0C}" name="Depth500" dataDxfId="850"/>
    <tableColumn id="10" xr3:uid="{C24BDC0E-D163-4B6B-AB7C-EE3CEC161CFF}" name="Depth0_area" dataDxfId="849"/>
    <tableColumn id="11" xr3:uid="{0D747324-E684-4AB6-9AB7-0AC5FF480F74}" name="Depth0_wet" dataDxfId="848"/>
    <tableColumn id="12" xr3:uid="{8AFAA7EF-C60D-47BD-833D-50E98FB3500A}" name="Depth10_area" dataDxfId="847"/>
    <tableColumn id="13" xr3:uid="{001D7F6D-5B65-4AD8-86E7-4C3FC5EF528B}" name="Depth10_wet" dataDxfId="846"/>
    <tableColumn id="14" xr3:uid="{D9924762-F39E-42A2-B65E-41292E61FFD7}" name="Depth50_area" dataDxfId="845"/>
    <tableColumn id="15" xr3:uid="{7EBCD612-030F-466A-814B-2166C0D6E046}" name="Depth50_wet" dataDxfId="844"/>
    <tableColumn id="16" xr3:uid="{E1B46825-514A-4670-9F72-96AEC5077583}" name="Depth100_area" dataDxfId="843"/>
    <tableColumn id="17" xr3:uid="{E1A52316-8CEA-4C6E-8D90-CCF13BE60924}" name="Depth100_wet" dataDxfId="842"/>
    <tableColumn id="18" xr3:uid="{438F5E91-C07F-44E4-814A-80E6654D895C}" name="Depth500_area" dataDxfId="841"/>
    <tableColumn id="19" xr3:uid="{44B0468C-E802-4AD9-9A89-423A21E1D6BA}" name="Depth500_wet" dataDxfId="840"/>
    <tableColumn id="20" xr3:uid="{E064CAE0-4992-433A-A36F-99F88CCB470C}" name="Depth0_HydraulicRadius" dataDxfId="839"/>
    <tableColumn id="21" xr3:uid="{4A6D9ED3-3699-4AD3-8D33-8A0E4D3D4B3B}" name="Depth10_HydraulicRadius" dataDxfId="838"/>
    <tableColumn id="22" xr3:uid="{DF61AE01-F7F6-4711-8F8E-EF9C7D866E4D}" name="Depth50_HydraulicRadius" dataDxfId="837"/>
    <tableColumn id="23" xr3:uid="{3F6B0852-6254-4B44-80C2-FE2AFF01FBC2}" name="Depth100_HydraulicRadius" dataDxfId="836"/>
    <tableColumn id="24" xr3:uid="{4AFD3CFA-5580-45B4-9964-6D9202D44C2B}" name="Depth500_HydraulicRadius" dataDxfId="835"/>
    <tableColumn id="25" xr3:uid="{1B68502F-A627-4ECE-8F06-8FEDD58A40CC}" name="Slope" dataDxfId="834"/>
    <tableColumn id="26" xr3:uid="{C5A4F18C-AB08-4DB5-811D-8BF4CF963339}" name="Foundation_Depth" dataDxfId="833"/>
    <tableColumn id="27" xr3:uid="{CF9179FA-ADFA-41B6-B123-65C763FD297D}" name="Depth10_velocity" dataDxfId="832"/>
    <tableColumn id="28" xr3:uid="{A2B30C7C-8F47-4FD9-9FEB-A60E808EAB1D}" name="Depth50_velocity" dataDxfId="831"/>
    <tableColumn id="29" xr3:uid="{3C592488-F190-44EE-B42F-8F0E37D66EDC}" name="Depth100_velocity" dataDxfId="830"/>
    <tableColumn id="30" xr3:uid="{54CC9378-25DD-454D-A8AC-8B4A053F709D}" name="Depth500_velocity" dataDxfId="829"/>
    <tableColumn id="31" xr3:uid="{89F93467-2407-47F5-AB87-A28017E2D16E}" name="Depth10_Froud" dataDxfId="828"/>
    <tableColumn id="32" xr3:uid="{D17FA1C8-FF55-4B6D-8A61-8496982CE422}" name="Depth50_Froud" dataDxfId="827"/>
    <tableColumn id="33" xr3:uid="{69BD2766-DC4B-4DF7-B126-EF8BA9D602BD}" name="Depth100_Froud" dataDxfId="826"/>
    <tableColumn id="34" xr3:uid="{A3270DCC-ED75-4366-A250-7EA985113DA5}" name="Depth500_Froud" dataDxfId="825"/>
    <tableColumn id="35" xr3:uid="{7B3CA739-31CB-444B-95F2-334F25DAB6A8}" name="Depth10_Scour" dataDxfId="824"/>
    <tableColumn id="36" xr3:uid="{680D1C67-27AE-4684-A775-4B8C93C0AAAC}" name="Depth50_Scour" dataDxfId="823"/>
    <tableColumn id="37" xr3:uid="{51DC17E4-5CC3-4BE4-BD82-1A3DE6E2CD2C}" name="Depth100_Scour" dataDxfId="822"/>
    <tableColumn id="38" xr3:uid="{C3963867-E538-4437-95CF-9867C4017031}" name="Depth500_Scour" dataDxfId="821"/>
    <tableColumn id="39" xr3:uid="{0DFE87F0-96E7-460B-ABFB-C44C89A89196}" name="Depth10_Soil_vol" dataDxfId="820"/>
    <tableColumn id="40" xr3:uid="{DF08D2A5-C75F-44A5-AC99-9B50B33C3CD5}" name="Depth50_Soil_vol" dataDxfId="819"/>
    <tableColumn id="41" xr3:uid="{DCFFBCC5-050A-4275-90B6-86C161A26F84}" name="Depth100_Soil_vol" dataDxfId="818"/>
    <tableColumn id="42" xr3:uid="{A14C0019-322F-4017-9186-7BB959F2BFA3}" name="Depth500_Soil_vol" dataDxfId="817"/>
    <tableColumn id="191" xr3:uid="{AC889912-E636-4A18-9845-69F550753C0E}" name="Depth10_cost" dataDxfId="816">
      <calculatedColumnFormula>Table156789111213[[#This Row],[Depth10_Soil_vol]]*(9.353+9.027)+(Table156789111213[[#This Row],[Depth10_Soil_vol]]/2.5)*20*1.053+(PI()*Table156789111213[[#This Row],[Depth10_Scour]])*Table156789111213[[#This Row],[DECK_WIDTH_MT_052]]*1.062</calculatedColumnFormula>
    </tableColumn>
    <tableColumn id="190" xr3:uid="{5F149F2A-3BC8-4C2E-B38C-66B356324CD9}" name="Depth50_cost" dataDxfId="815">
      <calculatedColumnFormula>Table156789111213[[#This Row],[Depth50_Soil_vol]]*(9.353+9.027)+(Table156789111213[[#This Row],[Depth50_Soil_vol]]/2.5)*20*1.053+(PI()*Table156789111213[[#This Row],[Depth50_Scour]])*Table156789111213[[#This Row],[DECK_WIDTH_MT_052]]*1.062</calculatedColumnFormula>
    </tableColumn>
    <tableColumn id="189" xr3:uid="{E8463900-BE80-4D42-8F1A-89CA72EC24CF}" name="Depth100_cost" dataDxfId="814">
      <calculatedColumnFormula>Table156789111213[[#This Row],[Depth100_Soil_vol]]*(9.353+9.027)+(Table156789111213[[#This Row],[Depth100_Soil_vol]]/2.5)*20*1.053+(PI()*Table156789111213[[#This Row],[Depth100_Scour]])*Table156789111213[[#This Row],[DECK_WIDTH_MT_052]]*1.062</calculatedColumnFormula>
    </tableColumn>
    <tableColumn id="188" xr3:uid="{3E520E9F-8C55-4FCD-8020-9FBC9C3F794C}" name="Depth500_cost" dataDxfId="813">
      <calculatedColumnFormula>Table156789111213[[#This Row],[Depth500_Soil_vol]]*(9.353+9.027)+(Table156789111213[[#This Row],[Depth500_Soil_vol]]/2.5)*20*1.053+(PI()*Table156789111213[[#This Row],[Depth500_Scour]])*Table156789111213[[#This Row],[DECK_WIDTH_MT_052]]*1.062</calculatedColumnFormula>
    </tableColumn>
    <tableColumn id="43" xr3:uid="{0678D96F-562C-42C3-B269-0AFB318E6FDE}" name="Foundation_Width" dataDxfId="812"/>
    <tableColumn id="44" xr3:uid="{F3A2DF21-2FA6-4B87-8605-6DF2CD22E538}" name="Foundation_length" dataDxfId="811"/>
    <tableColumn id="45" xr3:uid="{77E412CF-D8CF-4DA4-924B-FFA0152E5578}" name="Shape" dataDxfId="810"/>
    <tableColumn id="46" xr3:uid="{6304C56A-7C1A-45B4-B6EC-C8D619A93999}" name="Depth10_Rating" dataDxfId="809"/>
    <tableColumn id="47" xr3:uid="{5689AD34-9F82-4557-8B38-8F2E0C7F62DF}" name="Depth50_Rating" dataDxfId="808"/>
    <tableColumn id="48" xr3:uid="{BCDFFD8E-7F4F-4517-90D3-A757EDD8FD60}" name="Depth100_Rating" dataDxfId="807"/>
    <tableColumn id="49" xr3:uid="{5504AD0C-E196-43FF-B859-6E551A4B1708}" name="Depth500_Rating" dataDxfId="806"/>
    <tableColumn id="50" xr3:uid="{0B456842-D585-45E3-AAF7-5301B0F97829}" name="STATE_CODE_001" dataDxfId="805"/>
    <tableColumn id="51" xr3:uid="{BD7351D6-EF2A-44EB-8F0F-C00888674779}" name="STRUCTURE_NUMBER_008" dataDxfId="804"/>
    <tableColumn id="52" xr3:uid="{3053FAFA-F412-4086-942D-E1766E2F3139}" name="LAT_016" dataDxfId="803"/>
    <tableColumn id="53" xr3:uid="{93D242A3-7D08-4833-AE64-EC2B3B6A6432}" name="LONG_017" dataDxfId="802"/>
    <tableColumn id="54" xr3:uid="{B4C10931-3469-475F-84DB-3DE2B908F215}" name="RECORD_TYPE_005A" dataDxfId="801"/>
    <tableColumn id="55" xr3:uid="{B2F0E5C4-99F9-466A-BF8B-8B4711FFF087}" name="ROUTE_PREFIX_005B" dataDxfId="800"/>
    <tableColumn id="56" xr3:uid="{B55FF3EF-EC8A-40B6-9F3C-0E9C89275F7E}" name="SERVICE_LEVEL_005C" dataDxfId="799"/>
    <tableColumn id="57" xr3:uid="{A3547094-7B80-4547-87F4-2E8E85388CED}" name="ROUTE_NUMBER_005D" dataDxfId="798"/>
    <tableColumn id="58" xr3:uid="{0E6A730E-A6E8-4C75-9148-DB6708D308C1}" name="DIRECTION_005E" dataDxfId="797"/>
    <tableColumn id="59" xr3:uid="{87CA6BAD-692E-4E73-A52E-969DB266F65D}" name="HIGHWAY_DISTRICT_002" dataDxfId="796"/>
    <tableColumn id="60" xr3:uid="{F1C62AFF-43C4-4092-86C5-728E0DB72670}" name="COUNTY_CODE_003" dataDxfId="795"/>
    <tableColumn id="61" xr3:uid="{EFAF5249-C9C4-42D3-BD57-9678672E674A}" name="PLACE_CODE_004" dataDxfId="794"/>
    <tableColumn id="62" xr3:uid="{5A743B29-6F61-4CA6-AC0E-5E3C1ECB7A12}" name="FEATURES_DESC_006A" dataDxfId="793"/>
    <tableColumn id="63" xr3:uid="{51C957AA-2FF6-4487-A746-BAD7D505CC6C}" name="CRITICAL_FACILITY_006B" dataDxfId="792"/>
    <tableColumn id="64" xr3:uid="{DC9E5AA8-C35D-4E52-80C8-C3146328A7AD}" name="FACILITY_CARRIED_007" dataDxfId="791"/>
    <tableColumn id="65" xr3:uid="{C036FCE9-BC38-4E44-9C7A-D9A368AA476B}" name="LOCATION_009" dataDxfId="790"/>
    <tableColumn id="66" xr3:uid="{D92A8186-A047-4D45-8C20-7E527508CE59}" name="MIN_VERT_CLR_010" dataDxfId="789"/>
    <tableColumn id="67" xr3:uid="{A10C1D47-C083-43F7-B6FD-A27F89753A97}" name="KILOPOINT_011" dataDxfId="788"/>
    <tableColumn id="68" xr3:uid="{9D1C6535-84FD-4FC8-BCB3-889CD76FE1E8}" name="BASE_HWY_NETWORK_012" dataDxfId="787"/>
    <tableColumn id="69" xr3:uid="{96990C03-D813-4445-819D-5DAC02634413}" name="LRS_INV_ROUTE_013A" dataDxfId="786"/>
    <tableColumn id="70" xr3:uid="{5E5CDB20-C88D-4F71-B2FB-C26E78526600}" name="SUBROUTE_NO_013B" dataDxfId="785"/>
    <tableColumn id="71" xr3:uid="{79BA8F30-B7F7-4857-ADDE-90E3CB5D0594}" name="DETOUR_KILOS_019" dataDxfId="784"/>
    <tableColumn id="72" xr3:uid="{6F690E5C-8C12-488A-A70A-5045EAA76D28}" name="TOLL_020" dataDxfId="783"/>
    <tableColumn id="73" xr3:uid="{70B2B370-A198-4127-9470-004DB3AD24FA}" name="MAINTENANCE_021" dataDxfId="782"/>
    <tableColumn id="74" xr3:uid="{09CAFF97-DB5C-4B8A-8676-B4696E6F4118}" name="OWNER_022" dataDxfId="781"/>
    <tableColumn id="75" xr3:uid="{14ACA65E-DC8D-4454-AB13-D702F934179F}" name="FUNCTIONAL_CLASS_026" dataDxfId="780"/>
    <tableColumn id="76" xr3:uid="{60714558-CB44-45E7-BCCC-243164C65ED9}" name="YEAR_BUILT_027" dataDxfId="779"/>
    <tableColumn id="77" xr3:uid="{CD2D36B9-CDCE-48C1-927C-45C57C748901}" name="TRAFFIC_LANES_ON_028A" dataDxfId="778"/>
    <tableColumn id="78" xr3:uid="{4C271C1E-7D38-42A0-9A78-F9469E88747D}" name="TRAFFIC_LANES_UND_028B" dataDxfId="777"/>
    <tableColumn id="79" xr3:uid="{3F8130D9-2DDB-451E-B439-38DEF5724984}" name="ADT_029" dataDxfId="776"/>
    <tableColumn id="80" xr3:uid="{A31B6CF1-64F8-4760-9FB3-0D8F05645A7E}" name="YEAR_ADT_030" dataDxfId="775"/>
    <tableColumn id="81" xr3:uid="{14C60B16-D74D-45A7-B2CE-D441DF7964F8}" name="DESIGN_LOAD_031" dataDxfId="774"/>
    <tableColumn id="82" xr3:uid="{38702521-9D30-4A0A-9612-AF483A771275}" name="APPR_WIDTH_MT_032" dataDxfId="773"/>
    <tableColumn id="83" xr3:uid="{2151705D-C7AE-4B76-A88A-10E0F2C1CE70}" name="MEDIAN_CODE_033" dataDxfId="772"/>
    <tableColumn id="84" xr3:uid="{E3015E8C-BF94-4F05-A86C-643D28BE629E}" name="DEGREES_SKEW_034" dataDxfId="771"/>
    <tableColumn id="85" xr3:uid="{6993D72D-F557-4BE2-859F-653834597EBE}" name="STRUCTURE_FLARED_035" dataDxfId="770"/>
    <tableColumn id="86" xr3:uid="{3CA1E6ED-9F9F-4C78-B3A8-8754E6068E62}" name="RAILINGS_036A" dataDxfId="769"/>
    <tableColumn id="87" xr3:uid="{3E85E680-7488-4106-8A19-9CFD3E6EC8AF}" name="TRANSITIONS_036B" dataDxfId="768"/>
    <tableColumn id="88" xr3:uid="{D1DD9238-AD60-47D4-9DA4-4D44C9CA6F30}" name="APPR_RAIL_036C" dataDxfId="767"/>
    <tableColumn id="89" xr3:uid="{DA1CC83E-8656-4DD1-A73F-FBF8167B026F}" name="APPR_RAIL_END_036D" dataDxfId="766"/>
    <tableColumn id="90" xr3:uid="{F52FDFA9-ECD0-478E-956C-7DD70EF42014}" name="HISTORY_037" dataDxfId="765"/>
    <tableColumn id="91" xr3:uid="{1645E067-3258-4C78-8159-EB3DF5B90D94}" name="NAVIGATION_038" dataDxfId="764"/>
    <tableColumn id="92" xr3:uid="{02D83138-3ADC-41C6-AC9C-E62D5A7D7BF3}" name="NAV_VERT_CLR_MT_039" dataDxfId="763"/>
    <tableColumn id="93" xr3:uid="{A3B1D4D0-890E-466E-BA20-1EA835AAF839}" name="NAV_HORR_CLR_MT_040" dataDxfId="762"/>
    <tableColumn id="94" xr3:uid="{A3E134C6-7E50-466C-A206-A564E1BED96B}" name="OPEN_CLOSED_POSTED_041" dataDxfId="761"/>
    <tableColumn id="95" xr3:uid="{A7D37754-07EF-4966-948D-A3AED74A9B38}" name="SERVICE_ON_042A" dataDxfId="760"/>
    <tableColumn id="96" xr3:uid="{24B4FCEB-11EB-489F-B035-5EAE885DE6EB}" name="SERVICE_UND_042B" dataDxfId="759"/>
    <tableColumn id="97" xr3:uid="{F417BCB8-2A95-4D7D-80EF-D82DD5396023}" name="STRUCTURE_KIND_043A" dataDxfId="758"/>
    <tableColumn id="98" xr3:uid="{72D67FB3-B43A-4167-931F-47D556198216}" name="STRUCTURE_TYPE_043B" dataDxfId="757"/>
    <tableColumn id="99" xr3:uid="{9B272ABE-6759-4CA1-A174-464E60B05A09}" name="APPR_KIND_044A" dataDxfId="756"/>
    <tableColumn id="100" xr3:uid="{62A8FD6A-7AA6-4CA4-A06C-58709E3B5CBC}" name="APPR_TYPE_044B" dataDxfId="755"/>
    <tableColumn id="101" xr3:uid="{A9CA32A7-E96B-4BAC-BD1D-C31CE1F61842}" name="MAIN_UNIT_SPANS_045" dataDxfId="754"/>
    <tableColumn id="102" xr3:uid="{E927999C-24DD-40A0-B751-292749CD5D07}" name="APPR_SPANS_046" dataDxfId="753"/>
    <tableColumn id="103" xr3:uid="{AD82ECBD-1AF9-4E01-ABD6-03824ECD4418}" name="HORR_CLR_MT_047" dataDxfId="752"/>
    <tableColumn id="104" xr3:uid="{CD263EF7-0116-4DAD-8EC5-206C50FE91FF}" name="MAX_SPAN_LEN_MT_048" dataDxfId="751"/>
    <tableColumn id="105" xr3:uid="{3F91C9CB-7106-4CB4-B973-24D989D4A733}" name="STRUCTURE_LEN_MT_049" dataDxfId="750"/>
    <tableColumn id="106" xr3:uid="{45682536-7C3F-4892-A4F1-7CD38D7A53CF}" name="LEFT_CURB_MT_050A" dataDxfId="749"/>
    <tableColumn id="107" xr3:uid="{D1BB0E1D-5308-4DAE-AE42-DFC5662649E8}" name="RIGHT_CURB_MT_050B" dataDxfId="748"/>
    <tableColumn id="108" xr3:uid="{5C4ABB61-6F98-4145-9E1F-EB8426CE9169}" name="ROADWAY_WIDTH_MT_051" dataDxfId="747"/>
    <tableColumn id="109" xr3:uid="{A21E0A9F-5D71-43EE-A98C-9AD0094DC86C}" name="DECK_WIDTH_MT_052" dataDxfId="746"/>
    <tableColumn id="110" xr3:uid="{51DA5543-7464-4921-BA57-66EA7984C901}" name="VERT_CLR_OVER_MT_053" dataDxfId="745"/>
    <tableColumn id="111" xr3:uid="{E64462D2-6CFC-43C5-AEE4-C5A47265343F}" name="VERT_CLR_UND_REF_054A" dataDxfId="744"/>
    <tableColumn id="112" xr3:uid="{A1112B97-B1D2-4B57-BFA1-D1FEFB75335C}" name="VERT_CLR_UND_054B" dataDxfId="743"/>
    <tableColumn id="113" xr3:uid="{79B07C45-E893-4726-AD53-7F4F06BFDFF7}" name="LAT_UND_REF_055A" dataDxfId="742"/>
    <tableColumn id="114" xr3:uid="{35BF7C65-1733-4115-95E0-C8DF01AF1EB1}" name="LAT_UND_MT_055B" dataDxfId="741"/>
    <tableColumn id="115" xr3:uid="{8C1A7569-35EC-4628-B65C-16CFC3BCD2B2}" name="LEFT_LAT_UND_MT_056" dataDxfId="740"/>
    <tableColumn id="116" xr3:uid="{818F053A-5E04-4337-A816-77604DD74C32}" name="DECK_COND_058" dataDxfId="739"/>
    <tableColumn id="117" xr3:uid="{BD70FB4B-44FE-41C3-86D1-9B0A637E8898}" name="SUPERSTRUCTURE_COND_059" dataDxfId="738"/>
    <tableColumn id="118" xr3:uid="{B76AA476-73B3-4B5A-B2DA-8ACF370F69E2}" name="SUBSTRUCTURE_COND_060" dataDxfId="737"/>
    <tableColumn id="119" xr3:uid="{E9A6BF39-2CC0-40A2-947E-358BCB705998}" name="CHANNEL_COND_061" dataDxfId="736"/>
    <tableColumn id="120" xr3:uid="{F4A48255-C6E8-435B-ADB2-D067ACB5AD6F}" name="CULVERT_COND_062" dataDxfId="735"/>
    <tableColumn id="121" xr3:uid="{1804275B-38DE-4A31-8AD8-41639FF84F42}" name="OPR_RATING_METH_063" dataDxfId="734"/>
    <tableColumn id="122" xr3:uid="{564A5777-F02F-4C77-87A0-E787BE348185}" name="OPERATING_RATING_064" dataDxfId="733"/>
    <tableColumn id="123" xr3:uid="{F50F5272-CB7A-4E9E-9CD4-30ABEF09551B}" name="INV_RATING_METH_065" dataDxfId="732"/>
    <tableColumn id="124" xr3:uid="{193283EF-2CD9-4210-990A-AFEB6802C504}" name="INVENTORY_RATING_066" dataDxfId="731"/>
    <tableColumn id="125" xr3:uid="{7B72D80E-2A03-4835-B058-DAEF3519A81E}" name="STRUCTURAL_EVAL_067" dataDxfId="730"/>
    <tableColumn id="126" xr3:uid="{00C31A5C-83BC-4DEE-8269-4A0512F014DE}" name="DECK_GEOMETRY_EVAL_068" dataDxfId="729"/>
    <tableColumn id="127" xr3:uid="{C574D078-720B-4D09-A9DA-12C905821D2E}" name="UNDCLRENCE_EVAL_069" dataDxfId="728"/>
    <tableColumn id="128" xr3:uid="{DD517B19-E11D-4FA0-A145-67B9979A9294}" name="POSTING_EVAL_070" dataDxfId="727"/>
    <tableColumn id="129" xr3:uid="{F6577F7C-BFB2-450B-A6F7-E270D8577AC8}" name="WATERWAY_EVAL_071" dataDxfId="726"/>
    <tableColumn id="130" xr3:uid="{F6A64DFC-D00B-4F49-86B1-84A52A75D9ED}" name="APPR_ROAD_EVAL_072" dataDxfId="725"/>
    <tableColumn id="131" xr3:uid="{324C704A-BDE5-47D1-AE4D-649A8DE90E84}" name="WORK_PROPOSED_075A" dataDxfId="724"/>
    <tableColumn id="132" xr3:uid="{D3C6B6E7-1D87-4E90-9349-EF9A83AA055B}" name="WORK_DONE_BY_075B" dataDxfId="723"/>
    <tableColumn id="133" xr3:uid="{487C813D-FAAC-4355-B5C4-E0120C2502C9}" name="IMP_LEN_MT_076" dataDxfId="722"/>
    <tableColumn id="134" xr3:uid="{35760730-153C-4D4B-8B06-122B306804A7}" name="DATE_OF_INSPECT_090" dataDxfId="721"/>
    <tableColumn id="135" xr3:uid="{19A1F26A-CBAC-4071-BCC8-33816293B11D}" name="INSPECT_FREQ_MONTHS_091" dataDxfId="720"/>
    <tableColumn id="136" xr3:uid="{C4FEE8FC-BD11-45D6-9D12-83AE1CA6855E}" name="FRACTURE_092A" dataDxfId="719"/>
    <tableColumn id="137" xr3:uid="{ACCD4C24-0586-40ED-9D3A-49A0FA9ECD5C}" name="UNDWATER_LOOK_SEE_092B" dataDxfId="718"/>
    <tableColumn id="138" xr3:uid="{E1657369-6A9F-40E7-86F0-C9FCC1E9FDF9}" name="SPEC_INSPECT_092C" dataDxfId="717"/>
    <tableColumn id="139" xr3:uid="{F2773F77-F921-494D-BBFF-1EEAB8702C56}" name="FRACTURE_LAST_DATE_093A" dataDxfId="716"/>
    <tableColumn id="140" xr3:uid="{68BFFAEB-701F-4F40-944C-06E4B91D4E98}" name="UNDWATER_LAST_DATE_093B" dataDxfId="715"/>
    <tableColumn id="141" xr3:uid="{7C27AD3E-349E-4A2D-BD46-5E80850ED392}" name="SPEC_LAST_DATE_093C" dataDxfId="714"/>
    <tableColumn id="142" xr3:uid="{1069C0C2-C36E-4D16-82B9-DC3A41147573}" name="BRIDGE_IMP_COST_094" dataDxfId="713"/>
    <tableColumn id="143" xr3:uid="{3CAE434B-FDAC-4020-B5B4-A1DF86FCB0B2}" name="ROADWAY_IMP_COST_095" dataDxfId="712"/>
    <tableColumn id="144" xr3:uid="{C027A091-4A8B-4517-83D3-995C6494404D}" name="TOTAL_IMP_COST_096" dataDxfId="711"/>
    <tableColumn id="145" xr3:uid="{D8C27E4F-8589-4609-BFBC-AAA3322220D2}" name="YEAR_OF_IMP_097" dataDxfId="710"/>
    <tableColumn id="146" xr3:uid="{E89A1B7C-86DD-4A60-8DDD-6D9BC309EF66}" name="OTHER_STATE_CODE_098A" dataDxfId="709"/>
    <tableColumn id="147" xr3:uid="{AD6A028F-3F5F-4686-9A4C-1907518BC8F8}" name="OTHER_STATE_PCNT_098B" dataDxfId="708"/>
    <tableColumn id="148" xr3:uid="{FBF811BE-6E2F-427A-9C54-561F7FCBDE64}" name="OTHR_STATE_STRUC_NO_099" dataDxfId="707"/>
    <tableColumn id="149" xr3:uid="{EAB1796E-EC56-4ED5-8D0C-AF006BEF1A9E}" name="STRAHNET_HIGHWAY_100" dataDxfId="706"/>
    <tableColumn id="150" xr3:uid="{FCD8EEFE-5227-4CCD-827B-CB50C633CD25}" name="PARALLEL_STRUCTURE_101" dataDxfId="705"/>
    <tableColumn id="151" xr3:uid="{5ECAA2D1-06FE-4BBA-B6A8-5010AC59B2D6}" name="TRAFFIC_DIRECTION_102" dataDxfId="704"/>
    <tableColumn id="152" xr3:uid="{00B29D9C-F1C9-4D39-9C81-FACE16D32A0A}" name="TEMP_STRUCTURE_103" dataDxfId="703"/>
    <tableColumn id="153" xr3:uid="{C59FB12D-768C-4239-A51E-20FD83D0C904}" name="HIGHWAY_SYSTEM_104" dataDxfId="702"/>
    <tableColumn id="154" xr3:uid="{D3BF6208-BAB3-4A50-B449-9E39835F51E3}" name="FEDERAL_LANDS_105" dataDxfId="701"/>
    <tableColumn id="155" xr3:uid="{F97E6E74-8CDF-46EB-89CB-167C2AA624CB}" name="YEAR_RECONSTRUCTED_106" dataDxfId="700"/>
    <tableColumn id="156" xr3:uid="{E29F4E5F-EC93-4747-BC28-693761687E7E}" name="DECK_STRUCTURE_TYPE_107" dataDxfId="699"/>
    <tableColumn id="157" xr3:uid="{4928FA9D-F792-4F26-86BD-59E8A6575BE8}" name="SURFACE_TYPE_108A" dataDxfId="698"/>
    <tableColumn id="158" xr3:uid="{3A284037-992E-454E-85BD-949B3FF71E94}" name="MEMBRANE_TYPE_108B" dataDxfId="697"/>
    <tableColumn id="159" xr3:uid="{79DF3E6E-90A5-46C1-9AF3-F88E78AB2C71}" name="DECK_PROTECTION_108C" dataDxfId="696"/>
    <tableColumn id="160" xr3:uid="{6D87A715-E1D9-49EB-B9CB-0CE990A062C7}" name="PERCENT_ADT_TRUCK_109" dataDxfId="695"/>
    <tableColumn id="161" xr3:uid="{3DD22104-36CC-4CCC-9663-FB129738FA5B}" name="NATIONAL_NETWORK_110" dataDxfId="694"/>
    <tableColumn id="162" xr3:uid="{6B287F1F-529F-4584-B446-9F43751A07C0}" name="PIER_PROTECTION_111" dataDxfId="693"/>
    <tableColumn id="163" xr3:uid="{7BB4FA6C-0970-4EA7-AE11-D6E7E265EB3A}" name="BRIDGE_LEN_IND_112" dataDxfId="692"/>
    <tableColumn id="164" xr3:uid="{BA597B6D-2CC6-49F6-A614-7713068B23A5}" name="SCOUR_CRITICAL_113" dataDxfId="691"/>
    <tableColumn id="165" xr3:uid="{737B5069-F56A-4D18-8305-AA073C3D550E}" name="FUTURE_ADT_114" dataDxfId="690"/>
    <tableColumn id="166" xr3:uid="{519C32FE-EDD1-4390-8539-BA44FEA74C56}" name="YEAR_OF_FUTURE_ADT_115" dataDxfId="689"/>
    <tableColumn id="167" xr3:uid="{C2987FD1-7103-42E7-9529-88AADB9BC557}" name="MIN_NAV_CLR_MT_116" dataDxfId="688"/>
    <tableColumn id="168" xr3:uid="{A3E090DB-A911-4A42-AED4-684D4EF19BD1}" name="FED_AGENCY" dataDxfId="687"/>
    <tableColumn id="169" xr3:uid="{404A5915-0B46-48D7-A318-4E304258EA05}" name="SUBMITTED_BY" dataDxfId="686"/>
    <tableColumn id="170" xr3:uid="{6D904DF4-61E0-483D-8D94-9F4B62364881}" name="BRIDGE_CONDITION" dataDxfId="685"/>
    <tableColumn id="171" xr3:uid="{4CAE794E-5CD6-41B7-BF83-8B577720AC63}" name="LOWEST_RATING" dataDxfId="684"/>
    <tableColumn id="172" xr3:uid="{2E8C9A5A-9FB7-4ED8-AF4F-38B6375E5E5A}" name="DECK_AREA" dataDxfId="683"/>
    <tableColumn id="173" xr3:uid="{B2179B36-E364-4577-820F-75D5C61E0B37}" name="Detour_Duration" dataDxfId="682"/>
    <tableColumn id="174" xr3:uid="{376AEA22-A16B-4303-83BC-512F22FC79C3}" name="Min_Unit_Rebuilding_Cost($/ft2)" dataDxfId="681"/>
    <tableColumn id="175" xr3:uid="{AD6F39C9-CBEE-4456-8FEA-E432C35A8FC9}" name="Max_Unit_Rebuilding_Cost($/ft2)2" dataDxfId="680"/>
    <tableColumn id="176" xr3:uid="{1DC61245-8E7A-4966-A24B-E92999CCBBB0}" name="Cost_Multiplier_for_Early_Replacement" dataDxfId="679"/>
    <tableColumn id="177" xr3:uid="{86053F70-DA8E-4EA3-B09C-AE27572E222D}" name="Assumed_Number_of_Lives_Lost_in_Bridge_Failure" dataDxfId="678"/>
    <tableColumn id="178" xr3:uid="{DF44A275-6B8F-456B-A568-3AD5D976CDD5}" name="HYRISK_Cost_of_Faliure_term1" dataDxfId="677"/>
    <tableColumn id="179" xr3:uid="{B5E5CC7D-DEBE-4DB8-8F00-38DE53430F68}" name="HYRISK_Cost_of_Faliure_term2" dataDxfId="676"/>
    <tableColumn id="180" xr3:uid="{FD4031BC-9996-43E5-83CF-858D00FBB8E0}" name="HYRISK_Cost_of_Faliure_term3" dataDxfId="675"/>
    <tableColumn id="181" xr3:uid="{C298C702-E1F1-4FEC-8CF5-8A630D1611A6}" name="HYRISK_Cost_of_Faliure_term4" dataDxfId="674"/>
    <tableColumn id="285" xr3:uid="{CC1EDFD4-31EC-43EC-8CB6-D4989E2849D9}" name="HYRISK_Cost_of_Faliure_term5" dataDxfId="673"/>
    <tableColumn id="286" xr3:uid="{7EB45A7D-C3C7-41AB-94C9-2D892FF2ABF0}" name="Rating_decay" dataDxfId="672">
      <calculatedColumnFormula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calculatedColumnFormula>
    </tableColumn>
    <tableColumn id="182" xr3:uid="{2BC1C5DB-345A-4E23-8223-C081F24D5028}" name="Total_Cost_MUSD" dataDxfId="671"/>
    <tableColumn id="186" xr3:uid="{1A680E7C-1723-4FFB-8980-0721E3BBD1D1}" name="Hazus_Failure_Prob_10" dataDxfId="670"/>
    <tableColumn id="185" xr3:uid="{36A30698-4FBB-4688-BB53-E9BDC9263B9E}" name="Hazus_Failure_Prob_50" dataDxfId="669"/>
    <tableColumn id="184" xr3:uid="{48C878A9-04EA-4ED0-8E05-09AF5FDC7920}" name="Hazus_Failure_Prob_100" dataDxfId="668"/>
    <tableColumn id="183" xr3:uid="{EEBBF215-3E74-4F9F-89F8-CD859DEE8E1E}" name="Hazus_Failure_Prob_500" dataDxfId="667"/>
    <tableColumn id="187" xr3:uid="{268CE8BE-D96E-4F52-B90C-8165C2B11401}" name="Current_rating" dataDxfId="666"/>
    <tableColumn id="283" xr3:uid="{3FA1431B-3831-47D1-A824-8858ADBF68AF}" name="cost_repair_rating0" dataDxfId="665">
      <calculatedColumnFormula>Sheet4!Q32*$GF2*1000000</calculatedColumnFormula>
    </tableColumn>
    <tableColumn id="192" xr3:uid="{AFA9DABC-6773-4D25-9310-F8900C0B5316}" name="cost_repair_rating1" dataDxfId="664">
      <calculatedColumnFormula>Sheet4!R32*$GF2*1000000</calculatedColumnFormula>
    </tableColumn>
    <tableColumn id="193" xr3:uid="{0792D7EB-5A04-4AF7-A269-0B8C89229F89}" name="cost_repair_rating2" dataDxfId="663">
      <calculatedColumnFormula>Sheet4!S32*$GF2*1000000</calculatedColumnFormula>
    </tableColumn>
    <tableColumn id="194" xr3:uid="{6A8AC5CB-7ED5-427B-A4B0-61208B39C379}" name="cost_repair_rating3" dataDxfId="662">
      <calculatedColumnFormula>Sheet4!T32*$GF2*1000000</calculatedColumnFormula>
    </tableColumn>
    <tableColumn id="195" xr3:uid="{4B4113E6-C236-40C1-AE92-83EB4040A89C}" name="cost_repair_rating4" dataDxfId="661">
      <calculatedColumnFormula>Sheet4!U32*$GF2*1000000</calculatedColumnFormula>
    </tableColumn>
    <tableColumn id="196" xr3:uid="{E98E707A-AE97-4348-8C02-06BFA07B64DB}" name="cost_repair_rating5" dataDxfId="660">
      <calculatedColumnFormula>Sheet4!V32*$GF2*1000000</calculatedColumnFormula>
    </tableColumn>
    <tableColumn id="197" xr3:uid="{7E7CE7E2-978C-439B-B443-C83C37FE0967}" name="cost_repair_rating6" dataDxfId="659">
      <calculatedColumnFormula>Sheet4!W32*$GF2*1000000</calculatedColumnFormula>
    </tableColumn>
    <tableColumn id="198" xr3:uid="{1430EAFC-B90C-49B6-91D8-5DF56D5A45FD}" name="cost_repair_rating7" dataDxfId="658"/>
    <tableColumn id="199" xr3:uid="{514E67CF-2AC8-41ED-A7FD-17C1C746709C}" name="cost_repair_rating8" dataDxfId="657"/>
    <tableColumn id="200" xr3:uid="{37FAD9FA-9569-405F-9A16-9D08B8E150D7}" name="cost_repair_rating9" dataDxfId="656"/>
    <tableColumn id="201" xr3:uid="{493B9FFE-140C-419F-90B8-9C434D397771}" name="prob500-failure_rating1" dataDxfId="655"/>
    <tableColumn id="202" xr3:uid="{454EC09E-3D04-4693-B103-E2042E695BC4}" name="prob500-failure_rating2" dataDxfId="654"/>
    <tableColumn id="203" xr3:uid="{4592797E-4CA4-40A2-A39A-0F602B1D69BC}" name="prob500-failure_rating3" dataDxfId="653"/>
    <tableColumn id="204" xr3:uid="{A5A7801A-8EDA-4593-A3E4-B377D89A64E1}" name="prob500-failure_rating4" dataDxfId="652"/>
    <tableColumn id="205" xr3:uid="{8997574A-2E8A-4527-AD70-8E0831B238FC}" name="prob500-failure_rating5" dataDxfId="651"/>
    <tableColumn id="206" xr3:uid="{FC56ABA6-722B-4174-B277-CCDF8A1FB6F7}" name="prob500-failure_rating6" dataDxfId="650"/>
    <tableColumn id="207" xr3:uid="{28B664D1-A2EC-4DA7-BA64-5464087A2B02}" name="prob500-failure_rating7" dataDxfId="649"/>
    <tableColumn id="208" xr3:uid="{E2FAC22A-BDB2-4C94-BE9F-8433EE42B77F}" name="prob500-failure_rating8" dataDxfId="648"/>
    <tableColumn id="209" xr3:uid="{4FBFBF74-D3D7-4CA9-8460-42C11A0BEB3B}" name="prob500-failure_rating9" dataDxfId="647"/>
    <tableColumn id="210" xr3:uid="{2F9EE3D3-F590-45EF-9810-084C0A8CFBB6}" name="prob100-failure_rating1" dataDxfId="646"/>
    <tableColumn id="211" xr3:uid="{A4BAE66B-23E4-4D23-AC2F-6BABE883C530}" name="prob100-failure_rating2" dataDxfId="645"/>
    <tableColumn id="212" xr3:uid="{5600E372-6262-4EE9-95F5-60C056A0E03C}" name="prob100-failure_rating3" dataDxfId="644"/>
    <tableColumn id="213" xr3:uid="{6F9E48EF-FEE4-49EC-AA09-BE4A4AA5186F}" name="prob100-failure_rating4" dataDxfId="643"/>
    <tableColumn id="214" xr3:uid="{71583397-D939-42A0-8811-A8DB28D6A384}" name="prob100-failure_rating5" dataDxfId="642"/>
    <tableColumn id="215" xr3:uid="{4CFE710D-7847-4709-9AA6-2D7C2BD51C5B}" name="prob100-failure_rating6" dataDxfId="641"/>
    <tableColumn id="216" xr3:uid="{B4C675FC-BEAD-44B6-87F9-A3896F6507EE}" name="prob100-failure_rating7" dataDxfId="640"/>
    <tableColumn id="217" xr3:uid="{5D19E9C8-99C1-4161-86DD-4FB7ACD3908A}" name="prob100-failure_rating8" dataDxfId="639"/>
    <tableColumn id="218" xr3:uid="{2B8C107D-EFEA-47C1-A8D3-4EFE6D381694}" name="prob100-failure_rating9" dataDxfId="638"/>
    <tableColumn id="219" xr3:uid="{6AA358CE-BF45-4AA3-8EA6-770DE31DCEAD}" name="prob50-failure_rating1" dataDxfId="637"/>
    <tableColumn id="220" xr3:uid="{ECD73321-F6C5-4658-B5AF-FD729C2E7F72}" name="prob50-failure_rating2" dataDxfId="636"/>
    <tableColumn id="221" xr3:uid="{BCD1FA2F-D599-4385-BCBA-BB21531C3345}" name="prob50-failure_rating3" dataDxfId="635"/>
    <tableColumn id="222" xr3:uid="{8D5D2BA0-44A9-450E-AAD4-E4423ECEE2E7}" name="prob50-failure_rating4" dataDxfId="634"/>
    <tableColumn id="223" xr3:uid="{503A35FC-A6E0-4BCC-B879-0EE4AA4D1B6E}" name="prob50-failure_rating5" dataDxfId="633"/>
    <tableColumn id="224" xr3:uid="{B8F92909-98F1-4F17-B6E9-45F312FC64A1}" name="prob50-failure_rating6" dataDxfId="632"/>
    <tableColumn id="225" xr3:uid="{17FEDD22-03CA-4D26-9E69-12A8F5DCA9AD}" name="prob50-failure_rating7" dataDxfId="631"/>
    <tableColumn id="226" xr3:uid="{57CE316C-CD37-454A-A736-C893A4C96C31}" name="prob50-failure_rating8" dataDxfId="630"/>
    <tableColumn id="227" xr3:uid="{C4BA2167-9491-4621-BA4B-51B190C8992A}" name="prob50-failure_rating9" dataDxfId="629"/>
    <tableColumn id="228" xr3:uid="{32695CE3-D03F-4D06-B8AB-D8AD53208ECE}" name="prob10-failure_rating1" dataDxfId="628"/>
    <tableColumn id="229" xr3:uid="{0155D531-F732-4DDB-9FC4-82134F1C985E}" name="prob10-failure_rating2" dataDxfId="627"/>
    <tableColumn id="230" xr3:uid="{0C07635D-A700-4C0C-B46F-C0463CF397BD}" name="prob10-failure_rating3" dataDxfId="626"/>
    <tableColumn id="231" xr3:uid="{EEBA660C-4894-4849-A8A9-3F23FD31A4E7}" name="prob10-failure_rating4" dataDxfId="625"/>
    <tableColumn id="232" xr3:uid="{895363A5-2B58-401B-A226-34654DF689D2}" name="prob10-failure_rating5" dataDxfId="624"/>
    <tableColumn id="233" xr3:uid="{50F0E136-A999-40EF-A2AB-10627393F317}" name="prob10-failure_rating6" dataDxfId="623"/>
    <tableColumn id="234" xr3:uid="{2648951E-155E-400A-9767-1D887356180B}" name="prob10-failure_rating7" dataDxfId="622"/>
    <tableColumn id="235" xr3:uid="{D4AB9112-951B-43CE-8D2B-5736DE026F61}" name="prob10-failure_rating8" dataDxfId="621"/>
    <tableColumn id="236" xr3:uid="{4FEB3E34-08F2-4DF2-ACA0-56D61309402C}" name="prob10-failure_rating9" dataDxfId="620"/>
    <tableColumn id="237" xr3:uid="{82AE3272-EB13-425B-A5C2-CA78562ACDB4}" name="failurecost500_rating1" dataDxfId="619">
      <calculatedColumnFormula>Table156789111213[[#This Row],[Total_Cost_MUSD]]*1000000*Table156789111213[[#This Row],[prob500-failure_rating1]]/500</calculatedColumnFormula>
    </tableColumn>
    <tableColumn id="238" xr3:uid="{D778AF9A-E72B-424D-83E1-160CA898332A}" name="failurecost500_rating2" dataDxfId="618">
      <calculatedColumnFormula>Table156789111213[[#This Row],[Total_Cost_MUSD]]*1000000*Table156789111213[[#This Row],[prob500-failure_rating2]]/500</calculatedColumnFormula>
    </tableColumn>
    <tableColumn id="239" xr3:uid="{CAC0198C-77BB-443D-9E26-121A09A72B7E}" name="failurecost500_rating3" dataDxfId="617">
      <calculatedColumnFormula>Table156789111213[[#This Row],[Total_Cost_MUSD]]*1000000*Table156789111213[[#This Row],[prob500-failure_rating3]]/500</calculatedColumnFormula>
    </tableColumn>
    <tableColumn id="240" xr3:uid="{23ACCBF6-7F47-405B-9BE3-8CD1BA431333}" name="failurecost500_rating4" dataDxfId="616">
      <calculatedColumnFormula>Table156789111213[[#This Row],[Total_Cost_MUSD]]*1000000*Table156789111213[[#This Row],[prob500-failure_rating4]]/500</calculatedColumnFormula>
    </tableColumn>
    <tableColumn id="241" xr3:uid="{F80EA807-81E1-478A-A8A0-D819C9F231BD}" name="failurecost500_rating5" dataDxfId="615">
      <calculatedColumnFormula>Table156789111213[[#This Row],[Total_Cost_MUSD]]*1000000*Table156789111213[[#This Row],[prob500-failure_rating5]]/500</calculatedColumnFormula>
    </tableColumn>
    <tableColumn id="242" xr3:uid="{E2EF4AEB-CF77-452E-A311-2E61FCB8A70C}" name="failurecost500_rating6" dataDxfId="614">
      <calculatedColumnFormula>Table156789111213[[#This Row],[Total_Cost_MUSD]]*1000000*Table156789111213[[#This Row],[prob500-failure_rating6]]/500</calculatedColumnFormula>
    </tableColumn>
    <tableColumn id="243" xr3:uid="{E86A5BF7-F4C7-437A-ADEB-784BDC26202E}" name="failurecost500_rating7" dataDxfId="613">
      <calculatedColumnFormula>Table156789111213[[#This Row],[Total_Cost_MUSD]]*1000000*Table156789111213[[#This Row],[prob500-failure_rating7]]/500</calculatedColumnFormula>
    </tableColumn>
    <tableColumn id="244" xr3:uid="{2B031D47-2FF0-4EFD-829E-4080CAE61DC7}" name="failurecost500_rating8" dataDxfId="612">
      <calculatedColumnFormula>Table156789111213[[#This Row],[Total_Cost_MUSD]]*1000000*Table156789111213[[#This Row],[prob500-failure_rating8]]/500</calculatedColumnFormula>
    </tableColumn>
    <tableColumn id="245" xr3:uid="{305F3CDD-0C89-4395-8793-30CA97588659}" name="failurecost500_rating9" dataDxfId="611">
      <calculatedColumnFormula>Table156789111213[[#This Row],[Total_Cost_MUSD]]*1000000*Table156789111213[[#This Row],[prob500-failure_rating9]]/500</calculatedColumnFormula>
    </tableColumn>
    <tableColumn id="246" xr3:uid="{4C698D19-6017-431D-A665-0E98785EA106}" name="failurecost100_rating1" dataDxfId="610">
      <calculatedColumnFormula>Table156789111213[[#This Row],[Total_Cost_MUSD]]*1000000*Table156789111213[[#This Row],[prob100-failure_rating1]]/100</calculatedColumnFormula>
    </tableColumn>
    <tableColumn id="247" xr3:uid="{D7463717-DE5D-42BE-8A49-B63E64803220}" name="failurecost100_rating2" dataDxfId="609">
      <calculatedColumnFormula>Table156789111213[[#This Row],[Total_Cost_MUSD]]*1000000*Table156789111213[[#This Row],[prob100-failure_rating2]]/100</calculatedColumnFormula>
    </tableColumn>
    <tableColumn id="248" xr3:uid="{0DB566AB-5A01-4C4E-B1DE-3D504B9D873A}" name="failurecost100_rating3" dataDxfId="608">
      <calculatedColumnFormula>Table156789111213[[#This Row],[Total_Cost_MUSD]]*1000000*Table156789111213[[#This Row],[prob100-failure_rating3]]/100</calculatedColumnFormula>
    </tableColumn>
    <tableColumn id="249" xr3:uid="{088F1EA3-2C34-4D23-BEB8-45DDE98697EC}" name="failurecost100_rating4" dataDxfId="607">
      <calculatedColumnFormula>Table156789111213[[#This Row],[Total_Cost_MUSD]]*1000000*Table156789111213[[#This Row],[prob100-failure_rating4]]/100</calculatedColumnFormula>
    </tableColumn>
    <tableColumn id="250" xr3:uid="{3C94E321-7601-495B-9D09-57333EC7241D}" name="failurecost100_rating5" dataDxfId="606">
      <calculatedColumnFormula>Table156789111213[[#This Row],[Total_Cost_MUSD]]*1000000*Table156789111213[[#This Row],[prob100-failure_rating5]]/100</calculatedColumnFormula>
    </tableColumn>
    <tableColumn id="251" xr3:uid="{A79AD73B-E035-4AEC-87D3-4F2CF0310675}" name="failurecost100_rating6" dataDxfId="605">
      <calculatedColumnFormula>Table156789111213[[#This Row],[Total_Cost_MUSD]]*1000000*Table156789111213[[#This Row],[prob100-failure_rating6]]/100</calculatedColumnFormula>
    </tableColumn>
    <tableColumn id="252" xr3:uid="{9BB2B443-B62D-4842-8710-13F592072A8F}" name="failurecost100_rating7" dataDxfId="604">
      <calculatedColumnFormula>Table156789111213[[#This Row],[Total_Cost_MUSD]]*1000000*Table156789111213[[#This Row],[prob100-failure_rating7]]/100</calculatedColumnFormula>
    </tableColumn>
    <tableColumn id="253" xr3:uid="{A4D192FF-9B34-4080-A64F-9A0B581839C0}" name="failurecost100_rating8" dataDxfId="603">
      <calculatedColumnFormula>Table156789111213[[#This Row],[Total_Cost_MUSD]]*1000000*Table156789111213[[#This Row],[prob100-failure_rating8]]/100</calculatedColumnFormula>
    </tableColumn>
    <tableColumn id="254" xr3:uid="{809A7A48-5391-44B9-B1A2-E23BECA8D6B5}" name="failurecost100_rating9" dataDxfId="602">
      <calculatedColumnFormula>Table156789111213[[#This Row],[Total_Cost_MUSD]]*1000000*Table156789111213[[#This Row],[prob100-failure_rating9]]/100</calculatedColumnFormula>
    </tableColumn>
    <tableColumn id="255" xr3:uid="{2D8A55C4-BA3E-440F-8003-14FC72D14582}" name="failurecost50_rating1" dataDxfId="601">
      <calculatedColumnFormula>Table156789111213[[#This Row],[Total_Cost_MUSD]]*1000000*Table156789111213[[#This Row],[prob50-failure_rating1]]/50</calculatedColumnFormula>
    </tableColumn>
    <tableColumn id="256" xr3:uid="{05CE3164-D93F-4270-BDDA-AC5B19702950}" name="failurecost50_rating2" dataDxfId="600">
      <calculatedColumnFormula>Table156789111213[[#This Row],[Total_Cost_MUSD]]*1000000*Table156789111213[[#This Row],[prob50-failure_rating2]]/50</calculatedColumnFormula>
    </tableColumn>
    <tableColumn id="257" xr3:uid="{A24E0FA1-1460-4372-890E-E6DF497DE895}" name="failurecost50_rating3" dataDxfId="599">
      <calculatedColumnFormula>Table156789111213[[#This Row],[Total_Cost_MUSD]]*1000000*Table156789111213[[#This Row],[prob50-failure_rating3]]/50</calculatedColumnFormula>
    </tableColumn>
    <tableColumn id="258" xr3:uid="{C75F2B1A-03F0-46DE-815D-AC6DC715DED3}" name="failurecost50_rating4" dataDxfId="598">
      <calculatedColumnFormula>Table156789111213[[#This Row],[Total_Cost_MUSD]]*1000000*Table156789111213[[#This Row],[prob50-failure_rating4]]/50</calculatedColumnFormula>
    </tableColumn>
    <tableColumn id="259" xr3:uid="{849A857D-05D3-4B19-9D5B-0A0BFF2219ED}" name="failurecost50_rating5" dataDxfId="597">
      <calculatedColumnFormula>Table156789111213[[#This Row],[Total_Cost_MUSD]]*1000000*Table156789111213[[#This Row],[prob50-failure_rating5]]/50</calculatedColumnFormula>
    </tableColumn>
    <tableColumn id="260" xr3:uid="{2598B15B-324A-48DD-B11C-C6E45DF99EFE}" name="failurecost50_rating6" dataDxfId="596">
      <calculatedColumnFormula>Table156789111213[[#This Row],[Total_Cost_MUSD]]*1000000*Table156789111213[[#This Row],[prob50-failure_rating6]]/50</calculatedColumnFormula>
    </tableColumn>
    <tableColumn id="261" xr3:uid="{82EF2041-CAB4-47CD-A050-E8C9EFD522DA}" name="failurecost50_rating7" dataDxfId="595">
      <calculatedColumnFormula>Table156789111213[[#This Row],[Total_Cost_MUSD]]*1000000*Table156789111213[[#This Row],[prob50-failure_rating7]]/50</calculatedColumnFormula>
    </tableColumn>
    <tableColumn id="262" xr3:uid="{0BB11514-3A56-4A1A-A964-96B311E73ED2}" name="failurecost50_rating8" dataDxfId="594">
      <calculatedColumnFormula>Table156789111213[[#This Row],[Total_Cost_MUSD]]*1000000*Table156789111213[[#This Row],[prob50-failure_rating8]]/50</calculatedColumnFormula>
    </tableColumn>
    <tableColumn id="263" xr3:uid="{DE4BC735-AB83-4ADB-B0C3-30B3AF41B447}" name="failurecost50_rating9" dataDxfId="593">
      <calculatedColumnFormula>Table156789111213[[#This Row],[Total_Cost_MUSD]]*1000000*Table156789111213[[#This Row],[prob50-failure_rating9]]/50</calculatedColumnFormula>
    </tableColumn>
    <tableColumn id="273" xr3:uid="{6DC4ADF7-1D92-4503-83FC-C56B6846B6BF}" name="failurecost10_rating1" dataDxfId="592">
      <calculatedColumnFormula>Table156789111213[[#This Row],[Total_Cost_MUSD]]*1000000*Table156789111213[[#This Row],[prob10-failure_rating1]]/10</calculatedColumnFormula>
    </tableColumn>
    <tableColumn id="274" xr3:uid="{39842739-576D-4833-B43D-93B966EA98E3}" name="failurecost10_rating2" dataDxfId="591">
      <calculatedColumnFormula>Table156789111213[[#This Row],[Total_Cost_MUSD]]*1000000*Table156789111213[[#This Row],[prob10-failure_rating2]]/10</calculatedColumnFormula>
    </tableColumn>
    <tableColumn id="275" xr3:uid="{3F7D2771-900F-40F7-AF0B-E0A6B430B5DE}" name="failurecost10_rating3" dataDxfId="590">
      <calculatedColumnFormula>Table156789111213[[#This Row],[Total_Cost_MUSD]]*1000000*Table156789111213[[#This Row],[prob10-failure_rating3]]/10</calculatedColumnFormula>
    </tableColumn>
    <tableColumn id="276" xr3:uid="{5FE8AF59-D80F-4395-A428-84C84051DFC0}" name="failurecost10_rating4" dataDxfId="589">
      <calculatedColumnFormula>Table156789111213[[#This Row],[Total_Cost_MUSD]]*1000000*Table156789111213[[#This Row],[prob10-failure_rating4]]/10</calculatedColumnFormula>
    </tableColumn>
    <tableColumn id="277" xr3:uid="{3572A591-1098-41FD-9EAE-35150ACF37DC}" name="failurecost10_rating5" dataDxfId="588">
      <calculatedColumnFormula>Table156789111213[[#This Row],[Total_Cost_MUSD]]*1000000*Table156789111213[[#This Row],[prob10-failure_rating5]]/10</calculatedColumnFormula>
    </tableColumn>
    <tableColumn id="278" xr3:uid="{F9D52D96-448C-4624-8DD1-B358AF9EF351}" name="failurecost10_rating6" dataDxfId="587">
      <calculatedColumnFormula>Table156789111213[[#This Row],[Total_Cost_MUSD]]*1000000*Table156789111213[[#This Row],[prob10-failure_rating6]]/10</calculatedColumnFormula>
    </tableColumn>
    <tableColumn id="279" xr3:uid="{8C6042B9-FE12-4F36-BAFD-2A7AD0069AC6}" name="failurecost10_rating7" dataDxfId="586">
      <calculatedColumnFormula>Table156789111213[[#This Row],[Total_Cost_MUSD]]*1000000*Table156789111213[[#This Row],[prob10-failure_rating7]]/10</calculatedColumnFormula>
    </tableColumn>
    <tableColumn id="280" xr3:uid="{382C04E9-2145-4FDA-A67A-831736C3C48D}" name="failurecost10_rating8" dataDxfId="585">
      <calculatedColumnFormula>Table156789111213[[#This Row],[Total_Cost_MUSD]]*1000000*Table156789111213[[#This Row],[prob10-failure_rating8]]/10</calculatedColumnFormula>
    </tableColumn>
    <tableColumn id="281" xr3:uid="{697A17B6-B45B-422A-A08B-9B545DB7FDB1}" name="failurecost10_rating9" dataDxfId="584">
      <calculatedColumnFormula>Table156789111213[[#This Row],[Total_Cost_MUSD]]*1000000*Table156789111213[[#This Row],[prob10-failure_rating9]]/10</calculatedColumnFormula>
    </tableColumn>
    <tableColumn id="282" xr3:uid="{29ECD098-2807-42A5-9FFD-6201EF09369C}" name="FailureCost_Rating0" dataDxfId="583">
      <calculatedColumnFormula>Table156789111213[[#This Row],[FailureCost_Rating1]]</calculatedColumnFormula>
    </tableColumn>
    <tableColumn id="264" xr3:uid="{54F94C40-1C43-49EE-A18C-C58E3EFD8287}" name="FailureCost_Rating1" dataDxfId="582">
      <calculatedColumnFormula>Table156789111213[[#This Row],[FailureCost_Rating2]]</calculatedColumnFormula>
    </tableColumn>
    <tableColumn id="265" xr3:uid="{742A3A4B-2D39-455C-97D4-162BD4FE9A7A}" name="FailureCost_Rating2" dataDxfId="581">
      <calculatedColumnFormula>(Table156789111213[[#This Row],[failurecost500_rating2]]+Table156789111213[[#This Row],[failurecost100_rating2]]+Table156789111213[[#This Row],[failurecost50_rating2]]+Table156789111213[[#This Row],[failurecost10_rating2]])</calculatedColumnFormula>
    </tableColumn>
    <tableColumn id="266" xr3:uid="{886972E5-923A-4930-89DC-40DF2F48B4F2}" name="FailureCost_Rating3" dataDxfId="580">
      <calculatedColumnFormula>(Table156789111213[[#This Row],[failurecost500_rating3]]+Table156789111213[[#This Row],[failurecost100_rating3]]+Table156789111213[[#This Row],[failurecost50_rating3]]+Table156789111213[[#This Row],[failurecost10_rating3]])</calculatedColumnFormula>
    </tableColumn>
    <tableColumn id="267" xr3:uid="{D2EDD704-4CA5-4BEA-964B-4F8546FB6EF0}" name="FailureCost_Rating4" dataDxfId="579">
      <calculatedColumnFormula>(Table156789111213[[#This Row],[failurecost500_rating4]]+Table156789111213[[#This Row],[failurecost100_rating4]]+Table156789111213[[#This Row],[failurecost50_rating4]]+Table156789111213[[#This Row],[failurecost10_rating4]])</calculatedColumnFormula>
    </tableColumn>
    <tableColumn id="268" xr3:uid="{575905C8-0D6F-46D7-84EC-C84999E6B68B}" name="FailureCost_Rating5" dataDxfId="578">
      <calculatedColumnFormula>(Table156789111213[[#This Row],[failurecost500_rating5]]+Table156789111213[[#This Row],[failurecost100_rating5]]+Table156789111213[[#This Row],[failurecost50_rating5]]+Table156789111213[[#This Row],[failurecost10_rating5]])</calculatedColumnFormula>
    </tableColumn>
    <tableColumn id="269" xr3:uid="{010B696C-5379-437E-AFAF-9FDCC4242294}" name="FailureCost_Rating6" dataDxfId="577">
      <calculatedColumnFormula>(Table156789111213[[#This Row],[failurecost500_rating6]]+Table156789111213[[#This Row],[failurecost100_rating6]]+Table156789111213[[#This Row],[failurecost50_rating6]]+Table156789111213[[#This Row],[failurecost10_rating6]])</calculatedColumnFormula>
    </tableColumn>
    <tableColumn id="270" xr3:uid="{A9DCED50-04EB-4EDC-82B0-16E689F78A17}" name="FailureCost_Rating7" dataDxfId="576">
      <calculatedColumnFormula>(Table156789111213[[#This Row],[failurecost500_rating7]]+Table156789111213[[#This Row],[failurecost100_rating7]]+Table156789111213[[#This Row],[failurecost50_rating7]]+Table156789111213[[#This Row],[failurecost10_rating7]])</calculatedColumnFormula>
    </tableColumn>
    <tableColumn id="271" xr3:uid="{C77057D3-842F-4CA6-9B2C-E56FA7041212}" name="FailureCost_Rating8" dataDxfId="575">
      <calculatedColumnFormula>(Table156789111213[[#This Row],[failurecost500_rating8]]+Table156789111213[[#This Row],[failurecost100_rating8]]+Table156789111213[[#This Row],[failurecost50_rating8]]+Table156789111213[[#This Row],[failurecost10_rating8]])</calculatedColumnFormula>
    </tableColumn>
    <tableColumn id="272" xr3:uid="{CD14880D-FE31-4856-8458-3A4C3B088A0A}" name="FailureCost_Rating9" dataDxfId="574">
      <calculatedColumnFormula>(Table156789111213[[#This Row],[failurecost500_rating9]]+Table156789111213[[#This Row],[failurecost100_rating9]]+Table156789111213[[#This Row],[failurecost50_rating9]]+Table156789111213[[#This Row],[failurecost10_rating9]])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9C4CEA-4ED9-4AC9-8980-FF06AF7920F5}" name="Table15678911121314" displayName="Table15678911121314" ref="A1:JY20" totalsRowShown="0" headerRowDxfId="573" dataDxfId="572">
  <autoFilter ref="A1:JY20" xr:uid="{1E05EA88-988A-4182-B643-40FC3C5FB242}"/>
  <tableColumns count="285">
    <tableColumn id="1" xr3:uid="{3363131D-6C07-4E3F-9248-B09E075309EA}" name="Number" dataDxfId="571"/>
    <tableColumn id="2" xr3:uid="{31E5595E-B66C-48E3-ACE9-B46060F51BEC}" name="Structure Name" dataDxfId="570"/>
    <tableColumn id="3" xr3:uid="{02E51746-616D-4DCE-A15C-98420E3DE312}" name="Body of water" dataDxfId="569"/>
    <tableColumn id="4" xr3:uid="{34755345-3659-4C73-BE55-DC2633B0F064}" name="Lattitude" dataDxfId="568"/>
    <tableColumn id="5" xr3:uid="{89D9ACA3-3EC9-42BC-A11F-1C8A28EBAAFB}" name="Longitude" dataDxfId="567"/>
    <tableColumn id="6" xr3:uid="{AAF2614F-805D-4B58-A15B-252A776B1847}" name="Depth50" dataDxfId="566"/>
    <tableColumn id="7" xr3:uid="{524FAA51-8EA5-441C-B1C6-5FD98002FB6A}" name="Depth10" dataDxfId="565"/>
    <tableColumn id="8" xr3:uid="{646CE288-684C-448E-83EB-6ABA7DD00689}" name="Depth100" dataDxfId="564"/>
    <tableColumn id="9" xr3:uid="{F8FF3268-8D8C-4DE7-AB5F-0D75D2F208AA}" name="Depth500" dataDxfId="563"/>
    <tableColumn id="10" xr3:uid="{6B4A9D8B-85AE-4488-BF26-633147F023C6}" name="Depth0_area" dataDxfId="562"/>
    <tableColumn id="11" xr3:uid="{1B45374D-97B9-4406-BAA9-04E8E1518029}" name="Depth0_wet" dataDxfId="561"/>
    <tableColumn id="12" xr3:uid="{AF8627E2-8F80-4F83-A97B-0FA386F12A69}" name="Depth10_area" dataDxfId="560"/>
    <tableColumn id="13" xr3:uid="{A529F966-20F4-49E5-A84A-D211D04A418B}" name="Depth10_wet" dataDxfId="559"/>
    <tableColumn id="14" xr3:uid="{9D88AF08-BA43-4EAA-B9D6-A52D8C5E4018}" name="Depth50_area" dataDxfId="558"/>
    <tableColumn id="15" xr3:uid="{AF118075-74E0-400B-A576-9CBEE7227083}" name="Depth50_wet" dataDxfId="557"/>
    <tableColumn id="16" xr3:uid="{2BC19F90-D624-4ED4-A2CC-6BC69346F07A}" name="Depth100_area" dataDxfId="556"/>
    <tableColumn id="17" xr3:uid="{EB98E7D9-00ED-498A-BFB1-9890424962A3}" name="Depth100_wet" dataDxfId="555"/>
    <tableColumn id="18" xr3:uid="{B8B878B2-6115-4C54-89FF-5BF410FB36BA}" name="Depth500_area" dataDxfId="554"/>
    <tableColumn id="19" xr3:uid="{8BBC35B1-02D0-45A3-BE50-18E7386865FB}" name="Depth500_wet" dataDxfId="553"/>
    <tableColumn id="20" xr3:uid="{6E1420A0-6DF6-4E75-817A-4F3D9DDA00E4}" name="Depth0_HydraulicRadius" dataDxfId="552"/>
    <tableColumn id="21" xr3:uid="{417F51D9-D257-475F-9228-090AAC8EE5FB}" name="Depth10_HydraulicRadius" dataDxfId="551"/>
    <tableColumn id="22" xr3:uid="{CFF3F5D8-8A2D-4155-91EB-E8F8416037BA}" name="Depth50_HydraulicRadius" dataDxfId="550"/>
    <tableColumn id="23" xr3:uid="{560DCC7D-5DA7-475F-BC21-956D6788A270}" name="Depth100_HydraulicRadius" dataDxfId="549"/>
    <tableColumn id="24" xr3:uid="{35D0FB63-7D79-4BCA-8C8C-39DBCF4E57B2}" name="Depth500_HydraulicRadius" dataDxfId="548"/>
    <tableColumn id="25" xr3:uid="{A2287413-CAFD-4BC9-849F-E1F2CE6C17D0}" name="Slope" dataDxfId="547"/>
    <tableColumn id="26" xr3:uid="{38A8E7CB-F782-4B49-8145-E00A64C0DA70}" name="Foundation_Depth" dataDxfId="546"/>
    <tableColumn id="27" xr3:uid="{DD8BB009-CB64-4E0A-BD5C-6AB231936634}" name="Depth10_velocity" dataDxfId="545"/>
    <tableColumn id="28" xr3:uid="{E3C3F1CC-08FD-408B-B955-E9BD12084B07}" name="Depth50_velocity" dataDxfId="544"/>
    <tableColumn id="29" xr3:uid="{9D3E179C-5AE2-4F9C-81D0-13C371267DC3}" name="Depth100_velocity" dataDxfId="543"/>
    <tableColumn id="30" xr3:uid="{C376D725-D999-4E6D-BD8C-0A3306103FBC}" name="Depth500_velocity" dataDxfId="542"/>
    <tableColumn id="31" xr3:uid="{9142E3DC-7F69-4A69-8273-2D626451B8E7}" name="Depth10_Froud" dataDxfId="541"/>
    <tableColumn id="32" xr3:uid="{4330CF13-6729-4C2F-B7C1-B1B2DFFC4FAB}" name="Depth50_Froud" dataDxfId="540"/>
    <tableColumn id="33" xr3:uid="{699E1922-5AE6-433C-8153-1B4CFF913184}" name="Depth100_Froud" dataDxfId="539"/>
    <tableColumn id="34" xr3:uid="{7717C0D8-76B8-4E3E-85A6-8F250A0CF9CF}" name="Depth500_Froud" dataDxfId="538"/>
    <tableColumn id="35" xr3:uid="{57981B69-FB4E-4CB5-ABB3-6DDD80002B74}" name="Depth10_Scour" dataDxfId="537"/>
    <tableColumn id="36" xr3:uid="{4545B3EC-E658-4F67-BE71-A6F37DF91366}" name="Depth50_Scour" dataDxfId="536"/>
    <tableColumn id="37" xr3:uid="{15314407-5D0E-4514-AE1D-C5D6006B5047}" name="Depth100_Scour" dataDxfId="535"/>
    <tableColumn id="38" xr3:uid="{B6A6E035-78CA-41DC-B918-F76CA8238A89}" name="Depth500_Scour" dataDxfId="534"/>
    <tableColumn id="39" xr3:uid="{ECA06567-B90D-4BF4-9E9B-AD291A4C1351}" name="Depth10_Soil_vol" dataDxfId="533"/>
    <tableColumn id="40" xr3:uid="{3AB0B471-2388-44D8-B15E-BA5939616E61}" name="Depth50_Soil_vol" dataDxfId="532"/>
    <tableColumn id="41" xr3:uid="{8320FED7-26F9-4ABF-BED2-A25580584700}" name="Depth100_Soil_vol" dataDxfId="531"/>
    <tableColumn id="42" xr3:uid="{7A88BBF8-6E7F-4404-9608-3D3A2ECCC3E9}" name="Depth500_Soil_vol" dataDxfId="530"/>
    <tableColumn id="191" xr3:uid="{5F5121A4-E443-428D-A669-0EDB9FD6AAD6}" name="Depth10_cost" dataDxfId="529">
      <calculatedColumnFormula>Table15678911121314[[#This Row],[Depth10_Soil_vol]]*(9.353+9.027)+(Table15678911121314[[#This Row],[Depth10_Soil_vol]]/2.5)*20*1.053+(PI()*Table15678911121314[[#This Row],[Depth10_Scour]])*Table15678911121314[[#This Row],[DECK_WIDTH_MT_052]]*1.062</calculatedColumnFormula>
    </tableColumn>
    <tableColumn id="190" xr3:uid="{F20F7350-2A59-47C1-946E-73D687ACCB53}" name="Depth50_cost" dataDxfId="528">
      <calculatedColumnFormula>Table15678911121314[[#This Row],[Depth50_Soil_vol]]*(9.353+9.027)+(Table15678911121314[[#This Row],[Depth50_Soil_vol]]/2.5)*20*1.053+(PI()*Table15678911121314[[#This Row],[Depth50_Scour]])*Table15678911121314[[#This Row],[DECK_WIDTH_MT_052]]*1.062</calculatedColumnFormula>
    </tableColumn>
    <tableColumn id="189" xr3:uid="{E240392A-AAFF-4D57-92AA-F9A151265BDF}" name="Depth100_cost" dataDxfId="527">
      <calculatedColumnFormula>Table15678911121314[[#This Row],[Depth100_Soil_vol]]*(9.353+9.027)+(Table15678911121314[[#This Row],[Depth100_Soil_vol]]/2.5)*20*1.053+(PI()*Table15678911121314[[#This Row],[Depth100_Scour]])*Table15678911121314[[#This Row],[DECK_WIDTH_MT_052]]*1.062</calculatedColumnFormula>
    </tableColumn>
    <tableColumn id="188" xr3:uid="{D27D0983-40E1-4F30-8A93-C8B1991E40EA}" name="Depth500_cost" dataDxfId="526">
      <calculatedColumnFormula>Table15678911121314[[#This Row],[Depth500_Soil_vol]]*(9.353+9.027)+(Table15678911121314[[#This Row],[Depth500_Soil_vol]]/2.5)*20*1.053+(PI()*Table15678911121314[[#This Row],[Depth500_Scour]])*Table15678911121314[[#This Row],[DECK_WIDTH_MT_052]]*1.062</calculatedColumnFormula>
    </tableColumn>
    <tableColumn id="43" xr3:uid="{726CB6DA-B01A-4677-9266-1A80E660AC3D}" name="Foundation_Width" dataDxfId="525"/>
    <tableColumn id="44" xr3:uid="{CE715CDC-AC18-4946-933D-47028C406F27}" name="Foundation_length" dataDxfId="524"/>
    <tableColumn id="45" xr3:uid="{077F828E-E3E9-4D5C-A0C1-8A51FB1BE446}" name="Shape" dataDxfId="523"/>
    <tableColumn id="46" xr3:uid="{E2B3ED70-1835-48A2-BB6C-7B9785AD60E1}" name="Depth10_Rating" dataDxfId="522"/>
    <tableColumn id="47" xr3:uid="{67FBF8FA-BA11-4435-AE5B-8658786D3C27}" name="Depth50_Rating" dataDxfId="521"/>
    <tableColumn id="48" xr3:uid="{E369A3C8-82DA-422F-AD36-05C7C6350204}" name="Depth100_Rating" dataDxfId="520"/>
    <tableColumn id="49" xr3:uid="{F0AC334F-24A4-44B4-BE8B-BD7B14924258}" name="Depth500_Rating" dataDxfId="519"/>
    <tableColumn id="50" xr3:uid="{93D8D1F6-5BD2-4445-9FF1-CFD8D411DEF7}" name="STATE_CODE_001" dataDxfId="518"/>
    <tableColumn id="51" xr3:uid="{98C40E81-316C-4B9E-B4E4-0EF0299A4F9D}" name="STRUCTURE_NUMBER_008" dataDxfId="517"/>
    <tableColumn id="52" xr3:uid="{6FB913A6-E575-4975-B8D7-E95BE462E2C1}" name="LAT_016" dataDxfId="516"/>
    <tableColumn id="53" xr3:uid="{365B48A8-3DA9-4EF3-A0B3-687C1C07FC3E}" name="LONG_017" dataDxfId="515"/>
    <tableColumn id="54" xr3:uid="{261CD208-633B-4044-9AFA-66F98F1D8765}" name="RECORD_TYPE_005A" dataDxfId="514"/>
    <tableColumn id="55" xr3:uid="{57DBF78C-6723-400A-87A7-274E0F143F8B}" name="ROUTE_PREFIX_005B" dataDxfId="513"/>
    <tableColumn id="56" xr3:uid="{61B490F7-E388-4ADC-9F2B-BF1068195E16}" name="SERVICE_LEVEL_005C" dataDxfId="512"/>
    <tableColumn id="57" xr3:uid="{8A651E26-55D3-47CB-988B-AB8F8A3E2176}" name="ROUTE_NUMBER_005D" dataDxfId="511"/>
    <tableColumn id="58" xr3:uid="{F4DFFAD0-A386-4F3C-9161-EFDD55AD1EB1}" name="DIRECTION_005E" dataDxfId="510"/>
    <tableColumn id="59" xr3:uid="{B9431B1B-0689-4872-891E-F0DA7CD995BA}" name="HIGHWAY_DISTRICT_002" dataDxfId="509"/>
    <tableColumn id="60" xr3:uid="{04DA0DF6-9F8A-47A1-90CE-2A1F8543ED7A}" name="COUNTY_CODE_003" dataDxfId="508"/>
    <tableColumn id="61" xr3:uid="{09E3D154-1DC1-4F3A-9D9A-CBBEEE652575}" name="PLACE_CODE_004" dataDxfId="507"/>
    <tableColumn id="62" xr3:uid="{DBB06862-7585-4EF5-89A4-69E35A39FA04}" name="FEATURES_DESC_006A" dataDxfId="506"/>
    <tableColumn id="63" xr3:uid="{D583B817-857A-4EB3-B854-B2A0C2C1EFD7}" name="CRITICAL_FACILITY_006B" dataDxfId="505"/>
    <tableColumn id="64" xr3:uid="{26BFF84F-A9C2-43F2-8D58-F605F586B894}" name="FACILITY_CARRIED_007" dataDxfId="504"/>
    <tableColumn id="65" xr3:uid="{6C1EA83E-5C75-4420-9537-43FA5D241144}" name="LOCATION_009" dataDxfId="503"/>
    <tableColumn id="66" xr3:uid="{CC2568DC-08A7-490A-8F29-029FA2982EEB}" name="MIN_VERT_CLR_010" dataDxfId="502"/>
    <tableColumn id="67" xr3:uid="{608022F9-ECB3-41D8-9048-F8DC50D7A0AD}" name="KILOPOINT_011" dataDxfId="501"/>
    <tableColumn id="68" xr3:uid="{7FDD27FB-0564-424B-92A7-316B08BDF821}" name="BASE_HWY_NETWORK_012" dataDxfId="500"/>
    <tableColumn id="69" xr3:uid="{A97769DA-9C0D-43B8-995E-AE361E084A81}" name="LRS_INV_ROUTE_013A" dataDxfId="499"/>
    <tableColumn id="70" xr3:uid="{E968FCDA-A5D6-4E83-B1B2-EBA30025AA24}" name="SUBROUTE_NO_013B" dataDxfId="498"/>
    <tableColumn id="71" xr3:uid="{E8C251CE-D57C-46F7-8B34-3BAFB3B9383B}" name="DETOUR_KILOS_019" dataDxfId="497"/>
    <tableColumn id="72" xr3:uid="{D2B53A0A-B09D-4C28-A4FB-22B3B9EC6A67}" name="TOLL_020" dataDxfId="496"/>
    <tableColumn id="73" xr3:uid="{9B86813E-525B-42E5-9FD7-059690F124C8}" name="MAINTENANCE_021" dataDxfId="495"/>
    <tableColumn id="74" xr3:uid="{C68A102B-3DF4-45FB-A1C9-2DDDDC356DC9}" name="OWNER_022" dataDxfId="494"/>
    <tableColumn id="75" xr3:uid="{D8B1EA3B-8B40-4112-A66F-9C7D99BE8DFA}" name="FUNCTIONAL_CLASS_026" dataDxfId="493"/>
    <tableColumn id="76" xr3:uid="{79DBCAF0-2A2A-4B12-AAAA-B7BA63E6C493}" name="YEAR_BUILT_027" dataDxfId="492"/>
    <tableColumn id="77" xr3:uid="{81533CC0-D754-4BBF-A9C4-4040BCC0E33D}" name="TRAFFIC_LANES_ON_028A" dataDxfId="491"/>
    <tableColumn id="78" xr3:uid="{0ED86247-9812-4510-B8C4-79D01A754A1B}" name="TRAFFIC_LANES_UND_028B" dataDxfId="490"/>
    <tableColumn id="79" xr3:uid="{37E2FA49-17E0-4968-95AC-1E4648E13DEF}" name="ADT_029" dataDxfId="489"/>
    <tableColumn id="80" xr3:uid="{8D476721-EDD3-4252-9E66-5A2148CF3C6B}" name="YEAR_ADT_030" dataDxfId="488"/>
    <tableColumn id="81" xr3:uid="{CE78614E-3210-47C7-BECA-58F4C123F674}" name="DESIGN_LOAD_031" dataDxfId="487"/>
    <tableColumn id="82" xr3:uid="{50E7D05D-821E-45FF-AA97-A4B9DC85B665}" name="APPR_WIDTH_MT_032" dataDxfId="486"/>
    <tableColumn id="83" xr3:uid="{3A4EE709-1C6E-4652-A20E-F73B52B23695}" name="MEDIAN_CODE_033" dataDxfId="485"/>
    <tableColumn id="84" xr3:uid="{8DD91ED0-DFC1-4036-B488-27A64636E468}" name="DEGREES_SKEW_034" dataDxfId="484"/>
    <tableColumn id="85" xr3:uid="{D987FAAD-A22C-458A-8ABC-0455C77EF80E}" name="STRUCTURE_FLARED_035" dataDxfId="483"/>
    <tableColumn id="86" xr3:uid="{4EE31411-F0E9-490E-8448-74C1E661FCF2}" name="RAILINGS_036A" dataDxfId="482"/>
    <tableColumn id="87" xr3:uid="{75B40B28-BBCA-4FEF-A0D2-1FD0BFC6FBFC}" name="TRANSITIONS_036B" dataDxfId="481"/>
    <tableColumn id="88" xr3:uid="{3107DA05-AFE3-46EF-B409-1EE422E912A6}" name="APPR_RAIL_036C" dataDxfId="480"/>
    <tableColumn id="89" xr3:uid="{9D23C599-BBA0-478B-AA83-225E348F31A9}" name="APPR_RAIL_END_036D" dataDxfId="479"/>
    <tableColumn id="90" xr3:uid="{EB0EB46F-956C-4B8D-9F60-0EE0D6110A5B}" name="HISTORY_037" dataDxfId="478"/>
    <tableColumn id="91" xr3:uid="{5332D0A6-3F1D-42D9-9793-B93514C7A681}" name="NAVIGATION_038" dataDxfId="477"/>
    <tableColumn id="92" xr3:uid="{00284011-9FA8-42A1-B2C5-9CBC34D9496D}" name="NAV_VERT_CLR_MT_039" dataDxfId="476"/>
    <tableColumn id="93" xr3:uid="{EECE4943-189D-4D9A-BB98-DC79C6F32294}" name="NAV_HORR_CLR_MT_040" dataDxfId="475"/>
    <tableColumn id="94" xr3:uid="{17C5C06C-8CE0-4B64-986D-6BB795306D7D}" name="OPEN_CLOSED_POSTED_041" dataDxfId="474"/>
    <tableColumn id="95" xr3:uid="{0B56EC76-3B75-4ECC-9936-AA62E5719B0E}" name="SERVICE_ON_042A" dataDxfId="473"/>
    <tableColumn id="96" xr3:uid="{E15AC629-3FE2-4A11-96D7-3F14F349B24D}" name="SERVICE_UND_042B" dataDxfId="472"/>
    <tableColumn id="97" xr3:uid="{EF33AC96-C06C-4DF5-B219-DE78946A85B3}" name="STRUCTURE_KIND_043A" dataDxfId="471"/>
    <tableColumn id="98" xr3:uid="{178CC6C3-C98E-4843-9298-7B62BA50956C}" name="STRUCTURE_TYPE_043B" dataDxfId="470"/>
    <tableColumn id="99" xr3:uid="{FBA09356-BD65-4076-86C0-0B11FAB64DA3}" name="APPR_KIND_044A" dataDxfId="469"/>
    <tableColumn id="100" xr3:uid="{2C9CA7B2-CDE9-40C6-BDB1-D96E32FC19A4}" name="APPR_TYPE_044B" dataDxfId="468"/>
    <tableColumn id="101" xr3:uid="{84234FEE-2E46-449C-AEF4-61DB7E9ECFEC}" name="MAIN_UNIT_SPANS_045" dataDxfId="467"/>
    <tableColumn id="102" xr3:uid="{3DD9A10C-6712-49E2-AA9B-0048261E8CD0}" name="APPR_SPANS_046" dataDxfId="466"/>
    <tableColumn id="103" xr3:uid="{E706B02B-CCE5-467D-8975-D17C0D5BF61E}" name="HORR_CLR_MT_047" dataDxfId="465"/>
    <tableColumn id="104" xr3:uid="{F8BB7853-166D-4937-AC8A-E66946E70BDF}" name="MAX_SPAN_LEN_MT_048" dataDxfId="464"/>
    <tableColumn id="105" xr3:uid="{EEF104B4-B063-4FF6-B935-AE2DA7A90C57}" name="STRUCTURE_LEN_MT_049" dataDxfId="463"/>
    <tableColumn id="106" xr3:uid="{1F15FD55-515E-43EC-9668-FE416FC94A03}" name="LEFT_CURB_MT_050A" dataDxfId="462"/>
    <tableColumn id="107" xr3:uid="{DB88C39C-89E8-4C3B-B0BB-675505D55166}" name="RIGHT_CURB_MT_050B" dataDxfId="461"/>
    <tableColumn id="108" xr3:uid="{ACF52F98-226B-482A-96E9-2C77BE73F39C}" name="ROADWAY_WIDTH_MT_051" dataDxfId="460"/>
    <tableColumn id="109" xr3:uid="{C2246699-F581-443A-B77F-6305EDACBFDC}" name="DECK_WIDTH_MT_052" dataDxfId="459"/>
    <tableColumn id="110" xr3:uid="{937E3762-1E63-425E-862B-18D56A88DB2A}" name="VERT_CLR_OVER_MT_053" dataDxfId="458"/>
    <tableColumn id="111" xr3:uid="{C8AA40C5-CB13-43CD-8F8B-EE98088DB911}" name="VERT_CLR_UND_REF_054A" dataDxfId="457"/>
    <tableColumn id="112" xr3:uid="{3B7EC1DC-0FF6-46C7-BC88-1CC1DE26DB52}" name="VERT_CLR_UND_054B" dataDxfId="456"/>
    <tableColumn id="113" xr3:uid="{8AE749AC-8EB6-48D2-8088-7957DBB7D9FE}" name="LAT_UND_REF_055A" dataDxfId="455"/>
    <tableColumn id="114" xr3:uid="{613B5388-9699-487C-8729-74662B8CDBEE}" name="LAT_UND_MT_055B" dataDxfId="454"/>
    <tableColumn id="115" xr3:uid="{CAECDED4-AC98-46BF-A12B-EF4DF80888A9}" name="LEFT_LAT_UND_MT_056" dataDxfId="453"/>
    <tableColumn id="116" xr3:uid="{425C6D89-5F09-4376-BEC6-8CEDB22DCF6B}" name="DECK_COND_058" dataDxfId="452"/>
    <tableColumn id="117" xr3:uid="{359B0550-D43F-40EE-A5F9-4798537AF709}" name="SUPERSTRUCTURE_COND_059" dataDxfId="451"/>
    <tableColumn id="118" xr3:uid="{30161434-9357-496B-BF20-AD57F23C2FB9}" name="SUBSTRUCTURE_COND_060" dataDxfId="450"/>
    <tableColumn id="119" xr3:uid="{4983E001-76FF-4C07-8E06-DE40FA5284F5}" name="CHANNEL_COND_061" dataDxfId="449"/>
    <tableColumn id="120" xr3:uid="{2E94E06D-CD79-4442-B4FC-2D1FE8B07E62}" name="CULVERT_COND_062" dataDxfId="448"/>
    <tableColumn id="121" xr3:uid="{3B818A58-AB7D-400A-A355-C540C7761515}" name="OPR_RATING_METH_063" dataDxfId="447"/>
    <tableColumn id="122" xr3:uid="{A6184FED-1F1D-4BD6-9CED-C48E38412B66}" name="OPERATING_RATING_064" dataDxfId="446"/>
    <tableColumn id="123" xr3:uid="{778065C6-1EA2-4786-B387-56EB5E8156BB}" name="INV_RATING_METH_065" dataDxfId="445"/>
    <tableColumn id="124" xr3:uid="{27EC43AC-1222-4A6A-A9EC-434D099D3E84}" name="INVENTORY_RATING_066" dataDxfId="444"/>
    <tableColumn id="125" xr3:uid="{946B9E3D-6E41-4085-B36C-15882888B575}" name="STRUCTURAL_EVAL_067" dataDxfId="443"/>
    <tableColumn id="126" xr3:uid="{07165E99-9443-477E-A384-C9AA21982092}" name="DECK_GEOMETRY_EVAL_068" dataDxfId="442"/>
    <tableColumn id="127" xr3:uid="{E02FB232-D7B8-4B21-B547-82FCFF797640}" name="UNDCLRENCE_EVAL_069" dataDxfId="441"/>
    <tableColumn id="128" xr3:uid="{277E8AB3-936F-412E-9CD4-64A11DB46B28}" name="POSTING_EVAL_070" dataDxfId="440"/>
    <tableColumn id="129" xr3:uid="{30D190E2-B991-4672-94AC-A5F0044C635E}" name="WATERWAY_EVAL_071" dataDxfId="439"/>
    <tableColumn id="130" xr3:uid="{2F370531-95B9-4E07-A7EB-AF7168ED7BB5}" name="APPR_ROAD_EVAL_072" dataDxfId="438"/>
    <tableColumn id="131" xr3:uid="{93BD00AD-FC60-4084-BCDD-D8D281326B6B}" name="WORK_PROPOSED_075A" dataDxfId="437"/>
    <tableColumn id="132" xr3:uid="{D242E45B-8091-4E59-8495-88B3229C57A0}" name="WORK_DONE_BY_075B" dataDxfId="436"/>
    <tableColumn id="133" xr3:uid="{AA784183-BEBE-491F-9431-FCC95E73734F}" name="IMP_LEN_MT_076" dataDxfId="435"/>
    <tableColumn id="134" xr3:uid="{763CD2D8-3A12-47E7-8881-A084539780A1}" name="DATE_OF_INSPECT_090" dataDxfId="434"/>
    <tableColumn id="135" xr3:uid="{A045F10D-BB24-4576-968B-1FF4430B7EF7}" name="INSPECT_FREQ_MONTHS_091" dataDxfId="433"/>
    <tableColumn id="136" xr3:uid="{E74EF543-7E0C-4AFB-B9F9-A6D204831CA8}" name="FRACTURE_092A" dataDxfId="432"/>
    <tableColumn id="137" xr3:uid="{8DA5D432-FCAF-425F-9698-CC17F2A981AC}" name="UNDWATER_LOOK_SEE_092B" dataDxfId="431"/>
    <tableColumn id="138" xr3:uid="{4018EC37-7A74-499A-98EF-5EB28097861C}" name="SPEC_INSPECT_092C" dataDxfId="430"/>
    <tableColumn id="139" xr3:uid="{F70A2A9C-00A8-4C76-8FE8-7B438A6BB7A2}" name="FRACTURE_LAST_DATE_093A" dataDxfId="429"/>
    <tableColumn id="140" xr3:uid="{2A84FFF9-9DC1-434B-8ED3-A496A5F55108}" name="UNDWATER_LAST_DATE_093B" dataDxfId="428"/>
    <tableColumn id="141" xr3:uid="{0A604137-A254-4629-86A1-F63FB4391548}" name="SPEC_LAST_DATE_093C" dataDxfId="427"/>
    <tableColumn id="142" xr3:uid="{D07E4C71-7365-4023-BC54-5C6CF67F778F}" name="BRIDGE_IMP_COST_094" dataDxfId="426"/>
    <tableColumn id="143" xr3:uid="{81BBD72A-9EAC-4020-B51A-942BC78C9423}" name="ROADWAY_IMP_COST_095" dataDxfId="425"/>
    <tableColumn id="144" xr3:uid="{FD635F2B-9F7E-45CD-ABC7-2C79856E69F2}" name="TOTAL_IMP_COST_096" dataDxfId="424"/>
    <tableColumn id="145" xr3:uid="{9BF82278-680A-4475-B1C7-5B7FFC1B2F08}" name="YEAR_OF_IMP_097" dataDxfId="423"/>
    <tableColumn id="146" xr3:uid="{A1865CCD-0819-4123-90E1-F320266673F7}" name="OTHER_STATE_CODE_098A" dataDxfId="422"/>
    <tableColumn id="147" xr3:uid="{96D099BB-0E30-41D7-9051-FFD989CDF4AC}" name="OTHER_STATE_PCNT_098B" dataDxfId="421"/>
    <tableColumn id="148" xr3:uid="{760A8943-8D3C-44F6-B3A2-7199EB90D8EF}" name="OTHR_STATE_STRUC_NO_099" dataDxfId="420"/>
    <tableColumn id="149" xr3:uid="{E9114126-4E70-4664-B3CD-A3129CF9C59C}" name="STRAHNET_HIGHWAY_100" dataDxfId="419"/>
    <tableColumn id="150" xr3:uid="{B51A0128-E8D7-4F36-AE9E-2CD965A97F32}" name="PARALLEL_STRUCTURE_101" dataDxfId="418"/>
    <tableColumn id="151" xr3:uid="{EDFD55E1-E370-4131-B242-9C2F6D896288}" name="TRAFFIC_DIRECTION_102" dataDxfId="417"/>
    <tableColumn id="152" xr3:uid="{4887F5B3-8A49-46F6-B519-E05E1C4A8CFC}" name="TEMP_STRUCTURE_103" dataDxfId="416"/>
    <tableColumn id="153" xr3:uid="{41C61723-70CF-4C69-9B7E-A3DB7B8D2588}" name="HIGHWAY_SYSTEM_104" dataDxfId="415"/>
    <tableColumn id="154" xr3:uid="{1313F70A-BBA3-48AB-A321-9757E61261A6}" name="FEDERAL_LANDS_105" dataDxfId="414"/>
    <tableColumn id="155" xr3:uid="{C558E24B-2B13-4400-B4A5-69838874667E}" name="YEAR_RECONSTRUCTED_106" dataDxfId="413"/>
    <tableColumn id="156" xr3:uid="{D79752FC-2AA2-49E7-92EC-99A5144BB456}" name="DECK_STRUCTURE_TYPE_107" dataDxfId="412"/>
    <tableColumn id="157" xr3:uid="{7B2BF833-763B-403C-88AF-57DEF17CA588}" name="SURFACE_TYPE_108A" dataDxfId="411"/>
    <tableColumn id="158" xr3:uid="{F2994DDC-83A4-4853-B075-318F6D2AB592}" name="MEMBRANE_TYPE_108B" dataDxfId="410"/>
    <tableColumn id="159" xr3:uid="{97E400F7-877F-4D61-98B8-72C2AA9216F3}" name="DECK_PROTECTION_108C" dataDxfId="409"/>
    <tableColumn id="160" xr3:uid="{D4F06892-F00E-4EF8-A25F-5D9BCF8BF1F9}" name="PERCENT_ADT_TRUCK_109" dataDxfId="408"/>
    <tableColumn id="161" xr3:uid="{31C0F5AC-C8BB-4642-80EA-D01C8191AD83}" name="NATIONAL_NETWORK_110" dataDxfId="407"/>
    <tableColumn id="162" xr3:uid="{6EF14457-E9B8-47C3-969B-4360F7A04B78}" name="PIER_PROTECTION_111" dataDxfId="406"/>
    <tableColumn id="163" xr3:uid="{834EE57C-C089-4021-B6F4-A5521672E6FF}" name="BRIDGE_LEN_IND_112" dataDxfId="405"/>
    <tableColumn id="164" xr3:uid="{3E16449E-6E9E-462B-8C1C-917B46FD7220}" name="SCOUR_CRITICAL_113" dataDxfId="404"/>
    <tableColumn id="165" xr3:uid="{AE475DFA-675D-4094-ADB7-1A1E20BC3378}" name="FUTURE_ADT_114" dataDxfId="403"/>
    <tableColumn id="166" xr3:uid="{79B37D3F-8654-4BB5-8013-20C3631B2001}" name="YEAR_OF_FUTURE_ADT_115" dataDxfId="402"/>
    <tableColumn id="167" xr3:uid="{B5E80033-5011-4CAD-B1B8-08095A67C8FB}" name="MIN_NAV_CLR_MT_116" dataDxfId="401"/>
    <tableColumn id="168" xr3:uid="{28B5DEBA-9751-429A-A62F-4F1EA55EE999}" name="FED_AGENCY" dataDxfId="400"/>
    <tableColumn id="169" xr3:uid="{AC3E8688-E970-4BBB-BC06-99ABDAA8E002}" name="SUBMITTED_BY" dataDxfId="399"/>
    <tableColumn id="170" xr3:uid="{F3E81A23-5791-43D4-A4D1-D34B23A502BF}" name="BRIDGE_CONDITION" dataDxfId="398"/>
    <tableColumn id="171" xr3:uid="{9CB0CA4F-FF28-4A36-8E5E-7E799974CFFD}" name="LOWEST_RATING" dataDxfId="397"/>
    <tableColumn id="172" xr3:uid="{252979ED-1057-45F3-A5BD-20991DD89BB2}" name="DECK_AREA" dataDxfId="396"/>
    <tableColumn id="173" xr3:uid="{7EDF229F-FDAC-420A-89B0-848A99480609}" name="Detour_Duration" dataDxfId="395"/>
    <tableColumn id="174" xr3:uid="{D0390A20-E278-4B38-AC8C-346BF4BB478C}" name="Min_Unit_Rebuilding_Cost($/ft2)" dataDxfId="394"/>
    <tableColumn id="175" xr3:uid="{5C079C43-A743-450B-9E4B-8933F16D21C6}" name="Max_Unit_Rebuilding_Cost($/ft2)2" dataDxfId="393"/>
    <tableColumn id="176" xr3:uid="{90CA7C13-A9D8-4E81-B477-AD6B3558A85F}" name="Cost_Multiplier_for_Early_Replacement" dataDxfId="392"/>
    <tableColumn id="177" xr3:uid="{5BD95AD5-8FBE-4D11-9365-186324AC1AA6}" name="Assumed_Number_of_Lives_Lost_in_Bridge_Failure" dataDxfId="391"/>
    <tableColumn id="178" xr3:uid="{2A883C04-B66A-481E-B7F1-BA5916D46BE8}" name="HYRISK_Cost_of_Faliure_term1" dataDxfId="390"/>
    <tableColumn id="179" xr3:uid="{74E0C8F2-BCF7-4707-9F54-FD2296FB7FDC}" name="HYRISK_Cost_of_Faliure_term2" dataDxfId="389"/>
    <tableColumn id="180" xr3:uid="{122DF0CF-A842-417C-9926-F7B4DF902B88}" name="HYRISK_Cost_of_Faliure_term3" dataDxfId="388"/>
    <tableColumn id="181" xr3:uid="{5777A4BD-7265-49A9-A8B4-3243E79DB9F8}" name="HYRISK_Cost_of_Faliure_term4" dataDxfId="387"/>
    <tableColumn id="285" xr3:uid="{13F1A095-C534-4CC8-B8D6-66E3CF3B29A0}" name="HYRISK_Cost_of_Faliure_term5" dataDxfId="386"/>
    <tableColumn id="286" xr3:uid="{23E9863B-EC85-4EBE-B21E-5433597AF4DE}" name="Rating_decay" dataDxfId="385">
      <calculatedColumnFormula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calculatedColumnFormula>
    </tableColumn>
    <tableColumn id="182" xr3:uid="{DFB2EB83-471A-4C0E-8FFC-F2A307B88036}" name="Total_Cost_MUSD" dataDxfId="384"/>
    <tableColumn id="186" xr3:uid="{446681DE-7B88-44BB-AC3F-4C160D9E0166}" name="Hazus_Failure_Prob_10" dataDxfId="383"/>
    <tableColumn id="185" xr3:uid="{107FFFD1-1F63-4872-9733-5FB9E63884BC}" name="Hazus_Failure_Prob_50" dataDxfId="382"/>
    <tableColumn id="184" xr3:uid="{B9C25FE4-07AC-4EA1-B719-3E59D94F622C}" name="Hazus_Failure_Prob_100" dataDxfId="381"/>
    <tableColumn id="183" xr3:uid="{D9B19DA9-4B68-4C61-8C84-DF3195EB8809}" name="Hazus_Failure_Prob_500" dataDxfId="380"/>
    <tableColumn id="187" xr3:uid="{F8A999B0-8EB1-4A15-9594-10D7BD46B84B}" name="Current_rating" dataDxfId="379"/>
    <tableColumn id="283" xr3:uid="{C922E44B-0BCF-475B-BD2B-0D30FF5395ED}" name="cost_repair_rating0" dataDxfId="378">
      <calculatedColumnFormula>Sheet4!Q32*$GF2*1000000</calculatedColumnFormula>
    </tableColumn>
    <tableColumn id="192" xr3:uid="{C202F28C-7A07-4E19-A1ED-C77E00D47356}" name="cost_repair_rating1" dataDxfId="377">
      <calculatedColumnFormula>Sheet4!R32*$GF2*1000000</calculatedColumnFormula>
    </tableColumn>
    <tableColumn id="193" xr3:uid="{94EC97E5-A4DB-4E12-9D53-3FCACB096930}" name="cost_repair_rating2" dataDxfId="376">
      <calculatedColumnFormula>Sheet4!S32*$GF2*1000000</calculatedColumnFormula>
    </tableColumn>
    <tableColumn id="194" xr3:uid="{DCFBDF6E-2C1F-4B8A-80DE-1B4AB3A3E72A}" name="cost_repair_rating3" dataDxfId="375">
      <calculatedColumnFormula>Sheet4!T32*$GF2*1000000</calculatedColumnFormula>
    </tableColumn>
    <tableColumn id="195" xr3:uid="{FF5D0363-941E-4FFB-92D0-9E59567E9A74}" name="cost_repair_rating4" dataDxfId="374">
      <calculatedColumnFormula>Sheet4!U32*$GF2*1000000</calculatedColumnFormula>
    </tableColumn>
    <tableColumn id="196" xr3:uid="{D99C2DCF-EE00-43D1-9E52-2310F5251CB2}" name="cost_repair_rating5" dataDxfId="373">
      <calculatedColumnFormula>Sheet4!V32*$GF2*1000000</calculatedColumnFormula>
    </tableColumn>
    <tableColumn id="197" xr3:uid="{332F6B8E-62BD-451C-9C8A-E8CBC173979E}" name="cost_repair_rating6" dataDxfId="372">
      <calculatedColumnFormula>Sheet4!W32*$GF2*1000000</calculatedColumnFormula>
    </tableColumn>
    <tableColumn id="198" xr3:uid="{C91D8D90-7AD0-4944-AFA1-70AE307A048D}" name="cost_repair_rating7" dataDxfId="371"/>
    <tableColumn id="199" xr3:uid="{3E4274D5-8F5D-455A-9440-9749D58B91BD}" name="cost_repair_rating8" dataDxfId="370"/>
    <tableColumn id="200" xr3:uid="{AE9F8B32-AFFA-497F-BE4B-2197170682D3}" name="cost_repair_rating9" dataDxfId="369"/>
    <tableColumn id="201" xr3:uid="{C496CEE1-8E78-44AA-89AA-4E568895B573}" name="prob500-failure_rating1" dataDxfId="368"/>
    <tableColumn id="202" xr3:uid="{3543D5C8-F0D0-4636-8943-48AF9008CBD1}" name="prob500-failure_rating2" dataDxfId="367"/>
    <tableColumn id="203" xr3:uid="{34F055E2-9875-4DE1-A682-8B601A0D9001}" name="prob500-failure_rating3" dataDxfId="366"/>
    <tableColumn id="204" xr3:uid="{AD86A8B4-DBF2-448B-83F4-A09F7C485B50}" name="prob500-failure_rating4" dataDxfId="365"/>
    <tableColumn id="205" xr3:uid="{80F0A17E-75C4-441D-9A47-13862DD79DD4}" name="prob500-failure_rating5" dataDxfId="364"/>
    <tableColumn id="206" xr3:uid="{D814AB6C-7992-4F65-B6D6-1243A922AD13}" name="prob500-failure_rating6" dataDxfId="363"/>
    <tableColumn id="207" xr3:uid="{1C269B74-7AF1-49F3-84E2-8AF1B22DC9F0}" name="prob500-failure_rating7" dataDxfId="362"/>
    <tableColumn id="208" xr3:uid="{99A2A1DC-7B28-4F99-B366-5C632CC90B6D}" name="prob500-failure_rating8" dataDxfId="361"/>
    <tableColumn id="209" xr3:uid="{3EA1E7E5-CD82-4A0C-9FAC-38D7D0D5F428}" name="prob500-failure_rating9" dataDxfId="360"/>
    <tableColumn id="210" xr3:uid="{AD5E3234-F53E-4426-B91B-9FD22851B8BB}" name="prob100-failure_rating1" dataDxfId="359"/>
    <tableColumn id="211" xr3:uid="{C0894716-819F-419A-8D3C-BE5F882439CC}" name="prob100-failure_rating2" dataDxfId="358"/>
    <tableColumn id="212" xr3:uid="{678F5709-B796-4ED8-B976-A7864EDFAE86}" name="prob100-failure_rating3" dataDxfId="357"/>
    <tableColumn id="213" xr3:uid="{065F2B04-6E88-49BD-B535-C8551EAF077C}" name="prob100-failure_rating4" dataDxfId="356"/>
    <tableColumn id="214" xr3:uid="{C6ADE421-96D6-4B4F-A7D1-DDF459C7603D}" name="prob100-failure_rating5" dataDxfId="355"/>
    <tableColumn id="215" xr3:uid="{AD11F17D-31E2-478F-B23A-FB45CE320996}" name="prob100-failure_rating6" dataDxfId="354"/>
    <tableColumn id="216" xr3:uid="{1563891B-DD81-4A31-80B0-9A6B682BB655}" name="prob100-failure_rating7" dataDxfId="353"/>
    <tableColumn id="217" xr3:uid="{9224FA6E-CF68-428A-BF89-F99D583BBDC6}" name="prob100-failure_rating8" dataDxfId="352"/>
    <tableColumn id="218" xr3:uid="{0E2746A1-14FA-482B-8914-7826A4B9F0E2}" name="prob100-failure_rating9" dataDxfId="351"/>
    <tableColumn id="219" xr3:uid="{3370024C-1160-4121-956B-03422D7174D9}" name="prob50-failure_rating1" dataDxfId="350"/>
    <tableColumn id="220" xr3:uid="{5107ABF4-5D31-4341-8C35-6F86C575CB09}" name="prob50-failure_rating2" dataDxfId="349"/>
    <tableColumn id="221" xr3:uid="{5B500F37-9FAC-4022-9855-213461BB96BE}" name="prob50-failure_rating3" dataDxfId="348"/>
    <tableColumn id="222" xr3:uid="{0B360C47-4288-4C20-A7E0-4ADFD486FED1}" name="prob50-failure_rating4" dataDxfId="347"/>
    <tableColumn id="223" xr3:uid="{D04C7302-3FD5-4AE2-B79F-292BB8E854E2}" name="prob50-failure_rating5" dataDxfId="346"/>
    <tableColumn id="224" xr3:uid="{0CC4051B-CB0E-4A15-BC75-A7B5EA7E5711}" name="prob50-failure_rating6" dataDxfId="345"/>
    <tableColumn id="225" xr3:uid="{EBD0698C-9B89-4D09-B7EC-E1F0CCCE6DFD}" name="prob50-failure_rating7" dataDxfId="344"/>
    <tableColumn id="226" xr3:uid="{9502782A-D2FE-4235-8783-6A873CAEFA23}" name="prob50-failure_rating8" dataDxfId="343"/>
    <tableColumn id="227" xr3:uid="{0C960776-71B7-442E-978B-FE9AA2E5ABA8}" name="prob50-failure_rating9" dataDxfId="342"/>
    <tableColumn id="228" xr3:uid="{852BED13-CEBB-43EC-AC6C-9A13BFAF0CBA}" name="prob10-failure_rating1" dataDxfId="341"/>
    <tableColumn id="229" xr3:uid="{8E10A53C-1E76-44E3-9B55-1D54DE7ADEFA}" name="prob10-failure_rating2" dataDxfId="340"/>
    <tableColumn id="230" xr3:uid="{E791FEFD-6D15-4E79-8D99-C566CE319AFD}" name="prob10-failure_rating3" dataDxfId="339"/>
    <tableColumn id="231" xr3:uid="{C160F844-4446-4214-901B-BD584FDA06BD}" name="prob10-failure_rating4" dataDxfId="338"/>
    <tableColumn id="232" xr3:uid="{584C2C85-09F1-454C-AF6D-BFAD693D9B21}" name="prob10-failure_rating5" dataDxfId="337"/>
    <tableColumn id="233" xr3:uid="{6D7B3244-C406-4985-BBC7-AA191023A310}" name="prob10-failure_rating6" dataDxfId="336"/>
    <tableColumn id="234" xr3:uid="{21859F0C-6BC7-444A-9542-E549AF9D7967}" name="prob10-failure_rating7" dataDxfId="335"/>
    <tableColumn id="235" xr3:uid="{AAE932C9-7CC2-4C20-AFEF-F4954622EDB7}" name="prob10-failure_rating8" dataDxfId="334"/>
    <tableColumn id="236" xr3:uid="{0E7CA9B3-D75B-463D-AC7B-16B1920A42B9}" name="prob10-failure_rating9" dataDxfId="333"/>
    <tableColumn id="237" xr3:uid="{49DDF041-B09E-46B3-BBE3-6687BF271FA8}" name="failurecost500_rating1" dataDxfId="332">
      <calculatedColumnFormula>Table15678911121314[[#This Row],[Total_Cost_MUSD]]*1000000*Table15678911121314[[#This Row],[prob500-failure_rating1]]/500</calculatedColumnFormula>
    </tableColumn>
    <tableColumn id="238" xr3:uid="{81D3520B-62FF-4573-93E3-DD5C7F2AF35C}" name="failurecost500_rating2" dataDxfId="331">
      <calculatedColumnFormula>Table15678911121314[[#This Row],[Total_Cost_MUSD]]*1000000*Table15678911121314[[#This Row],[prob500-failure_rating2]]/500</calculatedColumnFormula>
    </tableColumn>
    <tableColumn id="239" xr3:uid="{A2C425FD-A284-4045-ABF2-45270433F9C2}" name="failurecost500_rating3" dataDxfId="330">
      <calculatedColumnFormula>Table15678911121314[[#This Row],[Total_Cost_MUSD]]*1000000*Table15678911121314[[#This Row],[prob500-failure_rating3]]/500</calculatedColumnFormula>
    </tableColumn>
    <tableColumn id="240" xr3:uid="{0EC82820-4EB8-4563-B3D5-1839A79603FB}" name="failurecost500_rating4" dataDxfId="329">
      <calculatedColumnFormula>Table15678911121314[[#This Row],[Total_Cost_MUSD]]*1000000*Table15678911121314[[#This Row],[prob500-failure_rating4]]/500</calculatedColumnFormula>
    </tableColumn>
    <tableColumn id="241" xr3:uid="{AA5BB499-B8E1-4DAD-80B9-2729EC98C70B}" name="failurecost500_rating5" dataDxfId="328">
      <calculatedColumnFormula>Table15678911121314[[#This Row],[Total_Cost_MUSD]]*1000000*Table15678911121314[[#This Row],[prob500-failure_rating5]]/500</calculatedColumnFormula>
    </tableColumn>
    <tableColumn id="242" xr3:uid="{2F205359-FBEB-4B9A-80A8-30C6D64BEAB5}" name="failurecost500_rating6" dataDxfId="327">
      <calculatedColumnFormula>Table15678911121314[[#This Row],[Total_Cost_MUSD]]*1000000*Table15678911121314[[#This Row],[prob500-failure_rating6]]/500</calculatedColumnFormula>
    </tableColumn>
    <tableColumn id="243" xr3:uid="{A04D39B8-1B08-401F-9D86-9A845FE2F062}" name="failurecost500_rating7" dataDxfId="326">
      <calculatedColumnFormula>Table15678911121314[[#This Row],[Total_Cost_MUSD]]*1000000*Table15678911121314[[#This Row],[prob500-failure_rating7]]/500</calculatedColumnFormula>
    </tableColumn>
    <tableColumn id="244" xr3:uid="{C322806B-DB98-40AA-94C7-EB1EF8AFBF0E}" name="failurecost500_rating8" dataDxfId="325">
      <calculatedColumnFormula>Table15678911121314[[#This Row],[Total_Cost_MUSD]]*1000000*Table15678911121314[[#This Row],[prob500-failure_rating8]]/500</calculatedColumnFormula>
    </tableColumn>
    <tableColumn id="245" xr3:uid="{CF677829-5FB5-488A-8B74-5FAE612A3D8B}" name="failurecost500_rating9" dataDxfId="324">
      <calculatedColumnFormula>Table15678911121314[[#This Row],[Total_Cost_MUSD]]*1000000*Table15678911121314[[#This Row],[prob500-failure_rating9]]/500</calculatedColumnFormula>
    </tableColumn>
    <tableColumn id="246" xr3:uid="{A957D98C-AFB2-4C5B-B542-E99DC4B81B18}" name="failurecost100_rating1" dataDxfId="323">
      <calculatedColumnFormula>Table15678911121314[[#This Row],[Total_Cost_MUSD]]*1000000*Table15678911121314[[#This Row],[prob100-failure_rating1]]/100</calculatedColumnFormula>
    </tableColumn>
    <tableColumn id="247" xr3:uid="{FB9938E4-C433-4895-8E8E-BF18A6F1A970}" name="failurecost100_rating2" dataDxfId="322">
      <calculatedColumnFormula>Table15678911121314[[#This Row],[Total_Cost_MUSD]]*1000000*Table15678911121314[[#This Row],[prob100-failure_rating2]]/100</calculatedColumnFormula>
    </tableColumn>
    <tableColumn id="248" xr3:uid="{6FEC241C-2389-4001-846C-50F9F8B5A5CA}" name="failurecost100_rating3" dataDxfId="321">
      <calculatedColumnFormula>Table15678911121314[[#This Row],[Total_Cost_MUSD]]*1000000*Table15678911121314[[#This Row],[prob100-failure_rating3]]/100</calculatedColumnFormula>
    </tableColumn>
    <tableColumn id="249" xr3:uid="{5FE904F1-AEC0-4B14-8598-4DF8810CD7CD}" name="failurecost100_rating4" dataDxfId="320">
      <calculatedColumnFormula>Table15678911121314[[#This Row],[Total_Cost_MUSD]]*1000000*Table15678911121314[[#This Row],[prob100-failure_rating4]]/100</calculatedColumnFormula>
    </tableColumn>
    <tableColumn id="250" xr3:uid="{3322A5DA-3006-4DC8-AF18-EA2AFB786301}" name="failurecost100_rating5" dataDxfId="319">
      <calculatedColumnFormula>Table15678911121314[[#This Row],[Total_Cost_MUSD]]*1000000*Table15678911121314[[#This Row],[prob100-failure_rating5]]/100</calculatedColumnFormula>
    </tableColumn>
    <tableColumn id="251" xr3:uid="{789392D0-2117-46FF-86FE-982626C4E3D1}" name="failurecost100_rating6" dataDxfId="318">
      <calculatedColumnFormula>Table15678911121314[[#This Row],[Total_Cost_MUSD]]*1000000*Table15678911121314[[#This Row],[prob100-failure_rating6]]/100</calculatedColumnFormula>
    </tableColumn>
    <tableColumn id="252" xr3:uid="{60F67484-19DD-4D7B-8C2B-A6BE51861017}" name="failurecost100_rating7" dataDxfId="317">
      <calculatedColumnFormula>Table15678911121314[[#This Row],[Total_Cost_MUSD]]*1000000*Table15678911121314[[#This Row],[prob100-failure_rating7]]/100</calculatedColumnFormula>
    </tableColumn>
    <tableColumn id="253" xr3:uid="{A4DF8896-5E80-4946-84BF-229ABFF8E4EB}" name="failurecost100_rating8" dataDxfId="316">
      <calculatedColumnFormula>Table15678911121314[[#This Row],[Total_Cost_MUSD]]*1000000*Table15678911121314[[#This Row],[prob100-failure_rating8]]/100</calculatedColumnFormula>
    </tableColumn>
    <tableColumn id="254" xr3:uid="{7E65012F-A9AD-4DED-A8D9-B35B069FBF3F}" name="failurecost100_rating9" dataDxfId="315">
      <calculatedColumnFormula>Table15678911121314[[#This Row],[Total_Cost_MUSD]]*1000000*Table15678911121314[[#This Row],[prob100-failure_rating9]]/100</calculatedColumnFormula>
    </tableColumn>
    <tableColumn id="255" xr3:uid="{DD02E607-AAAD-487B-AED9-2AF11384EB73}" name="failurecost50_rating1" dataDxfId="314">
      <calculatedColumnFormula>Table15678911121314[[#This Row],[Total_Cost_MUSD]]*1000000*Table15678911121314[[#This Row],[prob50-failure_rating1]]/50</calculatedColumnFormula>
    </tableColumn>
    <tableColumn id="256" xr3:uid="{F72B3DB3-80DE-4258-9019-AA083C420136}" name="failurecost50_rating2" dataDxfId="313">
      <calculatedColumnFormula>Table15678911121314[[#This Row],[Total_Cost_MUSD]]*1000000*Table15678911121314[[#This Row],[prob50-failure_rating2]]/50</calculatedColumnFormula>
    </tableColumn>
    <tableColumn id="257" xr3:uid="{3F55D52B-F865-48E8-A401-2B28011618DC}" name="failurecost50_rating3" dataDxfId="312">
      <calculatedColumnFormula>Table15678911121314[[#This Row],[Total_Cost_MUSD]]*1000000*Table15678911121314[[#This Row],[prob50-failure_rating3]]/50</calculatedColumnFormula>
    </tableColumn>
    <tableColumn id="258" xr3:uid="{E3BE7FAC-99EA-4A4A-B3B7-C85519DE9813}" name="failurecost50_rating4" dataDxfId="311">
      <calculatedColumnFormula>Table15678911121314[[#This Row],[Total_Cost_MUSD]]*1000000*Table15678911121314[[#This Row],[prob50-failure_rating4]]/50</calculatedColumnFormula>
    </tableColumn>
    <tableColumn id="259" xr3:uid="{0C8C6D1A-6278-46DE-B9D7-7A5FCBBB1B01}" name="failurecost50_rating5" dataDxfId="310">
      <calculatedColumnFormula>Table15678911121314[[#This Row],[Total_Cost_MUSD]]*1000000*Table15678911121314[[#This Row],[prob50-failure_rating5]]/50</calculatedColumnFormula>
    </tableColumn>
    <tableColumn id="260" xr3:uid="{D706C27A-18C1-43C4-995C-CB388AA70FE6}" name="failurecost50_rating6" dataDxfId="309">
      <calculatedColumnFormula>Table15678911121314[[#This Row],[Total_Cost_MUSD]]*1000000*Table15678911121314[[#This Row],[prob50-failure_rating6]]/50</calculatedColumnFormula>
    </tableColumn>
    <tableColumn id="261" xr3:uid="{38B512CF-6C9B-4BE1-AACA-0FD0369A67AA}" name="failurecost50_rating7" dataDxfId="308">
      <calculatedColumnFormula>Table15678911121314[[#This Row],[Total_Cost_MUSD]]*1000000*Table15678911121314[[#This Row],[prob50-failure_rating7]]/50</calculatedColumnFormula>
    </tableColumn>
    <tableColumn id="262" xr3:uid="{00E5FCD3-BDB3-4358-A0DB-18AED630353C}" name="failurecost50_rating8" dataDxfId="307">
      <calculatedColumnFormula>Table15678911121314[[#This Row],[Total_Cost_MUSD]]*1000000*Table15678911121314[[#This Row],[prob50-failure_rating8]]/50</calculatedColumnFormula>
    </tableColumn>
    <tableColumn id="263" xr3:uid="{F9FCC031-601A-4470-B7C9-7D8F8AE31447}" name="failurecost50_rating9" dataDxfId="306">
      <calculatedColumnFormula>Table15678911121314[[#This Row],[Total_Cost_MUSD]]*1000000*Table15678911121314[[#This Row],[prob50-failure_rating9]]/50</calculatedColumnFormula>
    </tableColumn>
    <tableColumn id="273" xr3:uid="{D33C9907-A909-4D6F-A997-E741CB4E44DE}" name="failurecost10_rating1" dataDxfId="305">
      <calculatedColumnFormula>Table15678911121314[[#This Row],[Total_Cost_MUSD]]*1000000*Table15678911121314[[#This Row],[prob10-failure_rating1]]/10</calculatedColumnFormula>
    </tableColumn>
    <tableColumn id="274" xr3:uid="{D6C62EB5-1BCA-4876-BC53-9220E49CA3A1}" name="failurecost10_rating2" dataDxfId="304">
      <calculatedColumnFormula>Table15678911121314[[#This Row],[Total_Cost_MUSD]]*1000000*Table15678911121314[[#This Row],[prob10-failure_rating2]]/10</calculatedColumnFormula>
    </tableColumn>
    <tableColumn id="275" xr3:uid="{AF748299-83AA-4E6E-A82A-6E107AB402EC}" name="failurecost10_rating3" dataDxfId="303">
      <calculatedColumnFormula>Table15678911121314[[#This Row],[Total_Cost_MUSD]]*1000000*Table15678911121314[[#This Row],[prob10-failure_rating3]]/10</calculatedColumnFormula>
    </tableColumn>
    <tableColumn id="276" xr3:uid="{6D30A72A-04EA-41AB-9DD6-63CF2547F52D}" name="failurecost10_rating4" dataDxfId="302">
      <calculatedColumnFormula>Table15678911121314[[#This Row],[Total_Cost_MUSD]]*1000000*Table15678911121314[[#This Row],[prob10-failure_rating4]]/10</calculatedColumnFormula>
    </tableColumn>
    <tableColumn id="277" xr3:uid="{8FF4C9C1-3C54-4494-8C99-A8DF68D1D957}" name="failurecost10_rating5" dataDxfId="301">
      <calculatedColumnFormula>Table15678911121314[[#This Row],[Total_Cost_MUSD]]*1000000*Table15678911121314[[#This Row],[prob10-failure_rating5]]/10</calculatedColumnFormula>
    </tableColumn>
    <tableColumn id="278" xr3:uid="{795EE685-D621-4B22-B53B-8BA1440D5C8E}" name="failurecost10_rating6" dataDxfId="300">
      <calculatedColumnFormula>Table15678911121314[[#This Row],[Total_Cost_MUSD]]*1000000*Table15678911121314[[#This Row],[prob10-failure_rating6]]/10</calculatedColumnFormula>
    </tableColumn>
    <tableColumn id="279" xr3:uid="{CF506BAB-456B-458C-965C-7BB1266C9CA0}" name="failurecost10_rating7" dataDxfId="299">
      <calculatedColumnFormula>Table15678911121314[[#This Row],[Total_Cost_MUSD]]*1000000*Table15678911121314[[#This Row],[prob10-failure_rating7]]/10</calculatedColumnFormula>
    </tableColumn>
    <tableColumn id="280" xr3:uid="{5B23AB50-0AB6-4953-B6E3-05D878AD7DF8}" name="failurecost10_rating8" dataDxfId="298">
      <calculatedColumnFormula>Table15678911121314[[#This Row],[Total_Cost_MUSD]]*1000000*Table15678911121314[[#This Row],[prob10-failure_rating8]]/10</calculatedColumnFormula>
    </tableColumn>
    <tableColumn id="281" xr3:uid="{6C88614C-9523-4DE7-859F-F88B017D1AA7}" name="failurecost10_rating9" dataDxfId="297">
      <calculatedColumnFormula>Table15678911121314[[#This Row],[Total_Cost_MUSD]]*1000000*Table15678911121314[[#This Row],[prob10-failure_rating9]]/10</calculatedColumnFormula>
    </tableColumn>
    <tableColumn id="282" xr3:uid="{CBF8EEB1-48E7-473F-B57A-2DB979C396EF}" name="FailureCost_Rating0" dataDxfId="296">
      <calculatedColumnFormula>Table15678911121314[[#This Row],[FailureCost_Rating1]]</calculatedColumnFormula>
    </tableColumn>
    <tableColumn id="264" xr3:uid="{2AD29571-A67C-4B88-98BA-353F09ADB1B0}" name="FailureCost_Rating1" dataDxfId="295">
      <calculatedColumnFormula>Table15678911121314[[#This Row],[FailureCost_Rating2]]</calculatedColumnFormula>
    </tableColumn>
    <tableColumn id="265" xr3:uid="{44A579D8-BA8E-4276-806A-EBBB50E0216B}" name="FailureCost_Rating2" dataDxfId="294">
      <calculatedColumnFormula>(Table15678911121314[[#This Row],[failurecost500_rating2]]+Table15678911121314[[#This Row],[failurecost100_rating2]]+Table15678911121314[[#This Row],[failurecost50_rating2]]+Table15678911121314[[#This Row],[failurecost10_rating2]])</calculatedColumnFormula>
    </tableColumn>
    <tableColumn id="266" xr3:uid="{2836D666-497A-4684-911A-46F7E441251D}" name="FailureCost_Rating3" dataDxfId="293">
      <calculatedColumnFormula>(Table15678911121314[[#This Row],[failurecost500_rating3]]+Table15678911121314[[#This Row],[failurecost100_rating3]]+Table15678911121314[[#This Row],[failurecost50_rating3]]+Table15678911121314[[#This Row],[failurecost10_rating3]])</calculatedColumnFormula>
    </tableColumn>
    <tableColumn id="267" xr3:uid="{8B40BA99-DE0B-4744-A14D-F73F69F4560D}" name="FailureCost_Rating4" dataDxfId="292">
      <calculatedColumnFormula>(Table15678911121314[[#This Row],[failurecost500_rating4]]+Table15678911121314[[#This Row],[failurecost100_rating4]]+Table15678911121314[[#This Row],[failurecost50_rating4]]+Table15678911121314[[#This Row],[failurecost10_rating4]])</calculatedColumnFormula>
    </tableColumn>
    <tableColumn id="268" xr3:uid="{E037A5E0-2825-4B34-862F-60A80197327A}" name="FailureCost_Rating5" dataDxfId="291">
      <calculatedColumnFormula>(Table15678911121314[[#This Row],[failurecost500_rating5]]+Table15678911121314[[#This Row],[failurecost100_rating5]]+Table15678911121314[[#This Row],[failurecost50_rating5]]+Table15678911121314[[#This Row],[failurecost10_rating5]])</calculatedColumnFormula>
    </tableColumn>
    <tableColumn id="269" xr3:uid="{26F6884D-7F87-48C0-BDD5-5848D84B2C25}" name="FailureCost_Rating6" dataDxfId="290">
      <calculatedColumnFormula>(Table15678911121314[[#This Row],[failurecost500_rating6]]+Table15678911121314[[#This Row],[failurecost100_rating6]]+Table15678911121314[[#This Row],[failurecost50_rating6]]+Table15678911121314[[#This Row],[failurecost10_rating6]])</calculatedColumnFormula>
    </tableColumn>
    <tableColumn id="270" xr3:uid="{A217C3F6-676B-418E-866B-7EA0B7A2FC94}" name="FailureCost_Rating7" dataDxfId="289">
      <calculatedColumnFormula>(Table15678911121314[[#This Row],[failurecost500_rating7]]+Table15678911121314[[#This Row],[failurecost100_rating7]]+Table15678911121314[[#This Row],[failurecost50_rating7]]+Table15678911121314[[#This Row],[failurecost10_rating7]])</calculatedColumnFormula>
    </tableColumn>
    <tableColumn id="271" xr3:uid="{53C136F1-F879-423D-AD26-F5704CD649D5}" name="FailureCost_Rating8" dataDxfId="288">
      <calculatedColumnFormula>(Table15678911121314[[#This Row],[failurecost500_rating8]]+Table15678911121314[[#This Row],[failurecost100_rating8]]+Table15678911121314[[#This Row],[failurecost50_rating8]]+Table15678911121314[[#This Row],[failurecost10_rating8]])</calculatedColumnFormula>
    </tableColumn>
    <tableColumn id="272" xr3:uid="{839B9879-2C94-4B5B-B984-58B5673F3A3D}" name="FailureCost_Rating9" dataDxfId="287">
      <calculatedColumnFormula>(Table15678911121314[[#This Row],[failurecost500_rating9]]+Table15678911121314[[#This Row],[failurecost100_rating9]]+Table15678911121314[[#This Row],[failurecost50_rating9]]+Table15678911121314[[#This Row],[failurecost10_rating9]])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D4DAC3-9B65-41DF-BDDF-AA985643EE6A}" name="Table1567891112131415" displayName="Table1567891112131415" ref="A1:JY20" totalsRowShown="0" headerRowDxfId="286" dataDxfId="285">
  <autoFilter ref="A1:JY20" xr:uid="{1E05EA88-988A-4182-B643-40FC3C5FB242}"/>
  <tableColumns count="285">
    <tableColumn id="1" xr3:uid="{65506AAF-3C5F-4C67-BE0C-E30CAFAB82E0}" name="Number" dataDxfId="284"/>
    <tableColumn id="2" xr3:uid="{0A84BFBB-3CFF-43C6-AC65-A7B0F66A6B48}" name="Structure Name" dataDxfId="283"/>
    <tableColumn id="3" xr3:uid="{9B7987B1-9FBF-4936-B026-8AEA7146110B}" name="Body of water" dataDxfId="282"/>
    <tableColumn id="4" xr3:uid="{F4DABB51-8DB4-4E51-B532-3B8C3DC40D85}" name="Lattitude" dataDxfId="281"/>
    <tableColumn id="5" xr3:uid="{BAF7CAFE-DF5D-4FB1-8753-FC9A76BE3CB7}" name="Longitude" dataDxfId="280"/>
    <tableColumn id="6" xr3:uid="{ED63826B-AAF8-4C5A-BABB-37BFB89D934A}" name="Depth50" dataDxfId="279"/>
    <tableColumn id="7" xr3:uid="{C08F5DFC-00BD-4CED-9416-45B565A05C02}" name="Depth10" dataDxfId="278"/>
    <tableColumn id="8" xr3:uid="{66C63ECE-6CAF-480A-80EC-BFC3C640BF36}" name="Depth100" dataDxfId="277"/>
    <tableColumn id="9" xr3:uid="{3CFC6977-00A5-4A69-ADDD-56F6035A8757}" name="Depth500" dataDxfId="276"/>
    <tableColumn id="10" xr3:uid="{822361D7-5DAD-4010-884A-6BAB8C730741}" name="Depth0_area" dataDxfId="275"/>
    <tableColumn id="11" xr3:uid="{F4C43ED0-ED79-4E03-BCE1-507DF73BC889}" name="Depth0_wet" dataDxfId="274"/>
    <tableColumn id="12" xr3:uid="{9D042C88-3B7D-4A4B-A224-4A490ACA75B3}" name="Depth10_area" dataDxfId="273"/>
    <tableColumn id="13" xr3:uid="{6EB2C303-8D1C-47D9-9556-9A257E45C987}" name="Depth10_wet" dataDxfId="272"/>
    <tableColumn id="14" xr3:uid="{17C2E7B1-CF62-4D87-B1E1-8DCD1C81D304}" name="Depth50_area" dataDxfId="271"/>
    <tableColumn id="15" xr3:uid="{1334188D-7BCB-4DC9-9D69-2F5A9C875584}" name="Depth50_wet" dataDxfId="270"/>
    <tableColumn id="16" xr3:uid="{E917245F-4027-4E2A-8FAB-8C31F461A894}" name="Depth100_area" dataDxfId="269"/>
    <tableColumn id="17" xr3:uid="{DFF78711-579D-4619-BA90-1A2BDE5C4410}" name="Depth100_wet" dataDxfId="268"/>
    <tableColumn id="18" xr3:uid="{DB5F4BB5-B4D9-4E6C-B2A5-AAFBB6321CF2}" name="Depth500_area" dataDxfId="267"/>
    <tableColumn id="19" xr3:uid="{3393378C-F114-401C-BBD8-B0F84F4D4854}" name="Depth500_wet" dataDxfId="266"/>
    <tableColumn id="20" xr3:uid="{A04EF381-D901-4F38-9829-B870D6613D2A}" name="Depth0_HydraulicRadius" dataDxfId="265"/>
    <tableColumn id="21" xr3:uid="{2F8622BD-E18E-40DD-B75A-361977AB135E}" name="Depth10_HydraulicRadius" dataDxfId="264"/>
    <tableColumn id="22" xr3:uid="{1FDCEE49-5F28-4662-A914-252F12F0B53F}" name="Depth50_HydraulicRadius" dataDxfId="263"/>
    <tableColumn id="23" xr3:uid="{FE4772EC-84F3-4B7E-A97C-2F387957453C}" name="Depth100_HydraulicRadius" dataDxfId="262"/>
    <tableColumn id="24" xr3:uid="{5AAD906D-75A9-4738-AB89-92DC9F5F0274}" name="Depth500_HydraulicRadius" dataDxfId="261"/>
    <tableColumn id="25" xr3:uid="{42764A62-117B-43F7-935F-D110417D6550}" name="Slope" dataDxfId="260"/>
    <tableColumn id="26" xr3:uid="{277B456B-310D-47D7-B14E-806525BA86C5}" name="Foundation_Depth" dataDxfId="259"/>
    <tableColumn id="27" xr3:uid="{E3848F08-4D0F-4F9A-BC69-D37115515694}" name="Depth10_velocity" dataDxfId="258"/>
    <tableColumn id="28" xr3:uid="{FB96A10E-8D5F-45DA-AF1E-AFD65A43BFD3}" name="Depth50_velocity" dataDxfId="257"/>
    <tableColumn id="29" xr3:uid="{3895F77D-4C9F-447B-A912-2EF45FF7A036}" name="Depth100_velocity" dataDxfId="256"/>
    <tableColumn id="30" xr3:uid="{E22D943F-E8A3-4CC1-9BA6-28C8B893EE39}" name="Depth500_velocity" dataDxfId="255"/>
    <tableColumn id="31" xr3:uid="{7876D292-CFBF-4A88-9DF7-E945BCBFD3B9}" name="Depth10_Froud" dataDxfId="254"/>
    <tableColumn id="32" xr3:uid="{0D5E6968-2FD7-4684-A229-B00655978B9A}" name="Depth50_Froud" dataDxfId="253"/>
    <tableColumn id="33" xr3:uid="{83B31246-FD76-4E4F-9FCD-2720F5C0E3A6}" name="Depth100_Froud" dataDxfId="252"/>
    <tableColumn id="34" xr3:uid="{9B58CD7A-7962-4414-9ECD-2AE40B5268D8}" name="Depth500_Froud" dataDxfId="251"/>
    <tableColumn id="35" xr3:uid="{A597FD24-BD77-43CB-BB4A-13393DDDDD10}" name="Depth10_Scour" dataDxfId="250"/>
    <tableColumn id="36" xr3:uid="{A9DD64D5-CF08-4491-9D8A-E9D5747FA058}" name="Depth50_Scour" dataDxfId="249"/>
    <tableColumn id="37" xr3:uid="{9563D85D-4361-4FEB-8CF6-874DDA9453D4}" name="Depth100_Scour" dataDxfId="248"/>
    <tableColumn id="38" xr3:uid="{E98441C7-C799-452C-9EDE-27B079CF8138}" name="Depth500_Scour" dataDxfId="247"/>
    <tableColumn id="39" xr3:uid="{B35641BA-BEE8-453F-9A2A-A8A460CA82DF}" name="Depth10_Soil_vol" dataDxfId="246"/>
    <tableColumn id="40" xr3:uid="{988B3710-F2C7-4F3D-9443-3A5CABA4A325}" name="Depth50_Soil_vol" dataDxfId="245"/>
    <tableColumn id="41" xr3:uid="{5E672718-83B9-45D7-9667-8A826EA23127}" name="Depth100_Soil_vol" dataDxfId="244"/>
    <tableColumn id="42" xr3:uid="{9D4F2629-A044-46B9-B074-3AEA2507E6A6}" name="Depth500_Soil_vol" dataDxfId="243"/>
    <tableColumn id="191" xr3:uid="{0629D8B0-BDA2-4286-B82E-3A4E0786ACD2}" name="Depth10_cost" dataDxfId="242">
      <calculatedColumnFormula>Table1567891112131415[[#This Row],[Depth10_Soil_vol]]*(9.353+9.027)+(Table1567891112131415[[#This Row],[Depth10_Soil_vol]]/2.5)*20*1.053+(PI()*Table1567891112131415[[#This Row],[Depth10_Scour]])*Table1567891112131415[[#This Row],[DECK_WIDTH_MT_052]]*1.062</calculatedColumnFormula>
    </tableColumn>
    <tableColumn id="190" xr3:uid="{76725EF2-D8B8-42F6-99F4-3253350F8CD2}" name="Depth50_cost" dataDxfId="241">
      <calculatedColumnFormula>Table1567891112131415[[#This Row],[Depth50_Soil_vol]]*(9.353+9.027)+(Table1567891112131415[[#This Row],[Depth50_Soil_vol]]/2.5)*20*1.053+(PI()*Table1567891112131415[[#This Row],[Depth50_Scour]])*Table1567891112131415[[#This Row],[DECK_WIDTH_MT_052]]*1.062</calculatedColumnFormula>
    </tableColumn>
    <tableColumn id="189" xr3:uid="{3D1EE3F2-5D57-4225-A754-927F9A6B31A8}" name="Depth100_cost" dataDxfId="240">
      <calculatedColumnFormula>Table1567891112131415[[#This Row],[Depth100_Soil_vol]]*(9.353+9.027)+(Table1567891112131415[[#This Row],[Depth100_Soil_vol]]/2.5)*20*1.053+(PI()*Table1567891112131415[[#This Row],[Depth100_Scour]])*Table1567891112131415[[#This Row],[DECK_WIDTH_MT_052]]*1.062</calculatedColumnFormula>
    </tableColumn>
    <tableColumn id="188" xr3:uid="{D08AE94E-B41C-4A68-9DBF-853CD641A833}" name="Depth500_cost" dataDxfId="239">
      <calculatedColumnFormula>Table1567891112131415[[#This Row],[Depth500_Soil_vol]]*(9.353+9.027)+(Table1567891112131415[[#This Row],[Depth500_Soil_vol]]/2.5)*20*1.053+(PI()*Table1567891112131415[[#This Row],[Depth500_Scour]])*Table1567891112131415[[#This Row],[DECK_WIDTH_MT_052]]*1.062</calculatedColumnFormula>
    </tableColumn>
    <tableColumn id="43" xr3:uid="{729B771A-A62B-4551-BB54-4B0DC8BAEBB0}" name="Foundation_Width" dataDxfId="238"/>
    <tableColumn id="44" xr3:uid="{63959764-932A-451D-978B-A90B3B15E11F}" name="Foundation_length" dataDxfId="237"/>
    <tableColumn id="45" xr3:uid="{7C209B34-4D0F-4620-A9B6-7D5C96E7D64D}" name="Shape" dataDxfId="236"/>
    <tableColumn id="46" xr3:uid="{A543999F-3374-4CDC-8036-37E2C1E65FA7}" name="Depth10_Rating" dataDxfId="235"/>
    <tableColumn id="47" xr3:uid="{825664B8-794A-4CF9-A87C-2D28527E7BDB}" name="Depth50_Rating" dataDxfId="234"/>
    <tableColumn id="48" xr3:uid="{542051F4-0ED4-4B30-8C93-456941B29AAF}" name="Depth100_Rating" dataDxfId="233"/>
    <tableColumn id="49" xr3:uid="{8A814214-0BBD-430F-8F46-B855CDFC62B7}" name="Depth500_Rating" dataDxfId="232"/>
    <tableColumn id="50" xr3:uid="{10F53264-3BE2-4CE6-9563-4B4F248BFFC8}" name="STATE_CODE_001" dataDxfId="231"/>
    <tableColumn id="51" xr3:uid="{62BA68B2-83F9-4373-9856-4417D4EAE19C}" name="STRUCTURE_NUMBER_008" dataDxfId="230"/>
    <tableColumn id="52" xr3:uid="{6A28419B-D34A-4945-8874-F322BEDE235A}" name="LAT_016" dataDxfId="229"/>
    <tableColumn id="53" xr3:uid="{C45B188B-4523-4352-BD02-9D2E5B0734E7}" name="LONG_017" dataDxfId="228"/>
    <tableColumn id="54" xr3:uid="{6FE6404B-8B10-44B3-B68A-D182241CE42F}" name="RECORD_TYPE_005A" dataDxfId="227"/>
    <tableColumn id="55" xr3:uid="{8E01059E-FAD7-4071-B52D-31DE8756717E}" name="ROUTE_PREFIX_005B" dataDxfId="226"/>
    <tableColumn id="56" xr3:uid="{3F16AFDA-D8A2-4DB8-B33A-E192E6304F0F}" name="SERVICE_LEVEL_005C" dataDxfId="225"/>
    <tableColumn id="57" xr3:uid="{3B3CEAEA-89DF-4BC9-94A3-4997F2AE5C54}" name="ROUTE_NUMBER_005D" dataDxfId="224"/>
    <tableColumn id="58" xr3:uid="{0BCC8BB8-630D-4F41-BEEF-EFF1C17EB7C9}" name="DIRECTION_005E" dataDxfId="223"/>
    <tableColumn id="59" xr3:uid="{420D56C5-1D48-4798-B554-A2E999F3775F}" name="HIGHWAY_DISTRICT_002" dataDxfId="222"/>
    <tableColumn id="60" xr3:uid="{CA4C5132-82FC-40FD-9DB8-E38D9988731B}" name="COUNTY_CODE_003" dataDxfId="221"/>
    <tableColumn id="61" xr3:uid="{E07921F3-D0AA-422A-BFD7-ADF76E6E8B8D}" name="PLACE_CODE_004" dataDxfId="220"/>
    <tableColumn id="62" xr3:uid="{7DAE7F98-44FC-460B-B50E-CAEBDBF8043A}" name="FEATURES_DESC_006A" dataDxfId="219"/>
    <tableColumn id="63" xr3:uid="{7F674E88-7BF1-4D3D-AF8A-642CE1AA8C37}" name="CRITICAL_FACILITY_006B" dataDxfId="218"/>
    <tableColumn id="64" xr3:uid="{A92C6B57-870C-444D-9A33-48BD48D1C9DC}" name="FACILITY_CARRIED_007" dataDxfId="217"/>
    <tableColumn id="65" xr3:uid="{AD69D86A-3A0E-43F2-A521-CF92D594A253}" name="LOCATION_009" dataDxfId="216"/>
    <tableColumn id="66" xr3:uid="{6A148C4E-173A-4BDD-BEB5-25C5AADF842E}" name="MIN_VERT_CLR_010" dataDxfId="215"/>
    <tableColumn id="67" xr3:uid="{5AC243EC-4C6F-4723-9AE6-B34FB04366E7}" name="KILOPOINT_011" dataDxfId="214"/>
    <tableColumn id="68" xr3:uid="{77A0B07B-8DDF-4878-B166-2D46DFC8BCFE}" name="BASE_HWY_NETWORK_012" dataDxfId="213"/>
    <tableColumn id="69" xr3:uid="{9C6FD2B7-85F4-4354-9230-F85A6644255B}" name="LRS_INV_ROUTE_013A" dataDxfId="212"/>
    <tableColumn id="70" xr3:uid="{DB824F31-5C3D-44F9-B77D-98C61B4F7241}" name="SUBROUTE_NO_013B" dataDxfId="211"/>
    <tableColumn id="71" xr3:uid="{9C56D54C-3E09-4AEF-8982-3003C3CB8351}" name="DETOUR_KILOS_019" dataDxfId="210"/>
    <tableColumn id="72" xr3:uid="{D02D89BF-358E-4CA4-B1E4-44022F83A051}" name="TOLL_020" dataDxfId="209"/>
    <tableColumn id="73" xr3:uid="{6CB4E52D-D883-412F-A619-B608C02BEB66}" name="MAINTENANCE_021" dataDxfId="208"/>
    <tableColumn id="74" xr3:uid="{A4C518A9-6BB6-464E-A1AF-D4F4A924D60B}" name="OWNER_022" dataDxfId="207"/>
    <tableColumn id="75" xr3:uid="{A18F8A39-789A-4D62-8A4C-44DAF952A8A5}" name="FUNCTIONAL_CLASS_026" dataDxfId="206"/>
    <tableColumn id="76" xr3:uid="{E53D7ABA-4F26-4A5B-9B56-54753A8D53D0}" name="YEAR_BUILT_027" dataDxfId="205"/>
    <tableColumn id="77" xr3:uid="{509EE842-BE71-4975-A2A3-184B7930185A}" name="TRAFFIC_LANES_ON_028A" dataDxfId="204"/>
    <tableColumn id="78" xr3:uid="{32239446-5C16-4A0E-BE90-2EDC272FBDE6}" name="TRAFFIC_LANES_UND_028B" dataDxfId="203"/>
    <tableColumn id="79" xr3:uid="{A140283C-48C9-45D8-9EEA-E50700F82B55}" name="ADT_029" dataDxfId="202"/>
    <tableColumn id="80" xr3:uid="{52E5D601-3C1F-4088-AEC6-C124D4DBEA98}" name="YEAR_ADT_030" dataDxfId="201"/>
    <tableColumn id="81" xr3:uid="{65CA7522-13A7-4973-98BE-CCD7322DBC79}" name="DESIGN_LOAD_031" dataDxfId="200"/>
    <tableColumn id="82" xr3:uid="{FD36DDC6-4E15-46AD-B430-D55659836BB1}" name="APPR_WIDTH_MT_032" dataDxfId="199"/>
    <tableColumn id="83" xr3:uid="{6C51CD79-83D1-4CF2-9EA1-48B13B46B118}" name="MEDIAN_CODE_033" dataDxfId="198"/>
    <tableColumn id="84" xr3:uid="{957FE2CF-5932-4A37-9578-9B2DFF72DD53}" name="DEGREES_SKEW_034" dataDxfId="197"/>
    <tableColumn id="85" xr3:uid="{0012AC5C-2344-4F60-A75D-A5E63D017F5F}" name="STRUCTURE_FLARED_035" dataDxfId="196"/>
    <tableColumn id="86" xr3:uid="{5944F229-6988-4D5F-BA7F-7586D2E04110}" name="RAILINGS_036A" dataDxfId="195"/>
    <tableColumn id="87" xr3:uid="{FC1BAFC0-1A51-421D-8649-43F055C9A442}" name="TRANSITIONS_036B" dataDxfId="194"/>
    <tableColumn id="88" xr3:uid="{3C743833-F74D-4E48-8BF6-9623B5AB2F39}" name="APPR_RAIL_036C" dataDxfId="193"/>
    <tableColumn id="89" xr3:uid="{6A566A79-C22E-4E1B-A4CE-5BCA708EA074}" name="APPR_RAIL_END_036D" dataDxfId="192"/>
    <tableColumn id="90" xr3:uid="{F74ADE1D-6E37-441C-8D91-F60EE546C2DF}" name="HISTORY_037" dataDxfId="191"/>
    <tableColumn id="91" xr3:uid="{75ED726D-3DE4-4491-B26D-8D768660E94F}" name="NAVIGATION_038" dataDxfId="190"/>
    <tableColumn id="92" xr3:uid="{919BB1BE-EC99-4801-8BD5-62643EB64A34}" name="NAV_VERT_CLR_MT_039" dataDxfId="189"/>
    <tableColumn id="93" xr3:uid="{865D88A8-12BC-4BA0-85F3-A51CFE40F6F7}" name="NAV_HORR_CLR_MT_040" dataDxfId="188"/>
    <tableColumn id="94" xr3:uid="{0965895A-CF26-4D9D-B38F-D3A25277D2C5}" name="OPEN_CLOSED_POSTED_041" dataDxfId="187"/>
    <tableColumn id="95" xr3:uid="{F23380CA-39BD-4EEB-A037-B080802EE109}" name="SERVICE_ON_042A" dataDxfId="186"/>
    <tableColumn id="96" xr3:uid="{E45290B5-EEE8-4388-9807-2FF78B61CF54}" name="SERVICE_UND_042B" dataDxfId="185"/>
    <tableColumn id="97" xr3:uid="{7E88FC4A-539F-43B0-9AB8-21ED718B99AC}" name="STRUCTURE_KIND_043A" dataDxfId="184"/>
    <tableColumn id="98" xr3:uid="{F82E4129-8D0A-4FE7-A52C-815950973040}" name="STRUCTURE_TYPE_043B" dataDxfId="183"/>
    <tableColumn id="99" xr3:uid="{91992BCB-E064-4A0A-AC84-AF148C75C332}" name="APPR_KIND_044A" dataDxfId="182"/>
    <tableColumn id="100" xr3:uid="{12A2B27C-8722-488E-A446-D781FE32541E}" name="APPR_TYPE_044B" dataDxfId="181"/>
    <tableColumn id="101" xr3:uid="{35C2DFD5-4F9F-4CB5-A3F9-9477C1C7D45B}" name="MAIN_UNIT_SPANS_045" dataDxfId="180"/>
    <tableColumn id="102" xr3:uid="{6DB51F74-258B-4519-8CC3-AB7E6414E0BA}" name="APPR_SPANS_046" dataDxfId="179"/>
    <tableColumn id="103" xr3:uid="{24462368-42CF-4E42-AABA-8938D86E4D39}" name="HORR_CLR_MT_047" dataDxfId="178"/>
    <tableColumn id="104" xr3:uid="{C0680B21-8C55-48B3-9ECB-C7392BBA9B3D}" name="MAX_SPAN_LEN_MT_048" dataDxfId="177"/>
    <tableColumn id="105" xr3:uid="{73B5A54B-ED95-433E-A369-9651AA10EAD7}" name="STRUCTURE_LEN_MT_049" dataDxfId="176"/>
    <tableColumn id="106" xr3:uid="{4BB7EBE0-DC3C-4ADD-8DA5-C756E1628AF9}" name="LEFT_CURB_MT_050A" dataDxfId="175"/>
    <tableColumn id="107" xr3:uid="{39A823D1-063B-48B9-960F-97B6075A4F77}" name="RIGHT_CURB_MT_050B" dataDxfId="174"/>
    <tableColumn id="108" xr3:uid="{377E94FD-C212-43F7-B81C-2A69DE3BD8D0}" name="ROADWAY_WIDTH_MT_051" dataDxfId="173"/>
    <tableColumn id="109" xr3:uid="{F51230DE-848F-422A-822D-F4E056BFE6E8}" name="DECK_WIDTH_MT_052" dataDxfId="172"/>
    <tableColumn id="110" xr3:uid="{9C5BCF0F-53F5-4821-A7CF-4EEF77ACA8B7}" name="VERT_CLR_OVER_MT_053" dataDxfId="171"/>
    <tableColumn id="111" xr3:uid="{7CD59ADB-0619-4525-A6C9-B4A06B8E09A2}" name="VERT_CLR_UND_REF_054A" dataDxfId="170"/>
    <tableColumn id="112" xr3:uid="{E19BFFA1-F3BD-4EDC-908E-B89338DEA31A}" name="VERT_CLR_UND_054B" dataDxfId="169"/>
    <tableColumn id="113" xr3:uid="{7B5A37B6-6CBD-4D67-9E51-B7494A038491}" name="LAT_UND_REF_055A" dataDxfId="168"/>
    <tableColumn id="114" xr3:uid="{37BA4D5E-4A42-4731-8387-04D459CA9219}" name="LAT_UND_MT_055B" dataDxfId="167"/>
    <tableColumn id="115" xr3:uid="{6FE8C5A4-D587-415F-8BC9-34CC6E617743}" name="LEFT_LAT_UND_MT_056" dataDxfId="166"/>
    <tableColumn id="116" xr3:uid="{6FE0ACBF-AC44-4922-A7D6-D9B84BFC4584}" name="DECK_COND_058" dataDxfId="165"/>
    <tableColumn id="117" xr3:uid="{12077234-228A-4514-A28E-2A78F58811A7}" name="SUPERSTRUCTURE_COND_059" dataDxfId="164"/>
    <tableColumn id="118" xr3:uid="{D6B16944-40E0-4CCB-8084-37630929EB05}" name="SUBSTRUCTURE_COND_060" dataDxfId="163"/>
    <tableColumn id="119" xr3:uid="{243781A2-42AE-4F4B-B982-1973444648EE}" name="CHANNEL_COND_061" dataDxfId="162"/>
    <tableColumn id="120" xr3:uid="{4555041C-DCC4-49BB-805D-75732C435FC0}" name="CULVERT_COND_062" dataDxfId="161"/>
    <tableColumn id="121" xr3:uid="{28D4BCAF-BBBE-46B5-9A0C-59029F26F8A2}" name="OPR_RATING_METH_063" dataDxfId="160"/>
    <tableColumn id="122" xr3:uid="{A027BF68-3B72-48A5-84B3-F180D4A4C6D9}" name="OPERATING_RATING_064" dataDxfId="159"/>
    <tableColumn id="123" xr3:uid="{887EFFAC-48C6-4465-9C4C-72F37A266D41}" name="INV_RATING_METH_065" dataDxfId="158"/>
    <tableColumn id="124" xr3:uid="{5739AD2F-BA53-4B75-8717-C80124017268}" name="INVENTORY_RATING_066" dataDxfId="157"/>
    <tableColumn id="125" xr3:uid="{12FA8F8F-BB20-41F1-A069-F7F324E41022}" name="STRUCTURAL_EVAL_067" dataDxfId="156"/>
    <tableColumn id="126" xr3:uid="{8EF7A86A-9111-40B8-8E14-8A174F4DCDEE}" name="DECK_GEOMETRY_EVAL_068" dataDxfId="155"/>
    <tableColumn id="127" xr3:uid="{C90CF972-715B-409B-86CE-17CE2E8BD2B7}" name="UNDCLRENCE_EVAL_069" dataDxfId="154"/>
    <tableColumn id="128" xr3:uid="{56A001CF-A6A8-4F2B-B15B-228BF49341C3}" name="POSTING_EVAL_070" dataDxfId="153"/>
    <tableColumn id="129" xr3:uid="{A4792EE6-B2A7-4FA9-8C1F-012158488CAB}" name="WATERWAY_EVAL_071" dataDxfId="152"/>
    <tableColumn id="130" xr3:uid="{81138975-6EE1-49EE-8F7E-6CD065E3B1C8}" name="APPR_ROAD_EVAL_072" dataDxfId="151"/>
    <tableColumn id="131" xr3:uid="{5A78280A-35EE-469A-9A60-2D884A76F870}" name="WORK_PROPOSED_075A" dataDxfId="150"/>
    <tableColumn id="132" xr3:uid="{0A203FA2-BB2F-4333-AF85-99136E7416D1}" name="WORK_DONE_BY_075B" dataDxfId="149"/>
    <tableColumn id="133" xr3:uid="{82A2C86D-F88A-4919-8E40-1806D4D8E58C}" name="IMP_LEN_MT_076" dataDxfId="148"/>
    <tableColumn id="134" xr3:uid="{C66245F6-DFC9-460D-8EE5-BB8EBB1A3498}" name="DATE_OF_INSPECT_090" dataDxfId="147"/>
    <tableColumn id="135" xr3:uid="{5E350F42-2D86-471D-91D1-59020FDAA8E2}" name="INSPECT_FREQ_MONTHS_091" dataDxfId="146"/>
    <tableColumn id="136" xr3:uid="{D99AE08E-A3E6-4692-AF61-794500F7767D}" name="FRACTURE_092A" dataDxfId="145"/>
    <tableColumn id="137" xr3:uid="{E013C79E-ECF0-402C-B5DA-3FA935D91663}" name="UNDWATER_LOOK_SEE_092B" dataDxfId="144"/>
    <tableColumn id="138" xr3:uid="{464E70E6-F73E-4F8D-9B4B-A028C67F0B3C}" name="SPEC_INSPECT_092C" dataDxfId="143"/>
    <tableColumn id="139" xr3:uid="{0C709FF5-3BC7-4304-81AD-56C16FD1B8CF}" name="FRACTURE_LAST_DATE_093A" dataDxfId="142"/>
    <tableColumn id="140" xr3:uid="{3D1060C1-745D-424B-8ED8-D098CB6359F8}" name="UNDWATER_LAST_DATE_093B" dataDxfId="141"/>
    <tableColumn id="141" xr3:uid="{684EE7FF-CE5C-438D-9554-F82CD2F4E3EA}" name="SPEC_LAST_DATE_093C" dataDxfId="140"/>
    <tableColumn id="142" xr3:uid="{2B5F817E-A868-41A4-AA28-A768596FBBEB}" name="BRIDGE_IMP_COST_094" dataDxfId="139"/>
    <tableColumn id="143" xr3:uid="{D7F5ACED-EF96-4EFC-9AE8-1EA27D2E4745}" name="ROADWAY_IMP_COST_095" dataDxfId="138"/>
    <tableColumn id="144" xr3:uid="{1CB3AA46-60CD-40A6-9428-0407904A3858}" name="TOTAL_IMP_COST_096" dataDxfId="137"/>
    <tableColumn id="145" xr3:uid="{A61E55D3-71D5-4EA8-964A-38EB3DB518D9}" name="YEAR_OF_IMP_097" dataDxfId="136"/>
    <tableColumn id="146" xr3:uid="{EF47C125-AC25-4D37-94DF-B65BEB617B40}" name="OTHER_STATE_CODE_098A" dataDxfId="135"/>
    <tableColumn id="147" xr3:uid="{DDF5AC8F-D785-4768-9EDD-F2964A883526}" name="OTHER_STATE_PCNT_098B" dataDxfId="134"/>
    <tableColumn id="148" xr3:uid="{86BE3147-23C1-4EBD-95CB-085CADE51E45}" name="OTHR_STATE_STRUC_NO_099" dataDxfId="133"/>
    <tableColumn id="149" xr3:uid="{FDDA057B-DE94-4732-A76B-AE13B64502B4}" name="STRAHNET_HIGHWAY_100" dataDxfId="132"/>
    <tableColumn id="150" xr3:uid="{C0C50EF2-EFB1-4550-8E7A-0A04F0C11DFE}" name="PARALLEL_STRUCTURE_101" dataDxfId="131"/>
    <tableColumn id="151" xr3:uid="{0B21B0AF-A8F8-4C4F-B906-0F7AE06F6DBA}" name="TRAFFIC_DIRECTION_102" dataDxfId="130"/>
    <tableColumn id="152" xr3:uid="{6E54A90E-CB02-4935-818F-DD7890E50B7D}" name="TEMP_STRUCTURE_103" dataDxfId="129"/>
    <tableColumn id="153" xr3:uid="{A7385B42-8932-4AA0-B3AA-056B004679A4}" name="HIGHWAY_SYSTEM_104" dataDxfId="128"/>
    <tableColumn id="154" xr3:uid="{1D57D573-1FB4-444F-9628-100AEA315BDA}" name="FEDERAL_LANDS_105" dataDxfId="127"/>
    <tableColumn id="155" xr3:uid="{850FD306-AB87-4C26-A0D9-685C1008073E}" name="YEAR_RECONSTRUCTED_106" dataDxfId="126"/>
    <tableColumn id="156" xr3:uid="{EA6CBA2C-EF06-4EE3-831A-4F5DCED73199}" name="DECK_STRUCTURE_TYPE_107" dataDxfId="125"/>
    <tableColumn id="157" xr3:uid="{0DFC7C5D-57DB-42C0-A1A3-96F3364375BB}" name="SURFACE_TYPE_108A" dataDxfId="124"/>
    <tableColumn id="158" xr3:uid="{3E321082-16A6-4229-BF98-5BDEC091AC96}" name="MEMBRANE_TYPE_108B" dataDxfId="123"/>
    <tableColumn id="159" xr3:uid="{E2F990B1-613D-4AEC-88DA-1D254340EB3A}" name="DECK_PROTECTION_108C" dataDxfId="122"/>
    <tableColumn id="160" xr3:uid="{4DED7A55-A311-4830-A985-7C26F5707E16}" name="PERCENT_ADT_TRUCK_109" dataDxfId="121"/>
    <tableColumn id="161" xr3:uid="{B1AD5D16-5438-46B1-94CE-E4E517639206}" name="NATIONAL_NETWORK_110" dataDxfId="120"/>
    <tableColumn id="162" xr3:uid="{5241E232-D843-4789-9E30-35DC288127B0}" name="PIER_PROTECTION_111" dataDxfId="119"/>
    <tableColumn id="163" xr3:uid="{BA6D357B-8850-48CC-9969-E5D569971B78}" name="BRIDGE_LEN_IND_112" dataDxfId="118"/>
    <tableColumn id="164" xr3:uid="{7E1D52B6-5568-4AA5-84B3-CA48893A0676}" name="SCOUR_CRITICAL_113" dataDxfId="117"/>
    <tableColumn id="165" xr3:uid="{CAE472B9-48C7-4EC4-A84B-5C4D7032A2D8}" name="FUTURE_ADT_114" dataDxfId="116"/>
    <tableColumn id="166" xr3:uid="{99A6F05B-7867-4360-92D6-3CA043534E40}" name="YEAR_OF_FUTURE_ADT_115" dataDxfId="115"/>
    <tableColumn id="167" xr3:uid="{89ADA71F-061C-4038-B8C8-35DF46C95990}" name="MIN_NAV_CLR_MT_116" dataDxfId="114"/>
    <tableColumn id="168" xr3:uid="{525F935D-DA4C-470F-88AA-866CC085A603}" name="FED_AGENCY" dataDxfId="113"/>
    <tableColumn id="169" xr3:uid="{63900BB5-367E-471D-9BCE-FAE8B83EF1FE}" name="SUBMITTED_BY" dataDxfId="112"/>
    <tableColumn id="170" xr3:uid="{47F28CB3-13B9-4DD1-B015-F1D71BDC113C}" name="BRIDGE_CONDITION" dataDxfId="111"/>
    <tableColumn id="171" xr3:uid="{42028135-05A0-4D5E-A70F-093DAFB29EF0}" name="LOWEST_RATING" dataDxfId="110"/>
    <tableColumn id="172" xr3:uid="{17A64B9F-0E4D-4D90-8BE9-A8FC69DAD71A}" name="DECK_AREA" dataDxfId="109"/>
    <tableColumn id="173" xr3:uid="{02F05959-8C63-4CA0-835A-222987D43A58}" name="Detour_Duration" dataDxfId="108"/>
    <tableColumn id="174" xr3:uid="{834F65A3-78C1-457A-9CB9-4042C003F297}" name="Min_Unit_Rebuilding_Cost($/ft2)" dataDxfId="107"/>
    <tableColumn id="175" xr3:uid="{4753FD2B-A5E2-41B4-BBC2-29E55E7B012C}" name="Max_Unit_Rebuilding_Cost($/ft2)2" dataDxfId="106"/>
    <tableColumn id="176" xr3:uid="{644E6BD6-E116-470C-A9AB-A14610DF8C40}" name="Cost_Multiplier_for_Early_Replacement" dataDxfId="105"/>
    <tableColumn id="177" xr3:uid="{15F12B77-5FBF-4549-9D31-4E58F1CEF5C0}" name="Assumed_Number_of_Lives_Lost_in_Bridge_Failure" dataDxfId="104"/>
    <tableColumn id="178" xr3:uid="{914BDD38-4799-4329-8BCD-D5FD638761FA}" name="HYRISK_Cost_of_Faliure_term1" dataDxfId="103"/>
    <tableColumn id="179" xr3:uid="{A9A11F7F-6AF2-46BA-A228-3E79948672DE}" name="HYRISK_Cost_of_Faliure_term2" dataDxfId="102"/>
    <tableColumn id="180" xr3:uid="{69BBD8A1-B935-46C8-B2B0-E67B16C73507}" name="HYRISK_Cost_of_Faliure_term3" dataDxfId="101"/>
    <tableColumn id="181" xr3:uid="{9BB19F2D-CBDF-49AB-8ACC-2D99519F1CFC}" name="HYRISK_Cost_of_Faliure_term4" dataDxfId="100"/>
    <tableColumn id="285" xr3:uid="{4354C531-3B60-4C46-B0BB-800CE5A2B98F}" name="HYRISK_Cost_of_Faliure_term5" dataDxfId="99"/>
    <tableColumn id="286" xr3:uid="{AC367FE4-BDF3-4902-8E6F-B615BD9B63D9}" name="Rating_decay" dataDxfId="98">
      <calculatedColumnFormula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calculatedColumnFormula>
    </tableColumn>
    <tableColumn id="182" xr3:uid="{535F8974-637B-4D84-8C0E-20AC30D0BE6A}" name="Total_Cost_MUSD" dataDxfId="97"/>
    <tableColumn id="186" xr3:uid="{5CDDB6B8-02BF-468D-BCCB-FC4AE901FCB6}" name="Hazus_Failure_Prob_10" dataDxfId="96"/>
    <tableColumn id="185" xr3:uid="{591219A5-33C5-4B4D-918D-92D0CFC8B27C}" name="Hazus_Failure_Prob_50" dataDxfId="95"/>
    <tableColumn id="184" xr3:uid="{67C0DB04-4265-4299-9A43-E60F36A474D0}" name="Hazus_Failure_Prob_100" dataDxfId="94"/>
    <tableColumn id="183" xr3:uid="{65615F8E-968A-4EFD-832E-0E2CD34A170B}" name="Hazus_Failure_Prob_500" dataDxfId="93"/>
    <tableColumn id="187" xr3:uid="{47EB456F-1F3E-4B94-8885-63F60E824AE4}" name="Current_rating" dataDxfId="92"/>
    <tableColumn id="283" xr3:uid="{BC895A3B-720B-46F9-A85A-CE663D72C9BE}" name="cost_repair_rating0" dataDxfId="91">
      <calculatedColumnFormula>Sheet4!Q32*$GF2*1000000</calculatedColumnFormula>
    </tableColumn>
    <tableColumn id="192" xr3:uid="{AD32377D-322A-4274-A7C2-53C70CEBF68B}" name="cost_repair_rating1" dataDxfId="90">
      <calculatedColumnFormula>Sheet4!R32*$GF2*1000000</calculatedColumnFormula>
    </tableColumn>
    <tableColumn id="193" xr3:uid="{BE67D57D-F56B-45CE-BC6F-A4C4216DA22B}" name="cost_repair_rating2" dataDxfId="89">
      <calculatedColumnFormula>Sheet4!S32*$GF2*1000000</calculatedColumnFormula>
    </tableColumn>
    <tableColumn id="194" xr3:uid="{12DAFDDD-5A0B-4530-AC5D-18F7BA537D0A}" name="cost_repair_rating3" dataDxfId="88">
      <calculatedColumnFormula>Sheet4!T32*$GF2*1000000</calculatedColumnFormula>
    </tableColumn>
    <tableColumn id="195" xr3:uid="{CCE419E7-B55E-4138-90C4-91C5C1C013DA}" name="cost_repair_rating4" dataDxfId="87">
      <calculatedColumnFormula>Sheet4!U32*$GF2*1000000</calculatedColumnFormula>
    </tableColumn>
    <tableColumn id="196" xr3:uid="{88813F0B-A146-4432-8116-050CDECB2005}" name="cost_repair_rating5" dataDxfId="86">
      <calculatedColumnFormula>Sheet4!V32*$GF2*1000000</calculatedColumnFormula>
    </tableColumn>
    <tableColumn id="197" xr3:uid="{9FB00C3C-A94F-4040-A7C1-B8E4C7CEA1DD}" name="cost_repair_rating6" dataDxfId="85">
      <calculatedColumnFormula>Sheet4!W32*$GF2*1000000</calculatedColumnFormula>
    </tableColumn>
    <tableColumn id="198" xr3:uid="{9FDD1F44-8D01-41EA-9A71-5BB299D4F1AA}" name="cost_repair_rating7" dataDxfId="84"/>
    <tableColumn id="199" xr3:uid="{10626AAC-04DB-4C50-B011-C8BA6188BA21}" name="cost_repair_rating8" dataDxfId="83"/>
    <tableColumn id="200" xr3:uid="{6F2CACA8-518C-4A50-9059-6CAC5F30E023}" name="cost_repair_rating9" dataDxfId="82"/>
    <tableColumn id="201" xr3:uid="{BE8E1DDD-F4D3-4052-BCEC-6FDB5DC532B5}" name="prob500-failure_rating1" dataDxfId="81"/>
    <tableColumn id="202" xr3:uid="{D03FC654-2CF2-4D14-A69E-8655212ED3A7}" name="prob500-failure_rating2" dataDxfId="80"/>
    <tableColumn id="203" xr3:uid="{A65035FA-5448-4882-B590-0A9EF8F2EC01}" name="prob500-failure_rating3" dataDxfId="79"/>
    <tableColumn id="204" xr3:uid="{D762CDE8-339A-45B3-AEFF-C4A94D7160D6}" name="prob500-failure_rating4" dataDxfId="78"/>
    <tableColumn id="205" xr3:uid="{B0A92526-7E0F-423C-81A3-EA985D208B84}" name="prob500-failure_rating5" dataDxfId="77"/>
    <tableColumn id="206" xr3:uid="{9C0F7340-0984-4562-8734-4FEF09CC6084}" name="prob500-failure_rating6" dataDxfId="76"/>
    <tableColumn id="207" xr3:uid="{4735154E-EC4A-4C8B-9411-15346684FFAE}" name="prob500-failure_rating7" dataDxfId="75"/>
    <tableColumn id="208" xr3:uid="{8F2EB755-F8F7-40C3-A3B1-1E07CDFC98CC}" name="prob500-failure_rating8" dataDxfId="74"/>
    <tableColumn id="209" xr3:uid="{0882DACB-5046-4C32-8C85-2D3AA1A1D780}" name="prob500-failure_rating9" dataDxfId="73"/>
    <tableColumn id="210" xr3:uid="{D13F3364-5016-4837-A89A-1C201475124B}" name="prob100-failure_rating1" dataDxfId="72"/>
    <tableColumn id="211" xr3:uid="{ACEA4D98-1CFF-4BB4-B7A8-1D6A9326A643}" name="prob100-failure_rating2" dataDxfId="71"/>
    <tableColumn id="212" xr3:uid="{F36D4710-5CD2-4010-AE25-5FA6DF247D7D}" name="prob100-failure_rating3" dataDxfId="70"/>
    <tableColumn id="213" xr3:uid="{24C3012A-513D-40FC-9EDC-7CF684CDB121}" name="prob100-failure_rating4" dataDxfId="69"/>
    <tableColumn id="214" xr3:uid="{EAA37D1B-3822-49BD-B8C3-2712A2A92796}" name="prob100-failure_rating5" dataDxfId="68"/>
    <tableColumn id="215" xr3:uid="{1F116FA5-3AEC-4888-A70D-75CD5AB76E93}" name="prob100-failure_rating6" dataDxfId="67"/>
    <tableColumn id="216" xr3:uid="{7820E90E-9D95-4953-9888-C613B868958B}" name="prob100-failure_rating7" dataDxfId="66"/>
    <tableColumn id="217" xr3:uid="{FDEDD439-55D5-4038-BF96-072F662700D1}" name="prob100-failure_rating8" dataDxfId="65"/>
    <tableColumn id="218" xr3:uid="{58A55F3A-6294-4D66-855F-57CD8EFD2398}" name="prob100-failure_rating9" dataDxfId="64"/>
    <tableColumn id="219" xr3:uid="{E37D0089-3A0D-47A5-A501-ECB08EAE6F8F}" name="prob50-failure_rating1" dataDxfId="63"/>
    <tableColumn id="220" xr3:uid="{760AED2B-443B-45C1-B6EA-6035E845D3CD}" name="prob50-failure_rating2" dataDxfId="62"/>
    <tableColumn id="221" xr3:uid="{7C8B346A-60FC-45FC-A311-A518E44A0669}" name="prob50-failure_rating3" dataDxfId="61"/>
    <tableColumn id="222" xr3:uid="{1E167001-8B6E-4AF4-B857-86AD1F589D8E}" name="prob50-failure_rating4" dataDxfId="60"/>
    <tableColumn id="223" xr3:uid="{64A20747-3CF1-456C-BF6A-A1042267C961}" name="prob50-failure_rating5" dataDxfId="59"/>
    <tableColumn id="224" xr3:uid="{EC650D9E-B037-486C-BB16-B05CED0706F0}" name="prob50-failure_rating6" dataDxfId="58"/>
    <tableColumn id="225" xr3:uid="{48461998-2C2D-45C9-AFBA-190FE041D839}" name="prob50-failure_rating7" dataDxfId="57"/>
    <tableColumn id="226" xr3:uid="{95CB750A-29A9-4D00-BB88-18959DC34099}" name="prob50-failure_rating8" dataDxfId="56"/>
    <tableColumn id="227" xr3:uid="{D426D4A0-D812-4CA7-9550-CE5F78DFEE8E}" name="prob50-failure_rating9" dataDxfId="55"/>
    <tableColumn id="228" xr3:uid="{86785137-5D39-41BE-8362-E5AE72A63111}" name="prob10-failure_rating1" dataDxfId="54"/>
    <tableColumn id="229" xr3:uid="{CD811434-D203-404E-8031-9F5772B1B12F}" name="prob10-failure_rating2" dataDxfId="53"/>
    <tableColumn id="230" xr3:uid="{6708C9BC-667E-4CB3-BB84-990434F5B887}" name="prob10-failure_rating3" dataDxfId="52"/>
    <tableColumn id="231" xr3:uid="{D44C65E8-3FD6-4FA5-8590-AC8CB2129E6F}" name="prob10-failure_rating4" dataDxfId="51"/>
    <tableColumn id="232" xr3:uid="{B518E97E-243B-4B05-850D-D6B7D65BCAB1}" name="prob10-failure_rating5" dataDxfId="50"/>
    <tableColumn id="233" xr3:uid="{06F204F8-5CDE-4086-9CCD-C462B18C9A38}" name="prob10-failure_rating6" dataDxfId="49"/>
    <tableColumn id="234" xr3:uid="{3FA0551B-1FEB-40D6-A226-24AF143A5823}" name="prob10-failure_rating7" dataDxfId="48"/>
    <tableColumn id="235" xr3:uid="{1193233A-0B53-41DD-9EDA-F1B6E0ABCCB5}" name="prob10-failure_rating8" dataDxfId="47"/>
    <tableColumn id="236" xr3:uid="{62C1EAE4-D9A4-468E-99BC-4E4B60BDEC31}" name="prob10-failure_rating9" dataDxfId="46"/>
    <tableColumn id="237" xr3:uid="{D5505FA2-B077-40B5-9D5F-B27E1E7BD575}" name="failurecost500_rating1" dataDxfId="45">
      <calculatedColumnFormula>Table1567891112131415[[#This Row],[Total_Cost_MUSD]]*1000000*Table1567891112131415[[#This Row],[prob500-failure_rating1]]/500</calculatedColumnFormula>
    </tableColumn>
    <tableColumn id="238" xr3:uid="{7CEB827E-BCD7-474D-9735-FD4C34F7EBC8}" name="failurecost500_rating2" dataDxfId="44">
      <calculatedColumnFormula>Table1567891112131415[[#This Row],[Total_Cost_MUSD]]*1000000*Table1567891112131415[[#This Row],[prob500-failure_rating2]]/500</calculatedColumnFormula>
    </tableColumn>
    <tableColumn id="239" xr3:uid="{9AF250F0-5999-4BBB-B1CE-CB4FB21549CA}" name="failurecost500_rating3" dataDxfId="43">
      <calculatedColumnFormula>Table1567891112131415[[#This Row],[Total_Cost_MUSD]]*1000000*Table1567891112131415[[#This Row],[prob500-failure_rating3]]/500</calculatedColumnFormula>
    </tableColumn>
    <tableColumn id="240" xr3:uid="{39B57E32-C914-4C5C-B605-15696ABFE315}" name="failurecost500_rating4" dataDxfId="42">
      <calculatedColumnFormula>Table1567891112131415[[#This Row],[Total_Cost_MUSD]]*1000000*Table1567891112131415[[#This Row],[prob500-failure_rating4]]/500</calculatedColumnFormula>
    </tableColumn>
    <tableColumn id="241" xr3:uid="{FA616031-046F-4597-BEE4-0D437B3042A5}" name="failurecost500_rating5" dataDxfId="41">
      <calculatedColumnFormula>Table1567891112131415[[#This Row],[Total_Cost_MUSD]]*1000000*Table1567891112131415[[#This Row],[prob500-failure_rating5]]/500</calculatedColumnFormula>
    </tableColumn>
    <tableColumn id="242" xr3:uid="{44467673-732C-4C57-8BE8-0D76E6E8CCFC}" name="failurecost500_rating6" dataDxfId="40">
      <calculatedColumnFormula>Table1567891112131415[[#This Row],[Total_Cost_MUSD]]*1000000*Table1567891112131415[[#This Row],[prob500-failure_rating6]]/500</calculatedColumnFormula>
    </tableColumn>
    <tableColumn id="243" xr3:uid="{53C54DD7-954C-4C7C-B282-0742C04D3AB2}" name="failurecost500_rating7" dataDxfId="39">
      <calculatedColumnFormula>Table1567891112131415[[#This Row],[Total_Cost_MUSD]]*1000000*Table1567891112131415[[#This Row],[prob500-failure_rating7]]/500</calculatedColumnFormula>
    </tableColumn>
    <tableColumn id="244" xr3:uid="{479A1E79-CE97-44DF-A4B6-5121A818CAC6}" name="failurecost500_rating8" dataDxfId="38">
      <calculatedColumnFormula>Table1567891112131415[[#This Row],[Total_Cost_MUSD]]*1000000*Table1567891112131415[[#This Row],[prob500-failure_rating8]]/500</calculatedColumnFormula>
    </tableColumn>
    <tableColumn id="245" xr3:uid="{78B5A051-3AA4-496E-9F01-5E23CC1651AB}" name="failurecost500_rating9" dataDxfId="37">
      <calculatedColumnFormula>Table1567891112131415[[#This Row],[Total_Cost_MUSD]]*1000000*Table1567891112131415[[#This Row],[prob500-failure_rating9]]/500</calculatedColumnFormula>
    </tableColumn>
    <tableColumn id="246" xr3:uid="{6574448B-09A2-49F9-8EF8-01270C4C59F4}" name="failurecost100_rating1" dataDxfId="36">
      <calculatedColumnFormula>Table1567891112131415[[#This Row],[Total_Cost_MUSD]]*1000000*Table1567891112131415[[#This Row],[prob100-failure_rating1]]/100</calculatedColumnFormula>
    </tableColumn>
    <tableColumn id="247" xr3:uid="{301AC510-79A1-49DD-B1BC-2C564B7FDA5C}" name="failurecost100_rating2" dataDxfId="35">
      <calculatedColumnFormula>Table1567891112131415[[#This Row],[Total_Cost_MUSD]]*1000000*Table1567891112131415[[#This Row],[prob100-failure_rating2]]/100</calculatedColumnFormula>
    </tableColumn>
    <tableColumn id="248" xr3:uid="{A1D81587-6749-4AA2-909D-EF454064079F}" name="failurecost100_rating3" dataDxfId="34">
      <calculatedColumnFormula>Table1567891112131415[[#This Row],[Total_Cost_MUSD]]*1000000*Table1567891112131415[[#This Row],[prob100-failure_rating3]]/100</calculatedColumnFormula>
    </tableColumn>
    <tableColumn id="249" xr3:uid="{68482962-1D01-4550-ACDF-C1280A808F39}" name="failurecost100_rating4" dataDxfId="33">
      <calculatedColumnFormula>Table1567891112131415[[#This Row],[Total_Cost_MUSD]]*1000000*Table1567891112131415[[#This Row],[prob100-failure_rating4]]/100</calculatedColumnFormula>
    </tableColumn>
    <tableColumn id="250" xr3:uid="{B3A10D8D-5700-4365-AD73-90DECD7D8220}" name="failurecost100_rating5" dataDxfId="32">
      <calculatedColumnFormula>Table1567891112131415[[#This Row],[Total_Cost_MUSD]]*1000000*Table1567891112131415[[#This Row],[prob100-failure_rating5]]/100</calculatedColumnFormula>
    </tableColumn>
    <tableColumn id="251" xr3:uid="{4BD065A2-D7BD-4C8E-8D3C-6674BB918593}" name="failurecost100_rating6" dataDxfId="31">
      <calculatedColumnFormula>Table1567891112131415[[#This Row],[Total_Cost_MUSD]]*1000000*Table1567891112131415[[#This Row],[prob100-failure_rating6]]/100</calculatedColumnFormula>
    </tableColumn>
    <tableColumn id="252" xr3:uid="{2169B226-5754-43F9-8632-7D164C799431}" name="failurecost100_rating7" dataDxfId="30">
      <calculatedColumnFormula>Table1567891112131415[[#This Row],[Total_Cost_MUSD]]*1000000*Table1567891112131415[[#This Row],[prob100-failure_rating7]]/100</calculatedColumnFormula>
    </tableColumn>
    <tableColumn id="253" xr3:uid="{E3D91BF4-E3E1-4489-9E0A-7C8991CA3C3E}" name="failurecost100_rating8" dataDxfId="29">
      <calculatedColumnFormula>Table1567891112131415[[#This Row],[Total_Cost_MUSD]]*1000000*Table1567891112131415[[#This Row],[prob100-failure_rating8]]/100</calculatedColumnFormula>
    </tableColumn>
    <tableColumn id="254" xr3:uid="{0C23E794-287B-4195-938D-B72AD8EC1A9F}" name="failurecost100_rating9" dataDxfId="28">
      <calculatedColumnFormula>Table1567891112131415[[#This Row],[Total_Cost_MUSD]]*1000000*Table1567891112131415[[#This Row],[prob100-failure_rating9]]/100</calculatedColumnFormula>
    </tableColumn>
    <tableColumn id="255" xr3:uid="{188228F0-6FBA-4D92-99F1-9F73B5942FC6}" name="failurecost50_rating1" dataDxfId="27">
      <calculatedColumnFormula>Table1567891112131415[[#This Row],[Total_Cost_MUSD]]*1000000*Table1567891112131415[[#This Row],[prob50-failure_rating1]]/50</calculatedColumnFormula>
    </tableColumn>
    <tableColumn id="256" xr3:uid="{CFD627B1-BFC6-4ADC-BFE6-37FFDF075EA5}" name="failurecost50_rating2" dataDxfId="26">
      <calculatedColumnFormula>Table1567891112131415[[#This Row],[Total_Cost_MUSD]]*1000000*Table1567891112131415[[#This Row],[prob50-failure_rating2]]/50</calculatedColumnFormula>
    </tableColumn>
    <tableColumn id="257" xr3:uid="{48349ED5-9158-4D78-9001-F4CF8961F7CD}" name="failurecost50_rating3" dataDxfId="25">
      <calculatedColumnFormula>Table1567891112131415[[#This Row],[Total_Cost_MUSD]]*1000000*Table1567891112131415[[#This Row],[prob50-failure_rating3]]/50</calculatedColumnFormula>
    </tableColumn>
    <tableColumn id="258" xr3:uid="{A6EE39B4-6B2A-4035-9C1D-C6559B3FC048}" name="failurecost50_rating4" dataDxfId="24">
      <calculatedColumnFormula>Table1567891112131415[[#This Row],[Total_Cost_MUSD]]*1000000*Table1567891112131415[[#This Row],[prob50-failure_rating4]]/50</calculatedColumnFormula>
    </tableColumn>
    <tableColumn id="259" xr3:uid="{B40CAD2E-AFF3-4833-8F30-F800E3ADF11B}" name="failurecost50_rating5" dataDxfId="23">
      <calculatedColumnFormula>Table1567891112131415[[#This Row],[Total_Cost_MUSD]]*1000000*Table1567891112131415[[#This Row],[prob50-failure_rating5]]/50</calculatedColumnFormula>
    </tableColumn>
    <tableColumn id="260" xr3:uid="{F2ABAC54-3BF1-4C15-8307-02A38C147644}" name="failurecost50_rating6" dataDxfId="22">
      <calculatedColumnFormula>Table1567891112131415[[#This Row],[Total_Cost_MUSD]]*1000000*Table1567891112131415[[#This Row],[prob50-failure_rating6]]/50</calculatedColumnFormula>
    </tableColumn>
    <tableColumn id="261" xr3:uid="{1E47C719-DB0D-4103-ABD4-CEC5409C72DD}" name="failurecost50_rating7" dataDxfId="21">
      <calculatedColumnFormula>Table1567891112131415[[#This Row],[Total_Cost_MUSD]]*1000000*Table1567891112131415[[#This Row],[prob50-failure_rating7]]/50</calculatedColumnFormula>
    </tableColumn>
    <tableColumn id="262" xr3:uid="{8C812C06-996A-40BF-AEA3-C6C6CD87D7DE}" name="failurecost50_rating8" dataDxfId="20">
      <calculatedColumnFormula>Table1567891112131415[[#This Row],[Total_Cost_MUSD]]*1000000*Table1567891112131415[[#This Row],[prob50-failure_rating8]]/50</calculatedColumnFormula>
    </tableColumn>
    <tableColumn id="263" xr3:uid="{49C05C81-3674-428F-B558-A9E63E3BD43F}" name="failurecost50_rating9" dataDxfId="19">
      <calculatedColumnFormula>Table1567891112131415[[#This Row],[Total_Cost_MUSD]]*1000000*Table1567891112131415[[#This Row],[prob50-failure_rating9]]/50</calculatedColumnFormula>
    </tableColumn>
    <tableColumn id="273" xr3:uid="{D234AF8C-91F9-4124-95D2-D6F96429C326}" name="failurecost10_rating1" dataDxfId="18">
      <calculatedColumnFormula>Table1567891112131415[[#This Row],[Total_Cost_MUSD]]*1000000*Table1567891112131415[[#This Row],[prob10-failure_rating1]]/10</calculatedColumnFormula>
    </tableColumn>
    <tableColumn id="274" xr3:uid="{95D42EF0-0EE3-478C-89B3-0722963DB3D8}" name="failurecost10_rating2" dataDxfId="17">
      <calculatedColumnFormula>Table1567891112131415[[#This Row],[Total_Cost_MUSD]]*1000000*Table1567891112131415[[#This Row],[prob10-failure_rating2]]/10</calculatedColumnFormula>
    </tableColumn>
    <tableColumn id="275" xr3:uid="{AC05A960-F078-4A0D-9882-151A20A658C8}" name="failurecost10_rating3" dataDxfId="16">
      <calculatedColumnFormula>Table1567891112131415[[#This Row],[Total_Cost_MUSD]]*1000000*Table1567891112131415[[#This Row],[prob10-failure_rating3]]/10</calculatedColumnFormula>
    </tableColumn>
    <tableColumn id="276" xr3:uid="{E23F7143-7F78-47DC-A97E-2AE6758F7E23}" name="failurecost10_rating4" dataDxfId="15">
      <calculatedColumnFormula>Table1567891112131415[[#This Row],[Total_Cost_MUSD]]*1000000*Table1567891112131415[[#This Row],[prob10-failure_rating4]]/10</calculatedColumnFormula>
    </tableColumn>
    <tableColumn id="277" xr3:uid="{8F6D6537-83E2-49B2-95A8-E006CC33534B}" name="failurecost10_rating5" dataDxfId="14">
      <calculatedColumnFormula>Table1567891112131415[[#This Row],[Total_Cost_MUSD]]*1000000*Table1567891112131415[[#This Row],[prob10-failure_rating5]]/10</calculatedColumnFormula>
    </tableColumn>
    <tableColumn id="278" xr3:uid="{EAF5FEC2-47C2-4026-A3D2-0E9EFC758847}" name="failurecost10_rating6" dataDxfId="13">
      <calculatedColumnFormula>Table1567891112131415[[#This Row],[Total_Cost_MUSD]]*1000000*Table1567891112131415[[#This Row],[prob10-failure_rating6]]/10</calculatedColumnFormula>
    </tableColumn>
    <tableColumn id="279" xr3:uid="{A9AE60BC-CDB0-4354-8DA5-D16A3A0F8047}" name="failurecost10_rating7" dataDxfId="12">
      <calculatedColumnFormula>Table1567891112131415[[#This Row],[Total_Cost_MUSD]]*1000000*Table1567891112131415[[#This Row],[prob10-failure_rating7]]/10</calculatedColumnFormula>
    </tableColumn>
    <tableColumn id="280" xr3:uid="{1F94F672-F9F9-4239-9AAF-7C9E9A1E8E24}" name="failurecost10_rating8" dataDxfId="11">
      <calculatedColumnFormula>Table1567891112131415[[#This Row],[Total_Cost_MUSD]]*1000000*Table1567891112131415[[#This Row],[prob10-failure_rating8]]/10</calculatedColumnFormula>
    </tableColumn>
    <tableColumn id="281" xr3:uid="{2E682BA3-3DE0-4565-BAA2-EA0F664CC4C7}" name="failurecost10_rating9" dataDxfId="10">
      <calculatedColumnFormula>Table1567891112131415[[#This Row],[Total_Cost_MUSD]]*1000000*Table1567891112131415[[#This Row],[prob10-failure_rating9]]/10</calculatedColumnFormula>
    </tableColumn>
    <tableColumn id="282" xr3:uid="{CC65833E-7B62-4DD8-81F3-BE6B1E35A896}" name="FailureCost_Rating0" dataDxfId="9">
      <calculatedColumnFormula>Table1567891112131415[[#This Row],[FailureCost_Rating1]]</calculatedColumnFormula>
    </tableColumn>
    <tableColumn id="264" xr3:uid="{99C50EB2-BCA3-4E1F-8907-78539E3A3ED9}" name="FailureCost_Rating1" dataDxfId="8">
      <calculatedColumnFormula>Table1567891112131415[[#This Row],[FailureCost_Rating2]]</calculatedColumnFormula>
    </tableColumn>
    <tableColumn id="265" xr3:uid="{07C99E83-98DC-4A23-ADC1-66FA41849E6A}" name="FailureCost_Rating2" dataDxfId="7">
      <calculatedColumnFormula>(Table1567891112131415[[#This Row],[failurecost500_rating2]]+Table1567891112131415[[#This Row],[failurecost100_rating2]]+Table1567891112131415[[#This Row],[failurecost50_rating2]]+Table1567891112131415[[#This Row],[failurecost10_rating2]])</calculatedColumnFormula>
    </tableColumn>
    <tableColumn id="266" xr3:uid="{397FEF23-181B-4565-8613-0E6E4DBA3E22}" name="FailureCost_Rating3" dataDxfId="6">
      <calculatedColumnFormula>(Table1567891112131415[[#This Row],[failurecost500_rating3]]+Table1567891112131415[[#This Row],[failurecost100_rating3]]+Table1567891112131415[[#This Row],[failurecost50_rating3]]+Table1567891112131415[[#This Row],[failurecost10_rating3]])</calculatedColumnFormula>
    </tableColumn>
    <tableColumn id="267" xr3:uid="{1302A684-285E-4F77-9752-D71868C3F973}" name="FailureCost_Rating4" dataDxfId="5">
      <calculatedColumnFormula>(Table1567891112131415[[#This Row],[failurecost500_rating4]]+Table1567891112131415[[#This Row],[failurecost100_rating4]]+Table1567891112131415[[#This Row],[failurecost50_rating4]]+Table1567891112131415[[#This Row],[failurecost10_rating4]])</calculatedColumnFormula>
    </tableColumn>
    <tableColumn id="268" xr3:uid="{C1181974-EA36-45D5-BBB4-9B686C3CF02B}" name="FailureCost_Rating5" dataDxfId="4">
      <calculatedColumnFormula>(Table1567891112131415[[#This Row],[failurecost500_rating5]]+Table1567891112131415[[#This Row],[failurecost100_rating5]]+Table1567891112131415[[#This Row],[failurecost50_rating5]]+Table1567891112131415[[#This Row],[failurecost10_rating5]])</calculatedColumnFormula>
    </tableColumn>
    <tableColumn id="269" xr3:uid="{2F4BBE29-F7E5-4BDC-B60E-1B552CE3F69D}" name="FailureCost_Rating6" dataDxfId="3">
      <calculatedColumnFormula>(Table1567891112131415[[#This Row],[failurecost500_rating6]]+Table1567891112131415[[#This Row],[failurecost100_rating6]]+Table1567891112131415[[#This Row],[failurecost50_rating6]]+Table1567891112131415[[#This Row],[failurecost10_rating6]])</calculatedColumnFormula>
    </tableColumn>
    <tableColumn id="270" xr3:uid="{EF7C0C42-0435-4D55-8ED4-831DD28EC48A}" name="FailureCost_Rating7" dataDxfId="2">
      <calculatedColumnFormula>(Table1567891112131415[[#This Row],[failurecost500_rating7]]+Table1567891112131415[[#This Row],[failurecost100_rating7]]+Table1567891112131415[[#This Row],[failurecost50_rating7]]+Table1567891112131415[[#This Row],[failurecost10_rating7]])</calculatedColumnFormula>
    </tableColumn>
    <tableColumn id="271" xr3:uid="{1E3748D8-5081-4567-A00F-02AC1FEACCF9}" name="FailureCost_Rating8" dataDxfId="1">
      <calculatedColumnFormula>(Table1567891112131415[[#This Row],[failurecost500_rating8]]+Table1567891112131415[[#This Row],[failurecost100_rating8]]+Table1567891112131415[[#This Row],[failurecost50_rating8]]+Table1567891112131415[[#This Row],[failurecost10_rating8]])</calculatedColumnFormula>
    </tableColumn>
    <tableColumn id="272" xr3:uid="{C74B170C-3B91-4446-8406-E3676272B3EB}" name="FailureCost_Rating9" dataDxfId="0">
      <calculatedColumnFormula>(Table1567891112131415[[#This Row],[failurecost500_rating9]]+Table1567891112131415[[#This Row],[failurecost100_rating9]]+Table1567891112131415[[#This Row],[failurecost50_rating9]]+Table1567891112131415[[#This Row],[failurecost10_rating9]])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96C5FF-1EA9-4673-A9A5-6BA89F61B3DA}" name="Table14" displayName="Table14" ref="A1:JU20" totalsRowShown="0" headerRowDxfId="3724" dataDxfId="3723">
  <autoFilter ref="A1:JU20" xr:uid="{1E05EA88-988A-4182-B643-40FC3C5FB242}"/>
  <tableColumns count="281">
    <tableColumn id="1" xr3:uid="{A0AD83EA-579F-44DD-9677-B6A017B8B610}" name="Number" dataDxfId="3722"/>
    <tableColumn id="2" xr3:uid="{09E32704-339E-4ED4-A07F-16E456763353}" name="Structure Name" dataDxfId="3721"/>
    <tableColumn id="3" xr3:uid="{6541A33A-45F1-4C24-84DB-8155DE46192D}" name="Body of water" dataDxfId="3720"/>
    <tableColumn id="4" xr3:uid="{A7C93F17-09FC-461A-8438-FEC5BE57DD84}" name="Lattitude" dataDxfId="3719"/>
    <tableColumn id="5" xr3:uid="{333667C5-CF85-4AE4-B96A-DE9FE9DD5AE6}" name="Longitude" dataDxfId="3718"/>
    <tableColumn id="6" xr3:uid="{6FBB1C6E-DDE7-439A-A939-540602E71C77}" name="Depth50" dataDxfId="3717"/>
    <tableColumn id="7" xr3:uid="{81EA1D07-DB3D-42AE-AC76-46A1003BC6A1}" name="Depth10" dataDxfId="3716"/>
    <tableColumn id="8" xr3:uid="{2FB883B0-A350-4C71-8C50-9AE8181DE86C}" name="Depth100" dataDxfId="3715"/>
    <tableColumn id="9" xr3:uid="{5ECB620E-8557-4FD8-B9E0-9A4900AED2E4}" name="Depth500" dataDxfId="3714"/>
    <tableColumn id="10" xr3:uid="{B77C8879-33AF-4D85-92C2-C60D3822B700}" name="Depth0_area" dataDxfId="3713"/>
    <tableColumn id="11" xr3:uid="{0007F3F0-830B-4C16-8C48-284C729718CB}" name="Depth0_wet" dataDxfId="3712"/>
    <tableColumn id="12" xr3:uid="{29227F56-9932-4548-9713-285D15B6358A}" name="Depth10_area" dataDxfId="3711"/>
    <tableColumn id="13" xr3:uid="{70EF615E-B5F1-489E-B721-59350119DCBD}" name="Depth10_wet" dataDxfId="3710"/>
    <tableColumn id="14" xr3:uid="{08ED2655-405B-4F81-AE31-AD2C0DCE672F}" name="Depth50_area" dataDxfId="3709"/>
    <tableColumn id="15" xr3:uid="{BEDDB97B-12EA-46DA-91B6-7A0AF1D8EB82}" name="Depth50_wet" dataDxfId="3708"/>
    <tableColumn id="16" xr3:uid="{D9E6E918-ABC8-498E-86EA-5F50D0451506}" name="Depth100_area" dataDxfId="3707"/>
    <tableColumn id="17" xr3:uid="{2AED584C-711D-4BEE-BB33-AC389B5DA6CC}" name="Depth100_wet" dataDxfId="3706"/>
    <tableColumn id="18" xr3:uid="{AD2263EF-D0D2-4B5E-85F9-5FD672DAA1A7}" name="Depth500_area" dataDxfId="3705"/>
    <tableColumn id="19" xr3:uid="{601A246E-1EA0-4A65-8D0F-5AA3A638E0AE}" name="Depth500_wet" dataDxfId="3704"/>
    <tableColumn id="20" xr3:uid="{1A2EC35E-43F4-45F6-AD60-0BB8ECE3C2DA}" name="Depth0_HydraulicRadius" dataDxfId="3703"/>
    <tableColumn id="21" xr3:uid="{74F54D08-9B95-42EC-B816-74386DF3ABB5}" name="Depth10_HydraulicRadius" dataDxfId="3702"/>
    <tableColumn id="22" xr3:uid="{9618AC84-CF9A-47F1-A9B8-815B85F10BE3}" name="Depth50_HydraulicRadius" dataDxfId="3701"/>
    <tableColumn id="23" xr3:uid="{7D9AAA3B-2643-45BB-9ECF-7752A7CFD204}" name="Depth100_HydraulicRadius" dataDxfId="3700"/>
    <tableColumn id="24" xr3:uid="{3ACFC5A7-DC84-4FF0-A25D-CEACD410FBA0}" name="Depth500_HydraulicRadius" dataDxfId="3699"/>
    <tableColumn id="25" xr3:uid="{4C26002F-417A-4EC6-97BA-BF91CD500DED}" name="Slope" dataDxfId="3698"/>
    <tableColumn id="26" xr3:uid="{1E074411-A7F6-482D-BFF8-7BCDCB4DB147}" name="Foundation_Depth" dataDxfId="3697"/>
    <tableColumn id="27" xr3:uid="{7F6B22B7-EE1E-45E0-82CF-DCEE8C0AE574}" name="Depth10_velocity" dataDxfId="3696"/>
    <tableColumn id="28" xr3:uid="{EDAA9621-83B0-4CDD-91BA-06EF434E54B7}" name="Depth50_velocity" dataDxfId="3695"/>
    <tableColumn id="29" xr3:uid="{181A880E-349D-40B0-A223-AF9DE5990CDA}" name="Depth100_velocity" dataDxfId="3694"/>
    <tableColumn id="30" xr3:uid="{206FAF6F-1918-40B9-AB6D-60C7D6BF3156}" name="Depth500_velocity" dataDxfId="3693"/>
    <tableColumn id="31" xr3:uid="{E202106F-89B0-4F75-8FA2-A6296EBA4415}" name="Depth10_Froud" dataDxfId="3692"/>
    <tableColumn id="32" xr3:uid="{A1B54670-FB09-4AB6-BA7E-F2792984A905}" name="Depth50_Froud" dataDxfId="3691"/>
    <tableColumn id="33" xr3:uid="{88C05B17-4EAD-48ED-8F44-FB01BAB4D1D4}" name="Depth100_Froud" dataDxfId="3690"/>
    <tableColumn id="34" xr3:uid="{444E4946-B3CB-438C-916F-5D359F688C9D}" name="Depth500_Froud" dataDxfId="3689"/>
    <tableColumn id="35" xr3:uid="{7CE7432F-B063-422F-82B9-46354D6F168E}" name="Depth10_Scour" dataDxfId="3688"/>
    <tableColumn id="36" xr3:uid="{C8955BF0-AEAC-4EE8-9BA7-EC6A2A1E31B5}" name="Depth50_Scour" dataDxfId="3687"/>
    <tableColumn id="37" xr3:uid="{576E8175-90B8-49DC-A296-15F194208EBF}" name="Depth100_Scour" dataDxfId="3686"/>
    <tableColumn id="38" xr3:uid="{294199CE-2EC4-474B-B812-381B74067379}" name="Depth500_Scour" dataDxfId="3685"/>
    <tableColumn id="39" xr3:uid="{1DD73BD7-47E1-4951-BE3A-9A3CAA7635D1}" name="Depth10_Soil_vol" dataDxfId="3684"/>
    <tableColumn id="40" xr3:uid="{BB1532E0-EF9A-4C24-8AAA-DD86DA69F001}" name="Depth50_Soil_vol" dataDxfId="3683"/>
    <tableColumn id="41" xr3:uid="{AEB536C9-36FD-4FB3-8C04-C3EC4B90E934}" name="Depth100_Soil_vol" dataDxfId="3682"/>
    <tableColumn id="42" xr3:uid="{535D77C6-9E79-4411-86C1-97A47F3E7D2C}" name="Depth500_Soil_vol" dataDxfId="3681"/>
    <tableColumn id="191" xr3:uid="{F5D840D7-ED80-496F-894E-7209F8ABA8BE}" name="Depth10_cost" dataDxfId="3680">
      <calculatedColumnFormula>Table14[[#This Row],[Depth10_Soil_vol]]*(9.353+9.027)+(Table14[[#This Row],[Depth10_Soil_vol]]/2.5)*20*1.053+(PI()*Table14[[#This Row],[Depth10_Scour]])*Table14[[#This Row],[DECK_WIDTH_MT_052]]*1.062</calculatedColumnFormula>
    </tableColumn>
    <tableColumn id="190" xr3:uid="{05BD838D-CDCD-4FAC-BDA8-5BCB4558DECB}" name="Depth50_cost" dataDxfId="3679">
      <calculatedColumnFormula>Table14[[#This Row],[Depth50_Soil_vol]]*(9.353+9.027)+(Table14[[#This Row],[Depth50_Soil_vol]]/2.5)*20*1.053+(PI()*Table14[[#This Row],[Depth50_Scour]])*Table14[[#This Row],[DECK_WIDTH_MT_052]]*1.062</calculatedColumnFormula>
    </tableColumn>
    <tableColumn id="189" xr3:uid="{6EB84C5F-D593-4835-9DEB-9C91353AC0C3}" name="Depth100_cost" dataDxfId="3678">
      <calculatedColumnFormula>Table14[[#This Row],[Depth100_Soil_vol]]*(9.353+9.027)+(Table14[[#This Row],[Depth100_Soil_vol]]/2.5)*20*1.053+(PI()*Table14[[#This Row],[Depth100_Scour]])*Table14[[#This Row],[DECK_WIDTH_MT_052]]*1.062</calculatedColumnFormula>
    </tableColumn>
    <tableColumn id="188" xr3:uid="{A47634D3-0365-4BE4-BCFC-F159A7DCC820}" name="Depth500_cost" dataDxfId="3677">
      <calculatedColumnFormula>Table14[[#This Row],[Depth500_Soil_vol]]*(9.353+9.027)+(Table14[[#This Row],[Depth500_Soil_vol]]/2.5)*20*1.053+(PI()*Table14[[#This Row],[Depth500_Scour]])*Table14[[#This Row],[DECK_WIDTH_MT_052]]*1.062</calculatedColumnFormula>
    </tableColumn>
    <tableColumn id="43" xr3:uid="{951B13D1-C531-48E8-B70D-2C673EDBABF6}" name="Foundation_Width" dataDxfId="3676"/>
    <tableColumn id="44" xr3:uid="{3805F6AD-654D-421A-94FC-030762FDD9A6}" name="Foundation_length" dataDxfId="3675"/>
    <tableColumn id="45" xr3:uid="{E89B820F-14DE-4294-B475-496D3B568D88}" name="Shape" dataDxfId="3674"/>
    <tableColumn id="46" xr3:uid="{7D46FCFB-A766-4C8C-831F-CB12F3457D58}" name="Depth10_Rating" dataDxfId="3673"/>
    <tableColumn id="47" xr3:uid="{FD0CA99C-F994-4995-8A19-30A6ECAD80C6}" name="Depth50_Rating" dataDxfId="3672"/>
    <tableColumn id="48" xr3:uid="{C4250FE3-BE3E-4702-8B78-72C5D55CE347}" name="Depth100_Rating" dataDxfId="3671"/>
    <tableColumn id="49" xr3:uid="{146EF8E4-CD74-4BB4-AAED-E512DD86C224}" name="Depth500_Rating" dataDxfId="3670"/>
    <tableColumn id="50" xr3:uid="{666528A8-10C0-4D0A-BA10-D7A9655DC93B}" name="STATE_CODE_001" dataDxfId="3669"/>
    <tableColumn id="51" xr3:uid="{C1CABB32-D354-436C-97E6-CDCE9137036D}" name="STRUCTURE_NUMBER_008" dataDxfId="3668"/>
    <tableColumn id="52" xr3:uid="{E662FFF3-5943-45DF-9289-517B24964F30}" name="LAT_016" dataDxfId="3667"/>
    <tableColumn id="53" xr3:uid="{199087D2-0FA1-45C5-B6FD-89F95CEFA934}" name="LONG_017" dataDxfId="3666"/>
    <tableColumn id="54" xr3:uid="{642EC9AD-9285-4D86-804D-2307D08C4619}" name="RECORD_TYPE_005A" dataDxfId="3665"/>
    <tableColumn id="55" xr3:uid="{67E708A4-DBEC-4AB2-98DE-632184CE842F}" name="ROUTE_PREFIX_005B" dataDxfId="3664"/>
    <tableColumn id="56" xr3:uid="{AFCF29A9-F014-438D-955F-CBC6398EEA88}" name="SERVICE_LEVEL_005C" dataDxfId="3663"/>
    <tableColumn id="57" xr3:uid="{E96A4AAC-155D-43E8-9771-CDF44953C861}" name="ROUTE_NUMBER_005D" dataDxfId="3662"/>
    <tableColumn id="58" xr3:uid="{2FD88E5C-5CD4-469B-9955-727E13232E33}" name="DIRECTION_005E" dataDxfId="3661"/>
    <tableColumn id="59" xr3:uid="{4316BF73-369B-470C-AAA2-2A5C10E3E876}" name="HIGHWAY_DISTRICT_002" dataDxfId="3660"/>
    <tableColumn id="60" xr3:uid="{CC3F3EF9-1A83-4BA9-8D29-D1F25EE261FB}" name="COUNTY_CODE_003" dataDxfId="3659"/>
    <tableColumn id="61" xr3:uid="{E6D530BD-F6FF-447F-A46E-C38609D5A06C}" name="PLACE_CODE_004" dataDxfId="3658"/>
    <tableColumn id="62" xr3:uid="{DAECA891-EA73-406F-BFF4-D15DDBAF6467}" name="FEATURES_DESC_006A" dataDxfId="3657"/>
    <tableColumn id="63" xr3:uid="{6A5C5ADD-6A6C-45EA-94E3-D9D18363B6F7}" name="CRITICAL_FACILITY_006B" dataDxfId="3656"/>
    <tableColumn id="64" xr3:uid="{D438A4D9-8E6C-47DE-A0CF-1D7D7463EF47}" name="FACILITY_CARRIED_007" dataDxfId="3655"/>
    <tableColumn id="65" xr3:uid="{8AFD6806-855C-401B-B79A-D136F8E62C98}" name="LOCATION_009" dataDxfId="3654"/>
    <tableColumn id="66" xr3:uid="{B827C4F5-7BB3-40CA-92FF-3CA45BB259F4}" name="MIN_VERT_CLR_010" dataDxfId="3653"/>
    <tableColumn id="67" xr3:uid="{B7D99AC9-0690-41E8-88CC-6D5FEAA88EAD}" name="KILOPOINT_011" dataDxfId="3652"/>
    <tableColumn id="68" xr3:uid="{583D93E7-0D0C-423A-AB4B-F83EBD165771}" name="BASE_HWY_NETWORK_012" dataDxfId="3651"/>
    <tableColumn id="69" xr3:uid="{FFAA9F7A-70B4-4AA5-B12D-08EF59B591A1}" name="LRS_INV_ROUTE_013A" dataDxfId="3650"/>
    <tableColumn id="70" xr3:uid="{F7E24D11-2FCE-4FBC-BB8B-6A5232107B2B}" name="SUBROUTE_NO_013B" dataDxfId="3649"/>
    <tableColumn id="71" xr3:uid="{B2927E9C-6E37-411E-AD85-1A6058D55D56}" name="DETOUR_KILOS_019" dataDxfId="3648"/>
    <tableColumn id="72" xr3:uid="{122A0056-5633-4872-BD8D-7B6DEFD5288E}" name="TOLL_020" dataDxfId="3647"/>
    <tableColumn id="73" xr3:uid="{E961B0E0-EC37-4B54-ADB1-E841BBD40556}" name="MAINTENANCE_021" dataDxfId="3646"/>
    <tableColumn id="74" xr3:uid="{7EFC22D5-EA29-4DA9-80F9-175F64A45ADA}" name="OWNER_022" dataDxfId="3645"/>
    <tableColumn id="75" xr3:uid="{94C255A1-CA0D-4706-967C-E4C525017C69}" name="FUNCTIONAL_CLASS_026" dataDxfId="3644"/>
    <tableColumn id="76" xr3:uid="{A33AADC4-4D84-4E82-8C5E-D29F6C4B5D5F}" name="YEAR_BUILT_027" dataDxfId="3643"/>
    <tableColumn id="77" xr3:uid="{E0EFD365-2CD3-4532-A949-8E40E06F7272}" name="TRAFFIC_LANES_ON_028A" dataDxfId="3642"/>
    <tableColumn id="78" xr3:uid="{2F23364D-9903-4E41-81CD-9EF378643A8A}" name="TRAFFIC_LANES_UND_028B" dataDxfId="3641"/>
    <tableColumn id="79" xr3:uid="{95545FDB-F799-4A6C-877B-F205E94DCA83}" name="ADT_029" dataDxfId="3640"/>
    <tableColumn id="80" xr3:uid="{48E9BC75-FC6D-4117-ADD4-ED46DBC0368C}" name="YEAR_ADT_030" dataDxfId="3639"/>
    <tableColumn id="81" xr3:uid="{6BDD31B1-2882-4A09-A297-DCF9971D68C7}" name="DESIGN_LOAD_031" dataDxfId="3638"/>
    <tableColumn id="82" xr3:uid="{056E20B7-CDEB-4623-B922-19B1D32B2A3A}" name="APPR_WIDTH_MT_032" dataDxfId="3637"/>
    <tableColumn id="83" xr3:uid="{14F54455-BFEE-47E9-BBBF-8350B08DB05C}" name="MEDIAN_CODE_033" dataDxfId="3636"/>
    <tableColumn id="84" xr3:uid="{D2773139-145D-4901-9E88-FAFA6B8FD45F}" name="DEGREES_SKEW_034" dataDxfId="3635"/>
    <tableColumn id="85" xr3:uid="{58A53F87-1656-4EAC-9D6D-1E1764DA2651}" name="STRUCTURE_FLARED_035" dataDxfId="3634"/>
    <tableColumn id="86" xr3:uid="{B8D99817-1836-42AA-9105-D1C77E858D53}" name="RAILINGS_036A" dataDxfId="3633"/>
    <tableColumn id="87" xr3:uid="{D6A9DD55-F10A-4F25-B77C-F1765C91897B}" name="TRANSITIONS_036B" dataDxfId="3632"/>
    <tableColumn id="88" xr3:uid="{991F92B5-1D98-440B-908C-37FC7349A86E}" name="APPR_RAIL_036C" dataDxfId="3631"/>
    <tableColumn id="89" xr3:uid="{DC75605D-0949-443F-A30E-F14225AEEEF2}" name="APPR_RAIL_END_036D" dataDxfId="3630"/>
    <tableColumn id="90" xr3:uid="{3F2C20CE-B733-4BE4-9CB6-DCE33B6FD6F3}" name="HISTORY_037" dataDxfId="3629"/>
    <tableColumn id="91" xr3:uid="{C836C16B-2EE1-485F-8580-E64ABED31C14}" name="NAVIGATION_038" dataDxfId="3628"/>
    <tableColumn id="92" xr3:uid="{083B9356-DBB5-40F8-90E8-A0C5E65F148D}" name="NAV_VERT_CLR_MT_039" dataDxfId="3627"/>
    <tableColumn id="93" xr3:uid="{AD94891B-E7E3-40F9-B4B2-788046C52971}" name="NAV_HORR_CLR_MT_040" dataDxfId="3626"/>
    <tableColumn id="94" xr3:uid="{6E39112A-8F08-4E5F-8028-3C20396ECDB6}" name="OPEN_CLOSED_POSTED_041" dataDxfId="3625"/>
    <tableColumn id="95" xr3:uid="{89672D52-F9E7-4E9C-8120-4F601FFB7288}" name="SERVICE_ON_042A" dataDxfId="3624"/>
    <tableColumn id="96" xr3:uid="{2521702B-B2B3-47F6-90C8-3D7E7946AA08}" name="SERVICE_UND_042B" dataDxfId="3623"/>
    <tableColumn id="97" xr3:uid="{38FAFE34-F486-4EEB-90A9-8B0846542E95}" name="STRUCTURE_KIND_043A" dataDxfId="3622"/>
    <tableColumn id="98" xr3:uid="{37A8B94C-FB47-4995-BE95-2B47792F8BCB}" name="STRUCTURE_TYPE_043B" dataDxfId="3621"/>
    <tableColumn id="99" xr3:uid="{4E9663C9-CD33-45A8-AE2E-F9478413B4C5}" name="APPR_KIND_044A" dataDxfId="3620"/>
    <tableColumn id="100" xr3:uid="{83E2EC03-654D-4681-9F12-FEEA0994FD1E}" name="APPR_TYPE_044B" dataDxfId="3619"/>
    <tableColumn id="101" xr3:uid="{5C6879F7-ACA0-4DB8-B713-FC6169C49655}" name="MAIN_UNIT_SPANS_045" dataDxfId="3618"/>
    <tableColumn id="102" xr3:uid="{F9CBFAED-A3BF-4AD0-B405-C73FBDEBAEFD}" name="APPR_SPANS_046" dataDxfId="3617"/>
    <tableColumn id="103" xr3:uid="{DBD2AA76-7418-4006-B0C3-E6A6F174FC42}" name="HORR_CLR_MT_047" dataDxfId="3616"/>
    <tableColumn id="104" xr3:uid="{98432CDD-C383-4697-86AE-1E6BA8C275FC}" name="MAX_SPAN_LEN_MT_048" dataDxfId="3615"/>
    <tableColumn id="105" xr3:uid="{256E9C31-819E-4353-8F46-F7F6265F1B31}" name="STRUCTURE_LEN_MT_049" dataDxfId="3614"/>
    <tableColumn id="106" xr3:uid="{98DEB0D8-C668-4046-8F02-999F05EF77A9}" name="LEFT_CURB_MT_050A" dataDxfId="3613"/>
    <tableColumn id="107" xr3:uid="{64D27801-DAFC-4147-A49E-1CFBC0B34AAE}" name="RIGHT_CURB_MT_050B" dataDxfId="3612"/>
    <tableColumn id="108" xr3:uid="{2D9F045D-D9F2-4B96-A8F6-D6EB2866F233}" name="ROADWAY_WIDTH_MT_051" dataDxfId="3611"/>
    <tableColumn id="109" xr3:uid="{DA00D8E7-A604-47D2-B602-112E0892DC22}" name="DECK_WIDTH_MT_052" dataDxfId="3610"/>
    <tableColumn id="110" xr3:uid="{3B369E18-FB3A-4A4F-9C3F-4A93030E2125}" name="VERT_CLR_OVER_MT_053" dataDxfId="3609"/>
    <tableColumn id="111" xr3:uid="{8B08C2B1-DF24-450F-B38C-3BD8E63AF506}" name="VERT_CLR_UND_REF_054A" dataDxfId="3608"/>
    <tableColumn id="112" xr3:uid="{F14E5A9A-3E0F-4A0D-A5CD-F46AC5FC2392}" name="VERT_CLR_UND_054B" dataDxfId="3607"/>
    <tableColumn id="113" xr3:uid="{D4D292E2-D33F-4322-B872-1005DE327610}" name="LAT_UND_REF_055A" dataDxfId="3606"/>
    <tableColumn id="114" xr3:uid="{A33D556F-411F-4159-A94B-9260FD7B7864}" name="LAT_UND_MT_055B" dataDxfId="3605"/>
    <tableColumn id="115" xr3:uid="{95A7A02C-D9DA-428F-8007-ABCD67D7C4C4}" name="LEFT_LAT_UND_MT_056" dataDxfId="3604"/>
    <tableColumn id="116" xr3:uid="{107D6449-53D9-4479-98B6-0FBE16392AB9}" name="DECK_COND_058" dataDxfId="3603"/>
    <tableColumn id="117" xr3:uid="{5BCD8E0E-6C90-46F6-BCF9-369107542FDD}" name="SUPERSTRUCTURE_COND_059" dataDxfId="3602"/>
    <tableColumn id="118" xr3:uid="{149E1C6E-B52C-4988-BD95-FBF32F60BF47}" name="SUBSTRUCTURE_COND_060" dataDxfId="3601"/>
    <tableColumn id="119" xr3:uid="{C5B8288E-5FA6-46DB-AC81-B7322A18C976}" name="CHANNEL_COND_061" dataDxfId="3600"/>
    <tableColumn id="120" xr3:uid="{D74169C6-664F-4D80-893A-29A2C4E78AE4}" name="CULVERT_COND_062" dataDxfId="3599"/>
    <tableColumn id="121" xr3:uid="{FA0C12B9-DB59-45E9-A5CC-C691EB30B38F}" name="OPR_RATING_METH_063" dataDxfId="3598"/>
    <tableColumn id="122" xr3:uid="{FBD658C8-0F72-4E31-9D1F-B0E9FF78DA46}" name="OPERATING_RATING_064" dataDxfId="3597"/>
    <tableColumn id="123" xr3:uid="{4B5C71D3-9945-4358-80D6-D1251F093C5E}" name="INV_RATING_METH_065" dataDxfId="3596"/>
    <tableColumn id="124" xr3:uid="{681BA469-0521-47F0-89C5-6888E2C977FC}" name="INVENTORY_RATING_066" dataDxfId="3595"/>
    <tableColumn id="125" xr3:uid="{5EB67AF2-845F-4F40-8BE6-9331B6696D9D}" name="STRUCTURAL_EVAL_067" dataDxfId="3594"/>
    <tableColumn id="126" xr3:uid="{70306D37-6E4C-4313-9476-5ED05D10FD6C}" name="DECK_GEOMETRY_EVAL_068" dataDxfId="3593"/>
    <tableColumn id="127" xr3:uid="{2E273171-5744-4A6B-8276-8E7F7AFA53C8}" name="UNDCLRENCE_EVAL_069" dataDxfId="3592"/>
    <tableColumn id="128" xr3:uid="{35919236-6983-4C07-929B-4C5B7A653291}" name="POSTING_EVAL_070" dataDxfId="3591"/>
    <tableColumn id="129" xr3:uid="{F54E4D63-EA9A-4DB0-A30F-5074397B61A9}" name="WATERWAY_EVAL_071" dataDxfId="3590"/>
    <tableColumn id="130" xr3:uid="{13F06F2B-1FF6-44BA-86AD-2C0C82B9467A}" name="APPR_ROAD_EVAL_072" dataDxfId="3589"/>
    <tableColumn id="131" xr3:uid="{95333FB0-9FF9-4295-8898-DAC5D161BAF0}" name="WORK_PROPOSED_075A" dataDxfId="3588"/>
    <tableColumn id="132" xr3:uid="{400F7B03-36FF-4754-B8CB-8B1D5659494D}" name="WORK_DONE_BY_075B" dataDxfId="3587"/>
    <tableColumn id="133" xr3:uid="{01F86346-52F8-40E7-BD05-315332A7AFC2}" name="IMP_LEN_MT_076" dataDxfId="3586"/>
    <tableColumn id="134" xr3:uid="{95DAD595-7E7D-4DA5-B257-4B8B0C0B68D2}" name="DATE_OF_INSPECT_090" dataDxfId="3585"/>
    <tableColumn id="135" xr3:uid="{B57A0CC3-ED0E-44A1-AEEF-EA8FD989F757}" name="INSPECT_FREQ_MONTHS_091" dataDxfId="3584"/>
    <tableColumn id="136" xr3:uid="{FAABB1BD-626C-4A7C-AE40-C4A056701BA8}" name="FRACTURE_092A" dataDxfId="3583"/>
    <tableColumn id="137" xr3:uid="{CC2C0CF4-2533-4763-90F4-B7A063EC8C8D}" name="UNDWATER_LOOK_SEE_092B" dataDxfId="3582"/>
    <tableColumn id="138" xr3:uid="{F133C2F1-76C3-453C-B126-1F605D64A569}" name="SPEC_INSPECT_092C" dataDxfId="3581"/>
    <tableColumn id="139" xr3:uid="{91E19355-962E-4498-9336-FFD3CB31E6B6}" name="FRACTURE_LAST_DATE_093A" dataDxfId="3580"/>
    <tableColumn id="140" xr3:uid="{857B3D02-49EB-4557-8031-0B12A1828FD0}" name="UNDWATER_LAST_DATE_093B" dataDxfId="3579"/>
    <tableColumn id="141" xr3:uid="{2D6E27EF-1201-4615-856B-27B31B5736E0}" name="SPEC_LAST_DATE_093C" dataDxfId="3578"/>
    <tableColumn id="142" xr3:uid="{E621A1AB-CD84-4ECC-8A89-FA40386D7CA2}" name="BRIDGE_IMP_COST_094" dataDxfId="3577"/>
    <tableColumn id="143" xr3:uid="{C177C87C-C1BE-4AB3-AA4B-4BBF1E670DD9}" name="ROADWAY_IMP_COST_095" dataDxfId="3576"/>
    <tableColumn id="144" xr3:uid="{C877F1FE-7685-41FF-8AC3-FCEB82CABFAC}" name="TOTAL_IMP_COST_096" dataDxfId="3575"/>
    <tableColumn id="145" xr3:uid="{38F4988A-AAFD-45B2-9ED6-7A5ABBF52430}" name="YEAR_OF_IMP_097" dataDxfId="3574"/>
    <tableColumn id="146" xr3:uid="{64B2730B-63DF-4EEB-ABF1-7370F0C9EDC5}" name="OTHER_STATE_CODE_098A" dataDxfId="3573"/>
    <tableColumn id="147" xr3:uid="{14D37C5B-5F0B-40B9-8902-5B754614B960}" name="OTHER_STATE_PCNT_098B" dataDxfId="3572"/>
    <tableColumn id="148" xr3:uid="{26EDACF7-19A0-4492-927B-283EC7C0BD20}" name="OTHR_STATE_STRUC_NO_099" dataDxfId="3571"/>
    <tableColumn id="149" xr3:uid="{2A42D23B-8DE0-4ED3-A221-1CF753006C6F}" name="STRAHNET_HIGHWAY_100" dataDxfId="3570"/>
    <tableColumn id="150" xr3:uid="{C40DFAB9-90A5-44CB-BD7D-C927CB72B52F}" name="PARALLEL_STRUCTURE_101" dataDxfId="3569"/>
    <tableColumn id="151" xr3:uid="{48B2D964-4999-497C-9CAA-B13869FD1084}" name="TRAFFIC_DIRECTION_102" dataDxfId="3568"/>
    <tableColumn id="152" xr3:uid="{90EE9B5D-F828-4D52-8764-4FC79845D6AD}" name="TEMP_STRUCTURE_103" dataDxfId="3567"/>
    <tableColumn id="153" xr3:uid="{95EC24F6-F06D-40E0-8F1D-BB9B8506C3E0}" name="HIGHWAY_SYSTEM_104" dataDxfId="3566"/>
    <tableColumn id="154" xr3:uid="{70B3D240-16D3-47FF-90C3-D895D61A0BE8}" name="FEDERAL_LANDS_105" dataDxfId="3565"/>
    <tableColumn id="155" xr3:uid="{71AF67A2-66FC-4D50-9CA9-A733855E54C9}" name="YEAR_RECONSTRUCTED_106" dataDxfId="3564"/>
    <tableColumn id="156" xr3:uid="{D011D562-9346-4217-AC61-576FEC5A3462}" name="DECK_STRUCTURE_TYPE_107" dataDxfId="3563"/>
    <tableColumn id="157" xr3:uid="{FDB402AF-ACD0-4A5D-AEE3-B40C3E840C39}" name="SURFACE_TYPE_108A" dataDxfId="3562"/>
    <tableColumn id="158" xr3:uid="{84D5D2FF-D0E5-4F06-BF4F-BF01B19F49EF}" name="MEMBRANE_TYPE_108B" dataDxfId="3561"/>
    <tableColumn id="159" xr3:uid="{C38FCA63-49C1-477C-A3AF-72C2F98CD1CD}" name="DECK_PROTECTION_108C" dataDxfId="3560"/>
    <tableColumn id="160" xr3:uid="{FA52C2C0-B7EF-40E9-A434-F3D4EC5F825D}" name="PERCENT_ADT_TRUCK_109" dataDxfId="3559"/>
    <tableColumn id="161" xr3:uid="{95D9FE4F-8384-4406-AE91-5F92B1E80C0A}" name="NATIONAL_NETWORK_110" dataDxfId="3558"/>
    <tableColumn id="162" xr3:uid="{917BFBEF-6163-45DA-853E-2B63DA210CD3}" name="PIER_PROTECTION_111" dataDxfId="3557"/>
    <tableColumn id="163" xr3:uid="{8DA0F417-CE8B-4A66-BC9F-26FCCEBF06B9}" name="BRIDGE_LEN_IND_112" dataDxfId="3556"/>
    <tableColumn id="164" xr3:uid="{A81F004B-045D-4156-BFDD-5289A6635F47}" name="SCOUR_CRITICAL_113" dataDxfId="3555"/>
    <tableColumn id="165" xr3:uid="{95FFCD07-D46D-496D-8A1E-8FA3AA6F8411}" name="FUTURE_ADT_114" dataDxfId="3554"/>
    <tableColumn id="166" xr3:uid="{0C564D01-ADF7-4CC5-87DE-BDB9B5FCC283}" name="YEAR_OF_FUTURE_ADT_115" dataDxfId="3553"/>
    <tableColumn id="167" xr3:uid="{D5A75E38-C77F-4C9A-BB84-A69F36D46B59}" name="MIN_NAV_CLR_MT_116" dataDxfId="3552"/>
    <tableColumn id="168" xr3:uid="{E6ACA5BE-555E-4CB8-94BD-101C929D1D28}" name="FED_AGENCY" dataDxfId="3551"/>
    <tableColumn id="169" xr3:uid="{6BFA9F0E-CB1D-475F-BD4C-458DFF4FD833}" name="SUBMITTED_BY" dataDxfId="3550"/>
    <tableColumn id="170" xr3:uid="{F1664FDA-AFB6-44AE-98B1-5F97CD189E9C}" name="BRIDGE_CONDITION" dataDxfId="3549"/>
    <tableColumn id="171" xr3:uid="{8BB5B5B3-FA40-48BF-BF8B-D2C853061EA7}" name="LOWEST_RATING" dataDxfId="3548"/>
    <tableColumn id="172" xr3:uid="{F6619256-E151-49A2-ADBA-EF41E0C3BCB0}" name="DECK_AREA" dataDxfId="3547"/>
    <tableColumn id="173" xr3:uid="{37091E98-3860-44C2-A780-22FFB707B7B9}" name="Detour_Duration" dataDxfId="3546"/>
    <tableColumn id="174" xr3:uid="{C0329884-E377-4FF7-889D-086173B0223E}" name="Min_Unit_Rebuilding_Cost($/ft2)" dataDxfId="3545"/>
    <tableColumn id="175" xr3:uid="{A8EFEA6C-1836-4346-9DBA-6251E67ABD04}" name="Max_Unit_Rebuilding_Cost($/ft2)2" dataDxfId="3544"/>
    <tableColumn id="176" xr3:uid="{A93E6A45-2389-47BA-80D9-18C6652F436A}" name="Cost_Multiplier_for_Early_Replacement" dataDxfId="3543"/>
    <tableColumn id="177" xr3:uid="{DC89E21E-1721-4A09-BF4D-F7E605B4BBB7}" name="Assumed_Number_of_Lives_Lost_in_Bridge_Failure" dataDxfId="3542"/>
    <tableColumn id="178" xr3:uid="{2195E99E-1FFD-472E-8658-8A8ACD8ACD4E}" name="HYRISK_Cost_of_Faliure_term1" dataDxfId="3541"/>
    <tableColumn id="179" xr3:uid="{8D9E382D-747F-498C-B940-342C5B20C9FF}" name="HYRISK_Cost_of_Faliure_term2" dataDxfId="3540"/>
    <tableColumn id="180" xr3:uid="{E9D4FE13-2FE3-4370-A8DE-D22A7BE52A0C}" name="HYRISK_Cost_of_Faliure_term3" dataDxfId="3539"/>
    <tableColumn id="181" xr3:uid="{7E5AE8EF-C301-4893-8B42-21F2B6F96E2A}" name="HYRISK_Cost_of_Faliure_term4" dataDxfId="3538"/>
    <tableColumn id="182" xr3:uid="{77B85123-D4E6-4741-9452-98106599EB44}" name="Total_Cost_MUSD" dataDxfId="3537"/>
    <tableColumn id="186" xr3:uid="{FEC7ECCF-C3FC-4A79-813F-50FBC1F20B26}" name="Hazus_Failure_Prob_10" dataDxfId="3536"/>
    <tableColumn id="185" xr3:uid="{E4D80005-7B96-4DDE-ADD7-93954E76CEBF}" name="Hazus_Failure_Prob_50" dataDxfId="3535"/>
    <tableColumn id="184" xr3:uid="{0A1FC0EB-C5AA-48B7-9DBD-6B98BB76AFB7}" name="Hazus_Failure_Prob_100" dataDxfId="3534"/>
    <tableColumn id="183" xr3:uid="{2914B485-549D-43E5-AF64-D8EFAA874540}" name="Hazus_Failure_Prob_500" dataDxfId="3533"/>
    <tableColumn id="187" xr3:uid="{56A9F40C-7AB2-4F98-BA0C-A5AFA6167D87}" name="Current_rating" dataDxfId="3532"/>
    <tableColumn id="192" xr3:uid="{49A863FF-C71C-432C-BA91-467D2BB4931B}" name="cost_repair_rating1" dataDxfId="3531">
      <calculatedColumnFormula>((Table14[[#This Row],[Foundation_Depth]])^2)*(PI()/2)*Table14[[#This Row],[DECK_WIDTH_MT_052]]*(((9.353+9.027)+((Table14[[#This Row],[Foundation_Depth]])^2)*(PI()/2)*Table14[[#This Row],[DECK_WIDTH_MT_052]])/2.5)*20*1.053+(PI()*Table14[[#This Row],[Foundation_Depth]]*Table14[[#This Row],[DECK_WIDTH_MT_052]]*1.062)</calculatedColumnFormula>
    </tableColumn>
    <tableColumn id="193" xr3:uid="{ACABF0F3-F657-45D7-B0B4-A3A29E8378D9}" name="cost_repair_rating2" dataDxfId="3530"/>
    <tableColumn id="194" xr3:uid="{14C94797-164E-4C4D-BB56-96FE8C487428}" name="cost_repair_rating3" dataDxfId="3529"/>
    <tableColumn id="195" xr3:uid="{AB7FFDCD-A353-4D2B-B3F1-6655CC69BE04}" name="cost_repair_rating4" dataDxfId="3528"/>
    <tableColumn id="196" xr3:uid="{04FED1A5-166C-4689-90B9-02D5CB92CED5}" name="cost_repair_rating5" dataDxfId="3527"/>
    <tableColumn id="197" xr3:uid="{A102B5D9-3253-4623-8B4D-E5CECE87A98A}" name="cost_repair_rating6" dataDxfId="3526"/>
    <tableColumn id="198" xr3:uid="{26DF3DE9-3E0F-4837-8470-E3D3F8436EAF}" name="cost_repair_rating7" dataDxfId="3525"/>
    <tableColumn id="199" xr3:uid="{5D69C1D8-4459-4228-A362-5BDEF407B2DC}" name="cost_repair_rating8" dataDxfId="3524"/>
    <tableColumn id="200" xr3:uid="{7C063B17-089C-4B5F-9405-5AD758DA6484}" name="cost_repair_rating9" dataDxfId="3523"/>
    <tableColumn id="201" xr3:uid="{10BE17BB-556A-4829-A50D-C8CD87454D72}" name="prob500-failure_rating1" dataDxfId="3522">
      <calculatedColumnFormula>2.5/100</calculatedColumnFormula>
    </tableColumn>
    <tableColumn id="202" xr3:uid="{D0A36BB8-753E-4F65-80E2-6773F008A67B}" name="prob500-failure_rating2" dataDxfId="3521"/>
    <tableColumn id="203" xr3:uid="{7D41DA01-909D-4726-ABE1-288F43DFAEC7}" name="prob500-failure_rating3" dataDxfId="3520"/>
    <tableColumn id="204" xr3:uid="{CDA599C5-635C-4B27-90AE-FBD9FEEFD811}" name="prob500-failure_rating4" dataDxfId="3519"/>
    <tableColumn id="205" xr3:uid="{EC88F307-D76E-4A25-A7F6-B0E09A0C43D4}" name="prob500-failure_rating5" dataDxfId="3518"/>
    <tableColumn id="206" xr3:uid="{570B4080-C55B-4190-B9A9-4523313CACBD}" name="prob500-failure_rating6" dataDxfId="3517"/>
    <tableColumn id="207" xr3:uid="{76B56CCF-0A5A-4301-97D6-7E37FBC5811B}" name="prob500-failure_rating7" dataDxfId="3516"/>
    <tableColumn id="208" xr3:uid="{A53C94AC-33AF-4676-AE26-7CB41EEDB1B5}" name="prob500-failure_rating8" dataDxfId="3515"/>
    <tableColumn id="209" xr3:uid="{FC3D3004-09A8-4C8B-9DCD-5F7FC6DEB350}" name="prob500-failure_rating9" dataDxfId="3514"/>
    <tableColumn id="210" xr3:uid="{CC546176-690B-4D60-8B9F-65D72916A3FC}" name="prob100-failure_rating1" dataDxfId="3513">
      <calculatedColumnFormula>1.25/100</calculatedColumnFormula>
    </tableColumn>
    <tableColumn id="211" xr3:uid="{CBD53462-6B5E-4CDA-85E6-3F998BB78A41}" name="prob100-failure_rating2" dataDxfId="3512"/>
    <tableColumn id="212" xr3:uid="{39A3CBC5-E737-4F80-B023-64EA3B735555}" name="prob100-failure_rating3" dataDxfId="3511"/>
    <tableColumn id="213" xr3:uid="{B48165F5-261C-40CA-813A-1B6DB9BE4D7D}" name="prob100-failure_rating4" dataDxfId="3510"/>
    <tableColumn id="214" xr3:uid="{708A720E-D085-48D3-9162-69E6028479D3}" name="prob100-failure_rating5" dataDxfId="3509"/>
    <tableColumn id="215" xr3:uid="{A3B11245-083B-4527-B10B-0FA07C022D62}" name="prob100-failure_rating6" dataDxfId="3508"/>
    <tableColumn id="216" xr3:uid="{5D033677-BBB8-4077-9CE4-B1ED732B3B00}" name="prob100-failure_rating7" dataDxfId="3507"/>
    <tableColumn id="217" xr3:uid="{F05985E9-71A2-439C-8FA3-7238C8E45AE7}" name="prob100-failure_rating8" dataDxfId="3506"/>
    <tableColumn id="218" xr3:uid="{25884A5B-219D-4EC2-A4EF-6B25168210FD}" name="prob100-failure_rating9" dataDxfId="3505"/>
    <tableColumn id="219" xr3:uid="{73F9F11B-4DEF-40D9-BF78-2642351E7F93}" name="prob50-failure_rating1" dataDxfId="3504"/>
    <tableColumn id="220" xr3:uid="{F841004A-E432-4686-AD11-A29D7AFAC761}" name="prob50-failure_rating2" dataDxfId="3503"/>
    <tableColumn id="221" xr3:uid="{BB3B9175-1047-43B8-9B2B-5690AED04CF4}" name="prob50-failure_rating3" dataDxfId="3502"/>
    <tableColumn id="222" xr3:uid="{F6FC92C3-92F8-47B4-AD6E-C48167147965}" name="prob50-failure_rating4" dataDxfId="3501"/>
    <tableColumn id="223" xr3:uid="{22DCC5FA-F4A1-49E3-BD09-18638E19834F}" name="prob50-failure_rating5" dataDxfId="3500"/>
    <tableColumn id="224" xr3:uid="{448E5D99-C8D8-4EA0-8EEB-E9ADA56B74E9}" name="prob50-failure_rating6" dataDxfId="3499"/>
    <tableColumn id="225" xr3:uid="{8438AE45-ADBA-456A-97D3-A5F2757F06FD}" name="prob50-failure_rating7" dataDxfId="3498"/>
    <tableColumn id="226" xr3:uid="{E0B5F5A9-822E-454F-A75D-B17C6A5DC707}" name="prob50-failure_rating8" dataDxfId="3497"/>
    <tableColumn id="227" xr3:uid="{2A14A209-C924-41A7-9367-E0081F2CDB98}" name="prob50-failure_rating9" dataDxfId="3496"/>
    <tableColumn id="228" xr3:uid="{65E2448B-AACC-4C83-A2BD-147AAC9CBB2A}" name="prob10-failure_rating1" dataDxfId="3495"/>
    <tableColumn id="229" xr3:uid="{A64A8145-2F89-4F58-9648-8604F0D97B84}" name="prob10-failure_rating2" dataDxfId="3494"/>
    <tableColumn id="230" xr3:uid="{C10040E4-10E9-48CA-86CE-FE3EBB2AF0FE}" name="prob10-failure_rating3" dataDxfId="3493"/>
    <tableColumn id="231" xr3:uid="{55C08029-4173-4456-A263-041A3F01643B}" name="prob10-failure_rating4" dataDxfId="3492"/>
    <tableColumn id="232" xr3:uid="{F0EA16A9-A86F-4672-BFB6-945D19F1359B}" name="prob10-failure_rating5" dataDxfId="3491"/>
    <tableColumn id="233" xr3:uid="{8ADCF2AF-1520-4884-B3BB-936E27D9EB35}" name="prob10-failure_rating6" dataDxfId="3490"/>
    <tableColumn id="234" xr3:uid="{99571263-776C-42C4-8C84-9986520264FD}" name="prob10-failure_rating7" dataDxfId="3489"/>
    <tableColumn id="235" xr3:uid="{A3077A10-9266-4CC9-8244-AEC1DE2A5989}" name="prob10-failure_rating8" dataDxfId="3488"/>
    <tableColumn id="236" xr3:uid="{E954C89B-B347-4E3B-9D90-F0BA801C0061}" name="prob10-failure_rating9" dataDxfId="3487"/>
    <tableColumn id="237" xr3:uid="{595C9328-5453-42D9-934D-0003AF93F796}" name="failurecost500_rating1" dataDxfId="3486">
      <calculatedColumnFormula>Table14[[#This Row],[Total_Cost_MUSD]]*Table14[[#This Row],[prob500-failure_rating1]]*1000000/500</calculatedColumnFormula>
    </tableColumn>
    <tableColumn id="238" xr3:uid="{168911DD-BD61-4063-B0DF-96D6C122215D}" name="failurecost500_rating2" dataDxfId="3485">
      <calculatedColumnFormula>Table14[[#This Row],[Total_Cost_MUSD]]*Table14[[#This Row],[prob500-failure_rating2]]*1000000/500</calculatedColumnFormula>
    </tableColumn>
    <tableColumn id="239" xr3:uid="{E63EEAEB-453A-404D-A13F-52ED41E36AA2}" name="failurecost500_rating3" dataDxfId="3484">
      <calculatedColumnFormula>Table14[[#This Row],[Total_Cost_MUSD]]*Table14[[#This Row],[prob500-failure_rating3]]*1000000/500</calculatedColumnFormula>
    </tableColumn>
    <tableColumn id="240" xr3:uid="{0F24AF8D-3F76-476C-962B-E78F9F4843D9}" name="failurecost500_rating4" dataDxfId="3483">
      <calculatedColumnFormula>Table14[[#This Row],[Total_Cost_MUSD]]*Table14[[#This Row],[prob500-failure_rating4]]*1000000/500</calculatedColumnFormula>
    </tableColumn>
    <tableColumn id="241" xr3:uid="{14E3137F-93AD-44C6-9069-22FF1DA0A562}" name="failurecost500_rating5" dataDxfId="3482">
      <calculatedColumnFormula>Table14[[#This Row],[Total_Cost_MUSD]]*Table14[[#This Row],[prob500-failure_rating5]]*1000000/500</calculatedColumnFormula>
    </tableColumn>
    <tableColumn id="242" xr3:uid="{85C6A715-8B72-4AD2-A7FE-DEE2083AFC3F}" name="failurecost500_rating6" dataDxfId="3481">
      <calculatedColumnFormula>Table14[[#This Row],[Total_Cost_MUSD]]*Table14[[#This Row],[prob500-failure_rating6]]*1000000/500</calculatedColumnFormula>
    </tableColumn>
    <tableColumn id="243" xr3:uid="{514B14EB-9636-4F17-8235-2D5A8FAF96D2}" name="failurecost500_rating7" dataDxfId="3480">
      <calculatedColumnFormula>Table14[[#This Row],[Total_Cost_MUSD]]*Table14[[#This Row],[prob500-failure_rating7]]*1000000/500</calculatedColumnFormula>
    </tableColumn>
    <tableColumn id="244" xr3:uid="{7A99F832-C5CD-4F56-A375-61EB091B347B}" name="failurecost500_rating8" dataDxfId="3479">
      <calculatedColumnFormula>Table14[[#This Row],[Total_Cost_MUSD]]*Table14[[#This Row],[prob500-failure_rating8]]*1000000/500</calculatedColumnFormula>
    </tableColumn>
    <tableColumn id="245" xr3:uid="{ADEFA252-858D-4862-B526-016266AFCE1F}" name="failurecost500_rating9" dataDxfId="3478">
      <calculatedColumnFormula>Table14[[#This Row],[Total_Cost_MUSD]]*Table14[[#This Row],[prob500-failure_rating9]]*1000000/500</calculatedColumnFormula>
    </tableColumn>
    <tableColumn id="246" xr3:uid="{198E3526-FE03-4C74-A38E-F70348DAE86E}" name="failurecost100_rating1" dataDxfId="3477">
      <calculatedColumnFormula>Table14[[#This Row],[Total_Cost_MUSD]]*Table14[[#This Row],[prob100-failure_rating1]]*1000000/100</calculatedColumnFormula>
    </tableColumn>
    <tableColumn id="247" xr3:uid="{34DD613B-21E6-4BF0-9254-E8641B1B642C}" name="failurecost100_rating2" dataDxfId="3476">
      <calculatedColumnFormula>Table14[[#This Row],[Total_Cost_MUSD]]*Table14[[#This Row],[prob100-failure_rating2]]*1000000/100</calculatedColumnFormula>
    </tableColumn>
    <tableColumn id="248" xr3:uid="{4E23EC16-9F83-44B0-BCA8-15BD7EB93F0E}" name="failurecost100_rating3" dataDxfId="3475">
      <calculatedColumnFormula>Table14[[#This Row],[Total_Cost_MUSD]]*Table14[[#This Row],[prob100-failure_rating3]]*1000000/100</calculatedColumnFormula>
    </tableColumn>
    <tableColumn id="249" xr3:uid="{5D79B791-1A54-4A62-B6E9-A5AC048314BB}" name="failurecost100_rating4" dataDxfId="3474">
      <calculatedColumnFormula>Table14[[#This Row],[Total_Cost_MUSD]]*Table14[[#This Row],[prob100-failure_rating4]]*1000000/100</calculatedColumnFormula>
    </tableColumn>
    <tableColumn id="250" xr3:uid="{8890133F-843D-4105-9523-43B130594B79}" name="failurecost100_rating5" dataDxfId="3473">
      <calculatedColumnFormula>Table14[[#This Row],[Total_Cost_MUSD]]*Table14[[#This Row],[prob100-failure_rating5]]*1000000/100</calculatedColumnFormula>
    </tableColumn>
    <tableColumn id="251" xr3:uid="{7373DC09-D1AF-4673-A468-F60B5709BAC0}" name="failurecost100_rating6" dataDxfId="3472">
      <calculatedColumnFormula>Table14[[#This Row],[Total_Cost_MUSD]]*Table14[[#This Row],[prob100-failure_rating6]]*1000000/100</calculatedColumnFormula>
    </tableColumn>
    <tableColumn id="252" xr3:uid="{4E4CAC20-8603-4CCA-B588-F13FB40CFB2C}" name="failurecost100_rating7" dataDxfId="3471">
      <calculatedColumnFormula>Table14[[#This Row],[Total_Cost_MUSD]]*Table14[[#This Row],[prob100-failure_rating7]]*1000000/100</calculatedColumnFormula>
    </tableColumn>
    <tableColumn id="253" xr3:uid="{C22AE3F5-7744-4FDC-A36D-6B4B874958D6}" name="failurecost100_rating8" dataDxfId="3470">
      <calculatedColumnFormula>Table14[[#This Row],[Total_Cost_MUSD]]*Table14[[#This Row],[prob100-failure_rating8]]*1000000/100</calculatedColumnFormula>
    </tableColumn>
    <tableColumn id="254" xr3:uid="{1C01947D-9D20-4D2A-9608-62B8F1A1DC32}" name="failurecost100_rating9" dataDxfId="3469">
      <calculatedColumnFormula>Table14[[#This Row],[Total_Cost_MUSD]]*Table14[[#This Row],[prob100-failure_rating9]]*1000000/100</calculatedColumnFormula>
    </tableColumn>
    <tableColumn id="255" xr3:uid="{ED0A0218-68AE-4B4B-BE3F-222ABF82CB97}" name="failurecost50_rating1" dataDxfId="3468">
      <calculatedColumnFormula>Table14[[#This Row],[Total_Cost_MUSD]]*Table14[[#This Row],[prob50-failure_rating1]]*1000000/50</calculatedColumnFormula>
    </tableColumn>
    <tableColumn id="256" xr3:uid="{721E4672-8769-4D88-B35A-DF433C601A98}" name="failurecost50_rating2" dataDxfId="3467">
      <calculatedColumnFormula>Table14[[#This Row],[Total_Cost_MUSD]]*Table14[[#This Row],[prob50-failure_rating2]]*1000000/50</calculatedColumnFormula>
    </tableColumn>
    <tableColumn id="257" xr3:uid="{CF887058-6016-469C-AA1A-3EF927BB9C05}" name="failurecost50_rating3" dataDxfId="3466">
      <calculatedColumnFormula>Table14[[#This Row],[Total_Cost_MUSD]]*Table14[[#This Row],[prob50-failure_rating3]]*1000000/50</calculatedColumnFormula>
    </tableColumn>
    <tableColumn id="258" xr3:uid="{EAFBDFF1-ECCA-4B7A-AF73-AEEAE70AEAB0}" name="failurecost50_rating4" dataDxfId="3465">
      <calculatedColumnFormula>Table14[[#This Row],[Total_Cost_MUSD]]*Table14[[#This Row],[prob50-failure_rating4]]*1000000/50</calculatedColumnFormula>
    </tableColumn>
    <tableColumn id="259" xr3:uid="{C11FB41D-A65C-4DB7-AB6D-0C4D548FDAD0}" name="failurecost50_rating5" dataDxfId="3464">
      <calculatedColumnFormula>Table14[[#This Row],[Total_Cost_MUSD]]*Table14[[#This Row],[prob50-failure_rating5]]*1000000/50</calculatedColumnFormula>
    </tableColumn>
    <tableColumn id="260" xr3:uid="{C0807052-6B9E-4C70-8D9E-F02043991954}" name="failurecost50_rating6" dataDxfId="3463">
      <calculatedColumnFormula>Table14[[#This Row],[Total_Cost_MUSD]]*Table14[[#This Row],[prob50-failure_rating6]]*1000000/50</calculatedColumnFormula>
    </tableColumn>
    <tableColumn id="261" xr3:uid="{5B31715E-CEFD-45FF-9BFB-E84D27A6A458}" name="failurecost50_rating7" dataDxfId="3462">
      <calculatedColumnFormula>Table14[[#This Row],[Total_Cost_MUSD]]*Table14[[#This Row],[prob50-failure_rating7]]*1000000/50</calculatedColumnFormula>
    </tableColumn>
    <tableColumn id="262" xr3:uid="{5D5C4671-1F40-4B53-A10E-F8A0E58E8D59}" name="failurecost50_rating8" dataDxfId="3461">
      <calculatedColumnFormula>Table14[[#This Row],[Total_Cost_MUSD]]*Table14[[#This Row],[prob50-failure_rating8]]*1000000/50</calculatedColumnFormula>
    </tableColumn>
    <tableColumn id="263" xr3:uid="{DD65C2AC-257C-4CA5-A33F-B29FDBA3E7D2}" name="failurecost50_rating9" dataDxfId="3460">
      <calculatedColumnFormula>Table14[[#This Row],[Total_Cost_MUSD]]*Table14[[#This Row],[prob50-failure_rating9]]*1000000/50</calculatedColumnFormula>
    </tableColumn>
    <tableColumn id="273" xr3:uid="{3B6F2748-DB5C-47DD-A14C-FACE18308733}" name="failurecost10_rating1" dataDxfId="3459">
      <calculatedColumnFormula>Table14[[#This Row],[Total_Cost_MUSD]]*Table14[[#This Row],[prob10-failure_rating1]]*1000000/10</calculatedColumnFormula>
    </tableColumn>
    <tableColumn id="274" xr3:uid="{FA54B11D-F01E-4E9C-BA51-95AFF1DAA63C}" name="failurecost10_rating2" dataDxfId="3458">
      <calculatedColumnFormula>Table14[[#This Row],[Total_Cost_MUSD]]*Table14[[#This Row],[prob10-failure_rating2]]*1000000/10</calculatedColumnFormula>
    </tableColumn>
    <tableColumn id="275" xr3:uid="{11DC35A8-5542-4986-8C65-843FF74CB528}" name="failurecost10_rating3" dataDxfId="3457">
      <calculatedColumnFormula>Table14[[#This Row],[Total_Cost_MUSD]]*Table14[[#This Row],[prob10-failure_rating3]]*1000000/10</calculatedColumnFormula>
    </tableColumn>
    <tableColumn id="276" xr3:uid="{F406F7B8-2293-4495-9DDC-F107607CC634}" name="failurecost10_rating4" dataDxfId="3456">
      <calculatedColumnFormula>Table14[[#This Row],[Total_Cost_MUSD]]*Table14[[#This Row],[prob10-failure_rating4]]*1000000/10</calculatedColumnFormula>
    </tableColumn>
    <tableColumn id="277" xr3:uid="{51AB5D33-9383-45C8-9654-DA0CB5EE9587}" name="failurecost10_rating5" dataDxfId="3455">
      <calculatedColumnFormula>Table14[[#This Row],[Total_Cost_MUSD]]*Table14[[#This Row],[prob10-failure_rating5]]*1000000/10</calculatedColumnFormula>
    </tableColumn>
    <tableColumn id="278" xr3:uid="{845B36F8-7686-454A-B008-664DDAAE9587}" name="failurecost10_rating6" dataDxfId="3454">
      <calculatedColumnFormula>Table14[[#This Row],[Total_Cost_MUSD]]*Table14[[#This Row],[prob10-failure_rating6]]*1000000/10</calculatedColumnFormula>
    </tableColumn>
    <tableColumn id="279" xr3:uid="{32D221A8-DE33-40EE-92DE-20271EA09143}" name="failurecost10_rating7" dataDxfId="3453">
      <calculatedColumnFormula>Table14[[#This Row],[Total_Cost_MUSD]]*Table14[[#This Row],[prob10-failure_rating7]]*1000000/10</calculatedColumnFormula>
    </tableColumn>
    <tableColumn id="280" xr3:uid="{433D98B4-E597-40D1-A6E3-D7BE4F165BFC}" name="failurecost10_rating8" dataDxfId="3452">
      <calculatedColumnFormula>Table14[[#This Row],[Total_Cost_MUSD]]*Table14[[#This Row],[prob10-failure_rating8]]*1000000/10</calculatedColumnFormula>
    </tableColumn>
    <tableColumn id="281" xr3:uid="{33671F6C-C400-4162-8703-008F9C2A7597}" name="failurecost10_rating9" dataDxfId="3451">
      <calculatedColumnFormula>Table14[[#This Row],[Total_Cost_MUSD]]*Table14[[#This Row],[prob10-failure_rating9]]*1000000/10</calculatedColumnFormula>
    </tableColumn>
    <tableColumn id="264" xr3:uid="{8DB0D8DA-06C4-43A4-8B11-ED6DB6A5ADBB}" name="FailureCost_Rating1" dataDxfId="3450">
      <calculatedColumnFormula>Table14[[#This Row],[failurecost500_rating1]]+Table14[[#This Row],[failurecost100_rating1]]+Table14[[#This Row],[failurecost50_rating1]]+Table14[[#This Row],[failurecost10_rating1]]</calculatedColumnFormula>
    </tableColumn>
    <tableColumn id="265" xr3:uid="{DFED3610-6E1D-42C8-9B30-2E06F64B287A}" name="FailureCost_Rating2" dataDxfId="3449">
      <calculatedColumnFormula>Table14[[#This Row],[failurecost500_rating2]]+Table14[[#This Row],[failurecost100_rating2]]+Table14[[#This Row],[failurecost50_rating2]]+Table14[[#This Row],[failurecost10_rating2]]</calculatedColumnFormula>
    </tableColumn>
    <tableColumn id="266" xr3:uid="{2524FDB1-0883-4C7F-B674-CFEBEAB67DFC}" name="FailureCost_Rating3" dataDxfId="3448">
      <calculatedColumnFormula>Table14[[#This Row],[failurecost500_rating2]]+Table14[[#This Row],[failurecost100_rating2]]+Table14[[#This Row],[failurecost50_rating2]]+Table14[[#This Row],[failurecost10_rating2]]</calculatedColumnFormula>
    </tableColumn>
    <tableColumn id="267" xr3:uid="{DCAFE4F5-1677-4E2B-B84B-A492DDA4E695}" name="FailureCost_Rating4" dataDxfId="3447">
      <calculatedColumnFormula>Table14[[#This Row],[failurecost500_rating3]]+Table14[[#This Row],[failurecost100_rating3]]+Table14[[#This Row],[failurecost50_rating3]]+Table14[[#This Row],[failurecost10_rating3]]</calculatedColumnFormula>
    </tableColumn>
    <tableColumn id="268" xr3:uid="{D8BCABF9-13E5-4122-8754-B6F8B7BE83A5}" name="FailureCost_Rating5" dataDxfId="3446">
      <calculatedColumnFormula>Table14[[#This Row],[failurecost500_rating3]]+Table14[[#This Row],[failurecost100_rating3]]+Table14[[#This Row],[failurecost50_rating3]]+Table14[[#This Row],[failurecost10_rating3]]</calculatedColumnFormula>
    </tableColumn>
    <tableColumn id="269" xr3:uid="{80F91160-4140-4828-980D-4995B1213847}" name="FailureCost_Rating6" dataDxfId="3445">
      <calculatedColumnFormula>Table14[[#This Row],[failurecost500_rating4]]+Table14[[#This Row],[failurecost100_rating4]]+Table14[[#This Row],[failurecost50_rating4]]+Table14[[#This Row],[failurecost10_rating4]]</calculatedColumnFormula>
    </tableColumn>
    <tableColumn id="270" xr3:uid="{0336405F-26D2-44F5-856A-E96AC849F36E}" name="FailureCost_Rating7" dataDxfId="3444">
      <calculatedColumnFormula>Table14[[#This Row],[failurecost500_rating4]]+Table14[[#This Row],[failurecost100_rating4]]+Table14[[#This Row],[failurecost50_rating4]]+Table14[[#This Row],[failurecost10_rating4]]</calculatedColumnFormula>
    </tableColumn>
    <tableColumn id="271" xr3:uid="{BB55DA34-63F7-4E70-B210-EB1AA18D8BC5}" name="FailureCost_Rating8" dataDxfId="3443">
      <calculatedColumnFormula>Table14[[#This Row],[failurecost500_rating5]]+Table14[[#This Row],[failurecost100_rating5]]+Table14[[#This Row],[failurecost50_rating5]]+Table14[[#This Row],[failurecost10_rating5]]</calculatedColumnFormula>
    </tableColumn>
    <tableColumn id="272" xr3:uid="{7AE81BAE-BBCF-48D9-84DB-F4F53B5BBBAA}" name="FailureCost_Rating9" dataDxfId="3442">
      <calculatedColumnFormula>Table14[[#This Row],[failurecost500_rating5]]+Table14[[#This Row],[failurecost100_rating5]]+Table14[[#This Row],[failurecost50_rating5]]+Table14[[#This Row],[failurecost10_rating5]]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A7487-AF81-4BF1-BE74-C5749A8D9336}" name="Table13" displayName="Table13" ref="A1:JW20" totalsRowShown="0" headerRowDxfId="3441" dataDxfId="3440">
  <autoFilter ref="A1:JW20" xr:uid="{1E05EA88-988A-4182-B643-40FC3C5FB242}"/>
  <tableColumns count="283">
    <tableColumn id="1" xr3:uid="{7A7AAA66-AFAC-418D-A3EA-9318BED50B44}" name="Number" dataDxfId="3439"/>
    <tableColumn id="2" xr3:uid="{B1250957-A674-42E4-B84D-F4C41E4EBF64}" name="Structure Name" dataDxfId="3438"/>
    <tableColumn id="3" xr3:uid="{844C27A8-05BE-435F-BCC7-C8D1A067CC60}" name="Body of water" dataDxfId="3437"/>
    <tableColumn id="4" xr3:uid="{21F2FEEB-953E-48A2-B7E0-92C0CF00832F}" name="Lattitude" dataDxfId="3436"/>
    <tableColumn id="5" xr3:uid="{6B4B362A-7C96-464F-A859-49DEE61CA812}" name="Longitude" dataDxfId="3435"/>
    <tableColumn id="6" xr3:uid="{BFCA75F3-9783-4454-8C88-B901FEFE0EDA}" name="Depth50" dataDxfId="3434"/>
    <tableColumn id="7" xr3:uid="{C90FAE7D-4743-4892-B816-E2F1D0B99A63}" name="Depth10" dataDxfId="3433"/>
    <tableColumn id="8" xr3:uid="{EC235B1E-F198-46F5-8A1C-1BD8AF407C40}" name="Depth100" dataDxfId="3432"/>
    <tableColumn id="9" xr3:uid="{031F4C7E-C35A-4239-B4FF-82FD0E172DDF}" name="Depth500" dataDxfId="3431"/>
    <tableColumn id="10" xr3:uid="{D9284774-F45B-484A-A97C-AF1C81D8120A}" name="Depth0_area" dataDxfId="3430"/>
    <tableColumn id="11" xr3:uid="{3E6CCED4-483B-4CAF-86D4-98A092D455B7}" name="Depth0_wet" dataDxfId="3429"/>
    <tableColumn id="12" xr3:uid="{A8F7356A-6589-4E0D-AE5C-49374C256F1A}" name="Depth10_area" dataDxfId="3428"/>
    <tableColumn id="13" xr3:uid="{A60F0B78-A3D8-4145-8922-FD75A72F5B72}" name="Depth10_wet" dataDxfId="3427"/>
    <tableColumn id="14" xr3:uid="{ED2BEBBC-78A4-4392-845B-92D39E8C4904}" name="Depth50_area" dataDxfId="3426"/>
    <tableColumn id="15" xr3:uid="{D118908D-9556-4955-B4A1-782803C16CC8}" name="Depth50_wet" dataDxfId="3425"/>
    <tableColumn id="16" xr3:uid="{8E597651-8308-40B2-B6C1-04CB78F1C7B6}" name="Depth100_area" dataDxfId="3424"/>
    <tableColumn id="17" xr3:uid="{ACE5C77F-BDFB-4E42-96D9-E1A93F13B543}" name="Depth100_wet" dataDxfId="3423"/>
    <tableColumn id="18" xr3:uid="{5651F250-2A84-491E-B6F8-A2CD04D613BA}" name="Depth500_area" dataDxfId="3422"/>
    <tableColumn id="19" xr3:uid="{01D7544E-1A48-41F0-B3E5-921EB0F7C035}" name="Depth500_wet" dataDxfId="3421"/>
    <tableColumn id="20" xr3:uid="{1AE4C9DB-06F4-4C8D-BC15-952AAA4D18DA}" name="Depth0_HydraulicRadius" dataDxfId="3420"/>
    <tableColumn id="21" xr3:uid="{AB9DA940-AF0E-4A75-8CD7-C922FAA52B88}" name="Depth10_HydraulicRadius" dataDxfId="3419"/>
    <tableColumn id="22" xr3:uid="{D3A3D646-AF60-4267-BEDA-D28ACB51E2BF}" name="Depth50_HydraulicRadius" dataDxfId="3418"/>
    <tableColumn id="23" xr3:uid="{9898A690-0988-46A9-92B3-4BBA135F7358}" name="Depth100_HydraulicRadius" dataDxfId="3417"/>
    <tableColumn id="24" xr3:uid="{B8B760B4-1250-4B90-8CD8-FBFA54ECECDE}" name="Depth500_HydraulicRadius" dataDxfId="3416"/>
    <tableColumn id="25" xr3:uid="{405A0F00-A2D8-4FF6-BC9B-3ED95EC2558D}" name="Slope" dataDxfId="3415"/>
    <tableColumn id="26" xr3:uid="{26FAE405-12B6-4629-BBDE-190AA847FA6E}" name="Foundation_Depth" dataDxfId="3414"/>
    <tableColumn id="27" xr3:uid="{1374F3DD-6E3E-4CE2-B2BE-85EC9934A610}" name="Depth10_velocity" dataDxfId="3413"/>
    <tableColumn id="28" xr3:uid="{67A444B1-51D6-4649-AC68-9BB6E233E875}" name="Depth50_velocity" dataDxfId="3412"/>
    <tableColumn id="29" xr3:uid="{E182483E-3692-4140-B4B2-D49191198F4F}" name="Depth100_velocity" dataDxfId="3411"/>
    <tableColumn id="30" xr3:uid="{16EFF46C-D7B4-42DB-9600-0A828C771F84}" name="Depth500_velocity" dataDxfId="3410"/>
    <tableColumn id="31" xr3:uid="{A761191D-F899-44F0-848E-AE1005A3CCED}" name="Depth10_Froud" dataDxfId="3409"/>
    <tableColumn id="32" xr3:uid="{C852EE0A-AF3F-40AE-A27E-78661DC6A247}" name="Depth50_Froud" dataDxfId="3408"/>
    <tableColumn id="33" xr3:uid="{F5A92EF3-B70A-406F-9DF9-BEF2E3930EFD}" name="Depth100_Froud" dataDxfId="3407"/>
    <tableColumn id="34" xr3:uid="{DBBE393D-CB75-43CB-9580-AD47C4E576DB}" name="Depth500_Froud" dataDxfId="3406"/>
    <tableColumn id="35" xr3:uid="{9AC270DF-C3D0-45E7-B0F8-263EA813A277}" name="Depth10_Scour" dataDxfId="3405"/>
    <tableColumn id="36" xr3:uid="{5CFA50E7-73C3-4B06-9CD0-42100DA1E1A7}" name="Depth50_Scour" dataDxfId="3404"/>
    <tableColumn id="37" xr3:uid="{5BAEB64C-1022-48C8-98BC-8FDFB2E7D384}" name="Depth100_Scour" dataDxfId="3403"/>
    <tableColumn id="38" xr3:uid="{E9FDFB7C-0FAA-44BB-9E3A-C01E6A0AB663}" name="Depth500_Scour" dataDxfId="3402"/>
    <tableColumn id="39" xr3:uid="{10D9C867-0A57-429C-B02A-8B4605240F9B}" name="Depth10_Soil_vol" dataDxfId="3401"/>
    <tableColumn id="40" xr3:uid="{724A81C1-E8D1-43BC-817D-B7078BAA315E}" name="Depth50_Soil_vol" dataDxfId="3400"/>
    <tableColumn id="41" xr3:uid="{D080ECF2-BC70-49CA-96C6-CFE5373AAA96}" name="Depth100_Soil_vol" dataDxfId="3399"/>
    <tableColumn id="42" xr3:uid="{7358A9C2-659A-4152-895A-4A16C0EA5B8D}" name="Depth500_Soil_vol" dataDxfId="3398"/>
    <tableColumn id="191" xr3:uid="{26B5DEDF-0800-4E23-ABF6-38CECBEA13D2}" name="Depth10_cost" dataDxfId="3397">
      <calculatedColumnFormula>Table13[[#This Row],[Depth10_Soil_vol]]*(9.353+9.027)+(Table13[[#This Row],[Depth10_Soil_vol]]/2.5)*20*1.053+(PI()*Table13[[#This Row],[Depth10_Scour]])*Table13[[#This Row],[DECK_WIDTH_MT_052]]*1.062</calculatedColumnFormula>
    </tableColumn>
    <tableColumn id="190" xr3:uid="{55D1C7F3-0FF3-4E8F-9D30-F21D0DF79DA9}" name="Depth50_cost" dataDxfId="3396">
      <calculatedColumnFormula>Table13[[#This Row],[Depth50_Soil_vol]]*(9.353+9.027)+(Table13[[#This Row],[Depth50_Soil_vol]]/2.5)*20*1.053+(PI()*Table13[[#This Row],[Depth50_Scour]])*Table13[[#This Row],[DECK_WIDTH_MT_052]]*1.062</calculatedColumnFormula>
    </tableColumn>
    <tableColumn id="189" xr3:uid="{0E187D0B-EC75-4EF0-9852-FBE26F6D6650}" name="Depth100_cost" dataDxfId="3395">
      <calculatedColumnFormula>Table13[[#This Row],[Depth100_Soil_vol]]*(9.353+9.027)+(Table13[[#This Row],[Depth100_Soil_vol]]/2.5)*20*1.053+(PI()*Table13[[#This Row],[Depth100_Scour]])*Table13[[#This Row],[DECK_WIDTH_MT_052]]*1.062</calculatedColumnFormula>
    </tableColumn>
    <tableColumn id="188" xr3:uid="{FF9C31FA-DAA0-486F-BB47-937D3C51A023}" name="Depth500_cost" dataDxfId="3394">
      <calculatedColumnFormula>Table13[[#This Row],[Depth500_Soil_vol]]*(9.353+9.027)+(Table13[[#This Row],[Depth500_Soil_vol]]/2.5)*20*1.053+(PI()*Table13[[#This Row],[Depth500_Scour]])*Table13[[#This Row],[DECK_WIDTH_MT_052]]*1.062</calculatedColumnFormula>
    </tableColumn>
    <tableColumn id="43" xr3:uid="{2F4DF6BD-D172-49EC-9D77-F7ABA4F095E5}" name="Foundation_Width" dataDxfId="3393"/>
    <tableColumn id="44" xr3:uid="{C6A3E473-F395-45BA-A121-BDE94E55E325}" name="Foundation_length" dataDxfId="3392"/>
    <tableColumn id="45" xr3:uid="{AE74C79C-A9FD-496F-8F3E-794FCDAD244F}" name="Shape" dataDxfId="3391"/>
    <tableColumn id="46" xr3:uid="{1E4D10A6-E298-44D4-9FBC-50493D9E4360}" name="Depth10_Rating" dataDxfId="3390"/>
    <tableColumn id="47" xr3:uid="{95F621C6-A919-43BD-BABB-48F51E52CD4B}" name="Depth50_Rating" dataDxfId="3389"/>
    <tableColumn id="48" xr3:uid="{462CD995-5023-402B-922F-E3C30DA5A03D}" name="Depth100_Rating" dataDxfId="3388"/>
    <tableColumn id="49" xr3:uid="{936EEED7-C363-4278-98C4-F28CFB7C199B}" name="Depth500_Rating" dataDxfId="3387"/>
    <tableColumn id="50" xr3:uid="{CA174F78-9B2C-4398-9A99-3D31A5E3B80B}" name="STATE_CODE_001" dataDxfId="3386"/>
    <tableColumn id="51" xr3:uid="{522DC2A6-11CF-4C9F-8C60-68B19F4D813F}" name="STRUCTURE_NUMBER_008" dataDxfId="3385"/>
    <tableColumn id="52" xr3:uid="{599F37EF-7BC8-4126-9555-C59B362CEED6}" name="LAT_016" dataDxfId="3384"/>
    <tableColumn id="53" xr3:uid="{622395B6-3CEC-40AC-8C0D-E4708297F0A1}" name="LONG_017" dataDxfId="3383"/>
    <tableColumn id="54" xr3:uid="{9D62B716-8445-45A1-9AE1-D0D7E9D09D29}" name="RECORD_TYPE_005A" dataDxfId="3382"/>
    <tableColumn id="55" xr3:uid="{C4F16447-C696-4467-8C32-53CCEB469AD1}" name="ROUTE_PREFIX_005B" dataDxfId="3381"/>
    <tableColumn id="56" xr3:uid="{9DAA53E4-96A4-4C64-9B46-14CF03050B8B}" name="SERVICE_LEVEL_005C" dataDxfId="3380"/>
    <tableColumn id="57" xr3:uid="{C9906122-EE82-46CE-B580-5B1EB187C673}" name="ROUTE_NUMBER_005D" dataDxfId="3379"/>
    <tableColumn id="58" xr3:uid="{1AEAF205-E573-4EE1-A67A-A8EF70A36044}" name="DIRECTION_005E" dataDxfId="3378"/>
    <tableColumn id="59" xr3:uid="{E7E0F3AE-2DF2-4DC4-B0D7-389F58DB7BC0}" name="HIGHWAY_DISTRICT_002" dataDxfId="3377"/>
    <tableColumn id="60" xr3:uid="{E17E9F47-7E28-4C12-B6DF-E0728F106698}" name="COUNTY_CODE_003" dataDxfId="3376"/>
    <tableColumn id="61" xr3:uid="{FDE2BB7D-4DA7-4B5F-9265-21855D05F347}" name="PLACE_CODE_004" dataDxfId="3375"/>
    <tableColumn id="62" xr3:uid="{9BF20356-48F8-4132-B486-2D7924506A5F}" name="FEATURES_DESC_006A" dataDxfId="3374"/>
    <tableColumn id="63" xr3:uid="{24A7AD8B-2B6B-4732-91DF-04EE12730F43}" name="CRITICAL_FACILITY_006B" dataDxfId="3373"/>
    <tableColumn id="64" xr3:uid="{A1A8CD90-D1DB-4577-A0F6-397F27E4E390}" name="FACILITY_CARRIED_007" dataDxfId="3372"/>
    <tableColumn id="65" xr3:uid="{A853EA4D-68CD-4CAB-8469-ADDB01423627}" name="LOCATION_009" dataDxfId="3371"/>
    <tableColumn id="66" xr3:uid="{D281C4B4-8EF0-4E9D-9825-A1D662A5C266}" name="MIN_VERT_CLR_010" dataDxfId="3370"/>
    <tableColumn id="67" xr3:uid="{A7BA7E51-A15D-4FE0-960A-8ABE8AAFD2AF}" name="KILOPOINT_011" dataDxfId="3369"/>
    <tableColumn id="68" xr3:uid="{0798F3E0-22AA-463E-9024-70EB86925BAC}" name="BASE_HWY_NETWORK_012" dataDxfId="3368"/>
    <tableColumn id="69" xr3:uid="{FD4133A8-71D6-4514-A501-17F2029436A0}" name="LRS_INV_ROUTE_013A" dataDxfId="3367"/>
    <tableColumn id="70" xr3:uid="{6682D2CD-C1AF-43C6-91B9-DB25A2D9BC86}" name="SUBROUTE_NO_013B" dataDxfId="3366"/>
    <tableColumn id="71" xr3:uid="{2553E183-B5F5-4A93-B567-A6E0916F7A91}" name="DETOUR_KILOS_019" dataDxfId="3365"/>
    <tableColumn id="72" xr3:uid="{B86F95D0-382C-4941-A874-C438DFF59376}" name="TOLL_020" dataDxfId="3364"/>
    <tableColumn id="73" xr3:uid="{1D832C76-BB81-4BC1-ADBC-637B5BA90704}" name="MAINTENANCE_021" dataDxfId="3363"/>
    <tableColumn id="74" xr3:uid="{94EB910D-B028-490C-ADCC-CF0894B63856}" name="OWNER_022" dataDxfId="3362"/>
    <tableColumn id="75" xr3:uid="{2E398D8F-E3F8-4E29-90F4-28A551CC9C23}" name="FUNCTIONAL_CLASS_026" dataDxfId="3361"/>
    <tableColumn id="76" xr3:uid="{9A8AE39B-F8F8-4A23-81EA-932B04A5DB57}" name="YEAR_BUILT_027" dataDxfId="3360"/>
    <tableColumn id="77" xr3:uid="{DACA5DDB-AE10-4482-8517-81FF824E30E4}" name="TRAFFIC_LANES_ON_028A" dataDxfId="3359"/>
    <tableColumn id="78" xr3:uid="{42DD5C18-719C-4A55-93FE-B97B7F5F6615}" name="TRAFFIC_LANES_UND_028B" dataDxfId="3358"/>
    <tableColumn id="79" xr3:uid="{8A1AF3F7-AE8A-4673-BB38-2A474C92E251}" name="ADT_029" dataDxfId="3357"/>
    <tableColumn id="80" xr3:uid="{C782D77B-4B84-4A98-8F1D-8000546212AD}" name="YEAR_ADT_030" dataDxfId="3356"/>
    <tableColumn id="81" xr3:uid="{198F952B-2D6B-4351-AE70-65EE95F23B09}" name="DESIGN_LOAD_031" dataDxfId="3355"/>
    <tableColumn id="82" xr3:uid="{29919EBB-C075-4907-964F-40ABCB8AE144}" name="APPR_WIDTH_MT_032" dataDxfId="3354"/>
    <tableColumn id="83" xr3:uid="{C3F91C58-908D-42D0-93FF-A1DAAC264CB9}" name="MEDIAN_CODE_033" dataDxfId="3353"/>
    <tableColumn id="84" xr3:uid="{8C3D272C-457A-4841-A1B7-D036D880DFBE}" name="DEGREES_SKEW_034" dataDxfId="3352"/>
    <tableColumn id="85" xr3:uid="{0A42304A-9397-4874-902E-D58CB5E9341E}" name="STRUCTURE_FLARED_035" dataDxfId="3351"/>
    <tableColumn id="86" xr3:uid="{D27E558A-3CB6-4ABE-94FB-F7B5DA7D0152}" name="RAILINGS_036A" dataDxfId="3350"/>
    <tableColumn id="87" xr3:uid="{92E041E4-D7FB-45B6-A469-BB8D2FA34DDD}" name="TRANSITIONS_036B" dataDxfId="3349"/>
    <tableColumn id="88" xr3:uid="{EB7A3EE9-4674-4E0B-9427-76805CFB5453}" name="APPR_RAIL_036C" dataDxfId="3348"/>
    <tableColumn id="89" xr3:uid="{D5D50F85-F8ED-4432-BB6A-9D1DC07F1600}" name="APPR_RAIL_END_036D" dataDxfId="3347"/>
    <tableColumn id="90" xr3:uid="{2AF9813E-B96D-43FB-BC8F-8798FEA0112D}" name="HISTORY_037" dataDxfId="3346"/>
    <tableColumn id="91" xr3:uid="{B858ECCD-D82C-46DA-86EB-E25693727DE3}" name="NAVIGATION_038" dataDxfId="3345"/>
    <tableColumn id="92" xr3:uid="{683C1A6C-87F8-468E-AE46-1643CB1A45A4}" name="NAV_VERT_CLR_MT_039" dataDxfId="3344"/>
    <tableColumn id="93" xr3:uid="{5970689A-98A7-4C5A-A915-AD09D9F084A4}" name="NAV_HORR_CLR_MT_040" dataDxfId="3343"/>
    <tableColumn id="94" xr3:uid="{D7A2372C-1386-4C29-B6B4-1F68148BCFC6}" name="OPEN_CLOSED_POSTED_041" dataDxfId="3342"/>
    <tableColumn id="95" xr3:uid="{6D6B3DBF-8B18-408C-8676-8369F1205BED}" name="SERVICE_ON_042A" dataDxfId="3341"/>
    <tableColumn id="96" xr3:uid="{0EB06677-8125-405A-A3C2-69349C797C9A}" name="SERVICE_UND_042B" dataDxfId="3340"/>
    <tableColumn id="97" xr3:uid="{32E3C5B1-FD97-45EF-A76C-B56BCE5F54F6}" name="STRUCTURE_KIND_043A" dataDxfId="3339"/>
    <tableColumn id="98" xr3:uid="{BD52FEB1-FC31-4304-96A7-547D3E7F5DF5}" name="STRUCTURE_TYPE_043B" dataDxfId="3338"/>
    <tableColumn id="99" xr3:uid="{E5E8FA9B-5E61-4285-8A3C-62716499DA6B}" name="APPR_KIND_044A" dataDxfId="3337"/>
    <tableColumn id="100" xr3:uid="{AB4272FA-2825-4B93-842E-8D4343797014}" name="APPR_TYPE_044B" dataDxfId="3336"/>
    <tableColumn id="101" xr3:uid="{F499EA1D-BEB5-404C-AE31-F57562D0ACDF}" name="MAIN_UNIT_SPANS_045" dataDxfId="3335"/>
    <tableColumn id="102" xr3:uid="{450DDADD-6FA7-477A-8D1F-2EC396735E7C}" name="APPR_SPANS_046" dataDxfId="3334"/>
    <tableColumn id="103" xr3:uid="{24C66712-6541-4910-A45A-CA3745A7D02E}" name="HORR_CLR_MT_047" dataDxfId="3333"/>
    <tableColumn id="104" xr3:uid="{9E142617-9EA7-4C1D-8917-424E92E7D884}" name="MAX_SPAN_LEN_MT_048" dataDxfId="3332"/>
    <tableColumn id="105" xr3:uid="{3053F671-D2F2-4E9D-BBA6-98B784214DE4}" name="STRUCTURE_LEN_MT_049" dataDxfId="3331"/>
    <tableColumn id="106" xr3:uid="{FDE87479-B33D-40CC-A7AF-694B0575A289}" name="LEFT_CURB_MT_050A" dataDxfId="3330"/>
    <tableColumn id="107" xr3:uid="{EDAF267E-2682-4D3B-B57C-FB2D2B1445CD}" name="RIGHT_CURB_MT_050B" dataDxfId="3329"/>
    <tableColumn id="108" xr3:uid="{1DAECE80-67EF-4A5F-A9E9-971681D8EFA8}" name="ROADWAY_WIDTH_MT_051" dataDxfId="3328"/>
    <tableColumn id="109" xr3:uid="{C22E736D-7053-4D49-8A43-A9A60A329A96}" name="DECK_WIDTH_MT_052" dataDxfId="3327"/>
    <tableColumn id="110" xr3:uid="{C979B911-E812-4C04-B0FB-A2A40118E821}" name="VERT_CLR_OVER_MT_053" dataDxfId="3326"/>
    <tableColumn id="111" xr3:uid="{FF9BD7A8-B66C-4E1A-BD6A-6EA6484763AE}" name="VERT_CLR_UND_REF_054A" dataDxfId="3325"/>
    <tableColumn id="112" xr3:uid="{39C22089-945B-4B7C-BC42-D55BA951F7C4}" name="VERT_CLR_UND_054B" dataDxfId="3324"/>
    <tableColumn id="113" xr3:uid="{09A8D933-B816-4544-9C85-1A1E0639A00C}" name="LAT_UND_REF_055A" dataDxfId="3323"/>
    <tableColumn id="114" xr3:uid="{189A6FB9-5006-48BD-96BF-1BDD74B7C4DC}" name="LAT_UND_MT_055B" dataDxfId="3322"/>
    <tableColumn id="115" xr3:uid="{9E2FA0C7-239F-4DD2-BB12-3A34804BFBF3}" name="LEFT_LAT_UND_MT_056" dataDxfId="3321"/>
    <tableColumn id="116" xr3:uid="{984749CB-CA39-4143-9E29-5A6D6EF9346D}" name="DECK_COND_058" dataDxfId="3320"/>
    <tableColumn id="117" xr3:uid="{6DC769B2-7787-4C32-8C64-C9F65722A72A}" name="SUPERSTRUCTURE_COND_059" dataDxfId="3319"/>
    <tableColumn id="118" xr3:uid="{5D1AE4EF-2B4B-44A8-B1C3-EDE41F3780AE}" name="SUBSTRUCTURE_COND_060" dataDxfId="3318"/>
    <tableColumn id="119" xr3:uid="{55C72CD4-D9A6-4659-B89D-EC457D7103B8}" name="CHANNEL_COND_061" dataDxfId="3317"/>
    <tableColumn id="120" xr3:uid="{555F8E78-05A1-44E7-B64E-C9BAFE7D1F22}" name="CULVERT_COND_062" dataDxfId="3316"/>
    <tableColumn id="121" xr3:uid="{6B1CD660-9E09-4459-BD83-D5A19755DDC1}" name="OPR_RATING_METH_063" dataDxfId="3315"/>
    <tableColumn id="122" xr3:uid="{B0F1364B-E292-4D86-99D9-9F09176EBFD8}" name="OPERATING_RATING_064" dataDxfId="3314"/>
    <tableColumn id="123" xr3:uid="{F2F66136-3314-4371-870D-DCF16FBBA0E9}" name="INV_RATING_METH_065" dataDxfId="3313"/>
    <tableColumn id="124" xr3:uid="{FEB1DEB4-FACD-4292-AF8C-D5B35C4678BC}" name="INVENTORY_RATING_066" dataDxfId="3312"/>
    <tableColumn id="125" xr3:uid="{E0CE34C9-8507-4E52-BB74-2EDC85327F17}" name="STRUCTURAL_EVAL_067" dataDxfId="3311"/>
    <tableColumn id="126" xr3:uid="{4890E700-75F6-4488-B031-3463F54F4A10}" name="DECK_GEOMETRY_EVAL_068" dataDxfId="3310"/>
    <tableColumn id="127" xr3:uid="{37C274B0-B108-4855-B8A1-13402FA64202}" name="UNDCLRENCE_EVAL_069" dataDxfId="3309"/>
    <tableColumn id="128" xr3:uid="{3E1965A8-3813-43AB-9D19-65C1C4266D20}" name="POSTING_EVAL_070" dataDxfId="3308"/>
    <tableColumn id="129" xr3:uid="{E1E6A0CD-3103-43EB-8A0E-2F88A0C665F8}" name="WATERWAY_EVAL_071" dataDxfId="3307"/>
    <tableColumn id="130" xr3:uid="{A4B71933-8586-45FC-BFDE-C38E8AA98307}" name="APPR_ROAD_EVAL_072" dataDxfId="3306"/>
    <tableColumn id="131" xr3:uid="{2BE5CE90-E22D-4BCD-A6AD-E608CE94C427}" name="WORK_PROPOSED_075A" dataDxfId="3305"/>
    <tableColumn id="132" xr3:uid="{D3906187-E7E9-44FD-9542-CE70D3A49B10}" name="WORK_DONE_BY_075B" dataDxfId="3304"/>
    <tableColumn id="133" xr3:uid="{55E6D7C8-CE34-47DD-A454-EF7529CB811E}" name="IMP_LEN_MT_076" dataDxfId="3303"/>
    <tableColumn id="134" xr3:uid="{EF101E17-F2EE-4CBB-A207-92AB6E07FB16}" name="DATE_OF_INSPECT_090" dataDxfId="3302"/>
    <tableColumn id="135" xr3:uid="{4D87B988-396E-4341-B665-3229943C7852}" name="INSPECT_FREQ_MONTHS_091" dataDxfId="3301"/>
    <tableColumn id="136" xr3:uid="{8E34E52F-55BD-4C7F-AD90-96680220C118}" name="FRACTURE_092A" dataDxfId="3300"/>
    <tableColumn id="137" xr3:uid="{1FBF2E91-02B9-4BF8-AC19-745A2CC6DAF7}" name="UNDWATER_LOOK_SEE_092B" dataDxfId="3299"/>
    <tableColumn id="138" xr3:uid="{41C9929D-2EE1-473D-B70E-0E32CC11A5E4}" name="SPEC_INSPECT_092C" dataDxfId="3298"/>
    <tableColumn id="139" xr3:uid="{83361C0B-989A-44CB-9EF7-B5A43A2D0DAE}" name="FRACTURE_LAST_DATE_093A" dataDxfId="3297"/>
    <tableColumn id="140" xr3:uid="{ECFBCBE2-96D9-4AE3-B97A-0062484A75A5}" name="UNDWATER_LAST_DATE_093B" dataDxfId="3296"/>
    <tableColumn id="141" xr3:uid="{BA3A3863-DC6A-4F4F-9D01-3BD594039D99}" name="SPEC_LAST_DATE_093C" dataDxfId="3295"/>
    <tableColumn id="142" xr3:uid="{4B106834-835A-423B-B7F7-FE8333E36A1B}" name="BRIDGE_IMP_COST_094" dataDxfId="3294"/>
    <tableColumn id="143" xr3:uid="{255455B7-F411-4075-BA51-3A3CCE93F077}" name="ROADWAY_IMP_COST_095" dataDxfId="3293"/>
    <tableColumn id="144" xr3:uid="{66F0D83E-2206-4AD1-A20A-C19444C7718F}" name="TOTAL_IMP_COST_096" dataDxfId="3292"/>
    <tableColumn id="145" xr3:uid="{C377736B-7D2C-4044-B3EC-286A066DF79E}" name="YEAR_OF_IMP_097" dataDxfId="3291"/>
    <tableColumn id="146" xr3:uid="{D1A41B25-591B-46D7-A6C8-4FEB986DDF4A}" name="OTHER_STATE_CODE_098A" dataDxfId="3290"/>
    <tableColumn id="147" xr3:uid="{3C7E0587-A89E-4C3B-A05C-78DB47D95B6D}" name="OTHER_STATE_PCNT_098B" dataDxfId="3289"/>
    <tableColumn id="148" xr3:uid="{7559FE42-4813-473C-97D9-80FAF8B07E80}" name="OTHR_STATE_STRUC_NO_099" dataDxfId="3288"/>
    <tableColumn id="149" xr3:uid="{9A96912C-22AF-4EE7-85DA-F0469D221377}" name="STRAHNET_HIGHWAY_100" dataDxfId="3287"/>
    <tableColumn id="150" xr3:uid="{54AE00E0-FF71-4FC3-9D36-3455AF9137BC}" name="PARALLEL_STRUCTURE_101" dataDxfId="3286"/>
    <tableColumn id="151" xr3:uid="{816846A9-4894-4FA8-B2BA-AB36A0864912}" name="TRAFFIC_DIRECTION_102" dataDxfId="3285"/>
    <tableColumn id="152" xr3:uid="{C5E70399-40E3-410C-A09B-65B03D817DFE}" name="TEMP_STRUCTURE_103" dataDxfId="3284"/>
    <tableColumn id="153" xr3:uid="{49DE4606-4B0F-45F0-AA2D-4E809A44E453}" name="HIGHWAY_SYSTEM_104" dataDxfId="3283"/>
    <tableColumn id="154" xr3:uid="{193724D4-304A-4045-8B28-3B2A4BA68A2C}" name="FEDERAL_LANDS_105" dataDxfId="3282"/>
    <tableColumn id="155" xr3:uid="{5DB57F59-ADC1-40C6-8FF2-2C5FA9F79449}" name="YEAR_RECONSTRUCTED_106" dataDxfId="3281"/>
    <tableColumn id="156" xr3:uid="{6CB2D2E4-36FA-41C4-A5E2-EA03F1F87A3B}" name="DECK_STRUCTURE_TYPE_107" dataDxfId="3280"/>
    <tableColumn id="157" xr3:uid="{95C91552-EE4E-4764-AC55-C5557B4C1175}" name="SURFACE_TYPE_108A" dataDxfId="3279"/>
    <tableColumn id="158" xr3:uid="{507B8A1E-5048-431C-ADF7-3C952A9E69DD}" name="MEMBRANE_TYPE_108B" dataDxfId="3278"/>
    <tableColumn id="159" xr3:uid="{598E47E1-64AE-48C7-AC7B-E580943AB8B4}" name="DECK_PROTECTION_108C" dataDxfId="3277"/>
    <tableColumn id="160" xr3:uid="{F81D8BD0-E5D6-4671-8848-9BF801FA54D0}" name="PERCENT_ADT_TRUCK_109" dataDxfId="3276"/>
    <tableColumn id="161" xr3:uid="{CBB2FEC1-4CA7-46C4-8CA4-497039CD2B26}" name="NATIONAL_NETWORK_110" dataDxfId="3275"/>
    <tableColumn id="162" xr3:uid="{D4DFDD55-D6EA-4EC8-A06A-4EF7C97FC174}" name="PIER_PROTECTION_111" dataDxfId="3274"/>
    <tableColumn id="163" xr3:uid="{CCACE670-063F-42AC-92C9-2003EAD6CE3C}" name="BRIDGE_LEN_IND_112" dataDxfId="3273"/>
    <tableColumn id="164" xr3:uid="{E2545604-3352-42DC-ADC8-B79BF827122A}" name="SCOUR_CRITICAL_113" dataDxfId="3272"/>
    <tableColumn id="165" xr3:uid="{B7BCA81D-546E-4332-AE0E-9F94CF02F6A8}" name="FUTURE_ADT_114" dataDxfId="3271"/>
    <tableColumn id="166" xr3:uid="{4AC1811E-79B5-43EA-88EC-54565E2C0057}" name="YEAR_OF_FUTURE_ADT_115" dataDxfId="3270"/>
    <tableColumn id="167" xr3:uid="{29B33599-CB04-4787-B8B5-0E86EEBB4397}" name="MIN_NAV_CLR_MT_116" dataDxfId="3269"/>
    <tableColumn id="168" xr3:uid="{9EAF0040-A951-42DC-B90F-E03162C121D6}" name="FED_AGENCY" dataDxfId="3268"/>
    <tableColumn id="169" xr3:uid="{555C10AA-5723-496D-BB42-7533A50788B0}" name="SUBMITTED_BY" dataDxfId="3267"/>
    <tableColumn id="170" xr3:uid="{C390CD1B-EE01-4B64-8203-5C091A0C535F}" name="BRIDGE_CONDITION" dataDxfId="3266"/>
    <tableColumn id="171" xr3:uid="{9D75EE55-9541-4BD7-B0AB-D1FDA1453432}" name="LOWEST_RATING" dataDxfId="3265"/>
    <tableColumn id="172" xr3:uid="{794DF425-E6D5-4CC9-964E-E9B2B0642D34}" name="DECK_AREA" dataDxfId="3264"/>
    <tableColumn id="173" xr3:uid="{6C277CBB-B429-4175-BCD9-6955A15F29F7}" name="Detour_Duration" dataDxfId="3263"/>
    <tableColumn id="174" xr3:uid="{8E7AB846-7E47-41DD-B746-5AD9B4BD3599}" name="Min_Unit_Rebuilding_Cost($/ft2)" dataDxfId="3262"/>
    <tableColumn id="175" xr3:uid="{BA140A2D-5CFD-4129-BD03-FC8F3D63BE28}" name="Max_Unit_Rebuilding_Cost($/ft2)2" dataDxfId="3261"/>
    <tableColumn id="176" xr3:uid="{C7F16D03-EE19-43A5-8EE8-F35759D5B9A8}" name="Cost_Multiplier_for_Early_Replacement" dataDxfId="3260"/>
    <tableColumn id="177" xr3:uid="{E2330A49-BC80-4F41-9727-97622392AF62}" name="Assumed_Number_of_Lives_Lost_in_Bridge_Failure" dataDxfId="3259"/>
    <tableColumn id="178" xr3:uid="{3429A240-4BB3-4DC3-A039-F7A5EF30C9E0}" name="HYRISK_Cost_of_Faliure_term1" dataDxfId="3258"/>
    <tableColumn id="179" xr3:uid="{EF49D037-0C57-4B3B-AF78-7316B6EB989A}" name="HYRISK_Cost_of_Faliure_term2" dataDxfId="3257"/>
    <tableColumn id="180" xr3:uid="{44C419FE-D165-47B6-B0D3-F29DAFBFF277}" name="HYRISK_Cost_of_Faliure_term3" dataDxfId="3256"/>
    <tableColumn id="181" xr3:uid="{AE1149D1-6DAE-4288-A6FB-3C3D04B22596}" name="HYRISK_Cost_of_Faliure_term4" dataDxfId="3255"/>
    <tableColumn id="182" xr3:uid="{67E65CC3-9940-4551-869A-55A68EE0844B}" name="Total_Cost_MUSD" dataDxfId="3254"/>
    <tableColumn id="186" xr3:uid="{AE60FA54-457E-4D03-A546-D75F69061333}" name="Hazus_Failure_Prob_10" dataDxfId="3253"/>
    <tableColumn id="185" xr3:uid="{269CC5C8-2A04-48FF-B3B8-C64176E5BBA7}" name="Hazus_Failure_Prob_50" dataDxfId="3252"/>
    <tableColumn id="184" xr3:uid="{B8FB4732-1090-4BF1-AD64-99DF2626A5CB}" name="Hazus_Failure_Prob_100" dataDxfId="3251"/>
    <tableColumn id="183" xr3:uid="{3668100F-39F6-4A2C-8B5B-757947545623}" name="Hazus_Failure_Prob_500" dataDxfId="3250"/>
    <tableColumn id="187" xr3:uid="{C2BD8190-73A1-4726-8B1E-48E30A953271}" name="Current_rating" dataDxfId="3249"/>
    <tableColumn id="283" xr3:uid="{3A412E13-F997-46BE-82EA-D5639C1377BE}" name="cost_repair_rating0" dataDxfId="3248"/>
    <tableColumn id="192" xr3:uid="{EA3EC840-FBF0-4848-8499-1A891DB8BAD6}" name="cost_repair_rating1" dataDxfId="3247">
      <calculatedColumnFormula>5</calculatedColumnFormula>
    </tableColumn>
    <tableColumn id="193" xr3:uid="{108DE1B9-5BFD-4A1A-AE03-CCBFEFCB689E}" name="cost_repair_rating2" dataDxfId="3246">
      <calculatedColumnFormula>Table13[[#This Row],[cost_repair_rating1]]/2</calculatedColumnFormula>
    </tableColumn>
    <tableColumn id="194" xr3:uid="{8AB3341B-5271-4F72-8155-3E4876332B8A}" name="cost_repair_rating3" dataDxfId="3245">
      <calculatedColumnFormula>Table13[[#This Row],[cost_repair_rating2]]/2</calculatedColumnFormula>
    </tableColumn>
    <tableColumn id="195" xr3:uid="{D0FD6AA3-6D55-4A79-9493-3EF6168A53FD}" name="cost_repair_rating4" dataDxfId="3244">
      <calculatedColumnFormula>Table13[[#This Row],[cost_repair_rating3]]/2</calculatedColumnFormula>
    </tableColumn>
    <tableColumn id="196" xr3:uid="{10FD20E0-A9AB-4C71-8835-8F9F512D0163}" name="cost_repair_rating5" dataDxfId="3243">
      <calculatedColumnFormula>Table13[[#This Row],[cost_repair_rating4]]/2</calculatedColumnFormula>
    </tableColumn>
    <tableColumn id="197" xr3:uid="{0FEF9188-2B7F-4B70-A1C1-2B4C9437ACD5}" name="cost_repair_rating6" dataDxfId="3242">
      <calculatedColumnFormula>Table13[[#This Row],[cost_repair_rating5]]/2</calculatedColumnFormula>
    </tableColumn>
    <tableColumn id="198" xr3:uid="{7D1AD690-C57C-4ADE-8625-EE3CA2D80AE0}" name="cost_repair_rating7" dataDxfId="3241"/>
    <tableColumn id="199" xr3:uid="{D6AD9F84-E6CE-4932-A3AC-988B5321F7CE}" name="cost_repair_rating8" dataDxfId="3240"/>
    <tableColumn id="200" xr3:uid="{E7C15E3B-1793-45EB-8428-7D719A6D97FA}" name="cost_repair_rating9" dataDxfId="3239"/>
    <tableColumn id="201" xr3:uid="{4EC8E263-9BCF-40F4-91C4-A036084C182C}" name="prob500-failure_rating1" dataDxfId="3238">
      <calculatedColumnFormula>2.5/100</calculatedColumnFormula>
    </tableColumn>
    <tableColumn id="202" xr3:uid="{750A9532-3636-4530-99B6-7ADA003C4546}" name="prob500-failure_rating2" dataDxfId="3237"/>
    <tableColumn id="203" xr3:uid="{508E91AE-04E9-4B19-9306-A0C66A291E41}" name="prob500-failure_rating3" dataDxfId="3236"/>
    <tableColumn id="204" xr3:uid="{20CF0DA8-DF3D-496A-960B-DA8CE9BC1C4F}" name="prob500-failure_rating4" dataDxfId="3235"/>
    <tableColumn id="205" xr3:uid="{44E852C9-5B69-4B26-BC26-F2DB07D73CC6}" name="prob500-failure_rating5" dataDxfId="3234">
      <calculatedColumnFormula>(2*Table13[[#This Row],[prob500-failure_rating4]]+Table13[[#This Row],[prob500-failure_rating6]])/3</calculatedColumnFormula>
    </tableColumn>
    <tableColumn id="206" xr3:uid="{B41E71DB-3A45-4F4E-B687-F1FA10C437FE}" name="prob500-failure_rating6" dataDxfId="3233"/>
    <tableColumn id="207" xr3:uid="{126C6E9B-6DF2-4327-AB3E-FA952F6A3CA6}" name="prob500-failure_rating7" dataDxfId="3232"/>
    <tableColumn id="208" xr3:uid="{EDE58281-529A-4CA4-AB33-EACA287426EE}" name="prob500-failure_rating8" dataDxfId="3231"/>
    <tableColumn id="209" xr3:uid="{807F5ACD-3C3A-4BCD-8011-7FD817689AA4}" name="prob500-failure_rating9" dataDxfId="3230"/>
    <tableColumn id="210" xr3:uid="{80655C76-6709-4262-A6AE-8AF88CB3FB55}" name="prob100-failure_rating1" dataDxfId="3229">
      <calculatedColumnFormula>1.25/100</calculatedColumnFormula>
    </tableColumn>
    <tableColumn id="211" xr3:uid="{88367ED3-BD7C-4595-9E48-2C994A044679}" name="prob100-failure_rating2" dataDxfId="3228"/>
    <tableColumn id="212" xr3:uid="{6824782F-3101-4B19-8A96-19D65FA69F83}" name="prob100-failure_rating3" dataDxfId="3227"/>
    <tableColumn id="213" xr3:uid="{C2A53AC4-7C0F-489A-B50E-D47D696DE692}" name="prob100-failure_rating4" dataDxfId="3226"/>
    <tableColumn id="214" xr3:uid="{932CADA1-996E-4BB7-A2EF-CD35BEB08A54}" name="prob100-failure_rating5" dataDxfId="3225"/>
    <tableColumn id="215" xr3:uid="{25F460CA-4884-42F7-A284-735B9DCEB781}" name="prob100-failure_rating6" dataDxfId="3224"/>
    <tableColumn id="216" xr3:uid="{0EE76854-B28C-4519-8693-8DF4D44BD008}" name="prob100-failure_rating7" dataDxfId="3223"/>
    <tableColumn id="217" xr3:uid="{36C79B53-9B51-44D2-A320-C5D4137F1D79}" name="prob100-failure_rating8" dataDxfId="3222"/>
    <tableColumn id="218" xr3:uid="{75AD5271-9107-4ECD-BF86-AF603B64332E}" name="prob100-failure_rating9" dataDxfId="3221"/>
    <tableColumn id="219" xr3:uid="{8675AD1F-A313-495B-9C25-ECE861AEA7C9}" name="prob50-failure_rating1" dataDxfId="3220"/>
    <tableColumn id="220" xr3:uid="{6E1CA2B5-618D-4049-9FEA-E3E4F4D54799}" name="prob50-failure_rating2" dataDxfId="3219"/>
    <tableColumn id="221" xr3:uid="{8F9AF8D1-7BE3-45EA-8EBD-B405862DD9D6}" name="prob50-failure_rating3" dataDxfId="3218"/>
    <tableColumn id="222" xr3:uid="{76934269-B25E-416C-A2A7-33DCF3C5AD75}" name="prob50-failure_rating4" dataDxfId="3217"/>
    <tableColumn id="223" xr3:uid="{A56D85F5-9FFD-438F-B953-326C5C678B8E}" name="prob50-failure_rating5" dataDxfId="3216"/>
    <tableColumn id="224" xr3:uid="{180ED786-9B3C-40D4-90A6-48EE61D4D7D0}" name="prob50-failure_rating6" dataDxfId="3215"/>
    <tableColumn id="225" xr3:uid="{E0B32CB0-AD56-4421-99F7-9519CD72A031}" name="prob50-failure_rating7" dataDxfId="3214"/>
    <tableColumn id="226" xr3:uid="{D15B0E6E-6041-4F23-90FB-B8624F0F379B}" name="prob50-failure_rating8" dataDxfId="3213"/>
    <tableColumn id="227" xr3:uid="{A4117CFB-8DDB-47DA-8B91-0432EDA4D054}" name="prob50-failure_rating9" dataDxfId="3212"/>
    <tableColumn id="228" xr3:uid="{806990E9-84C7-43C8-8F6C-3DF8A1F5A972}" name="prob10-failure_rating1" dataDxfId="3211"/>
    <tableColumn id="229" xr3:uid="{136509DE-3B89-4DD4-BAC3-42B2CE340FB0}" name="prob10-failure_rating2" dataDxfId="3210"/>
    <tableColumn id="230" xr3:uid="{1C33F5EF-1268-4950-BE0C-F3F415A79BD8}" name="prob10-failure_rating3" dataDxfId="3209"/>
    <tableColumn id="231" xr3:uid="{5E112AA2-6F16-43BB-8994-D01B2A74585E}" name="prob10-failure_rating4" dataDxfId="3208"/>
    <tableColumn id="232" xr3:uid="{B95A4696-FC37-40DF-80B8-DD88AA3850C0}" name="prob10-failure_rating5" dataDxfId="3207"/>
    <tableColumn id="233" xr3:uid="{BEF7BE35-C14A-4443-8FC3-D2839A1562F1}" name="prob10-failure_rating6" dataDxfId="3206"/>
    <tableColumn id="234" xr3:uid="{01ED0D1A-9351-4CA6-966B-B93057D697D1}" name="prob10-failure_rating7" dataDxfId="3205"/>
    <tableColumn id="235" xr3:uid="{12ABB4A9-393A-4203-96BF-21007C1EEDF5}" name="prob10-failure_rating8" dataDxfId="3204"/>
    <tableColumn id="236" xr3:uid="{4F365C92-98C9-4F29-ACFC-12FB1C01BD20}" name="prob10-failure_rating9" dataDxfId="3203"/>
    <tableColumn id="237" xr3:uid="{BB3C8BB4-5C43-4A57-8303-23A299217BA0}" name="failurecost500_rating1" dataDxfId="3202">
      <calculatedColumnFormula>Table13[[#This Row],[Total_Cost_MUSD]]*Table13[[#This Row],[prob500-failure_rating1]]*1000000/500</calculatedColumnFormula>
    </tableColumn>
    <tableColumn id="238" xr3:uid="{D0D8E841-0173-499A-9DDB-CEF1C450D67E}" name="failurecost500_rating2" dataDxfId="3201">
      <calculatedColumnFormula>Table13[[#This Row],[Total_Cost_MUSD]]*Table13[[#This Row],[prob500-failure_rating2]]*1000000/500</calculatedColumnFormula>
    </tableColumn>
    <tableColumn id="239" xr3:uid="{579CF640-8F59-44C9-82F0-2B45F6BEA4FD}" name="failurecost500_rating3" dataDxfId="3200">
      <calculatedColumnFormula>Table13[[#This Row],[Total_Cost_MUSD]]*Table13[[#This Row],[prob500-failure_rating3]]*1000000/500</calculatedColumnFormula>
    </tableColumn>
    <tableColumn id="240" xr3:uid="{651BC6A9-74CF-43AC-B443-690736D3E33B}" name="failurecost500_rating4" dataDxfId="3199">
      <calculatedColumnFormula>Table13[[#This Row],[Total_Cost_MUSD]]*Table13[[#This Row],[prob500-failure_rating4]]*1000000/500</calculatedColumnFormula>
    </tableColumn>
    <tableColumn id="241" xr3:uid="{FD5951CB-E0E8-478F-81F7-AC4BBB30E9E7}" name="failurecost500_rating5" dataDxfId="3198">
      <calculatedColumnFormula>Table13[[#This Row],[Total_Cost_MUSD]]*Table13[[#This Row],[prob500-failure_rating5]]*1000000/500</calculatedColumnFormula>
    </tableColumn>
    <tableColumn id="242" xr3:uid="{151DE9FA-DF76-42E2-A9E5-D5453FAB53B8}" name="failurecost500_rating6" dataDxfId="3197">
      <calculatedColumnFormula>Table13[[#This Row],[Total_Cost_MUSD]]*Table13[[#This Row],[prob500-failure_rating6]]*1000000/500</calculatedColumnFormula>
    </tableColumn>
    <tableColumn id="243" xr3:uid="{5F720845-AED4-44E6-AFF4-FC67F9AD5B3B}" name="failurecost500_rating7" dataDxfId="3196">
      <calculatedColumnFormula>Table13[[#This Row],[Total_Cost_MUSD]]*Table13[[#This Row],[prob500-failure_rating7]]*1000000/500</calculatedColumnFormula>
    </tableColumn>
    <tableColumn id="244" xr3:uid="{846FAB33-6C2D-4A08-ABCC-DEC9F5BFD1CD}" name="failurecost500_rating8" dataDxfId="3195">
      <calculatedColumnFormula>Table13[[#This Row],[Total_Cost_MUSD]]*Table13[[#This Row],[prob500-failure_rating8]]*1000000/500</calculatedColumnFormula>
    </tableColumn>
    <tableColumn id="245" xr3:uid="{09F98269-4F55-4EEE-AA05-EC2F29633527}" name="failurecost500_rating9" dataDxfId="3194">
      <calculatedColumnFormula>Table13[[#This Row],[Total_Cost_MUSD]]*Table13[[#This Row],[prob500-failure_rating9]]*1000000/500</calculatedColumnFormula>
    </tableColumn>
    <tableColumn id="246" xr3:uid="{DABC2FAF-79E7-4280-8C22-1B33E053D5EB}" name="failurecost100_rating1" dataDxfId="3193">
      <calculatedColumnFormula>Table13[[#This Row],[Total_Cost_MUSD]]*Table13[[#This Row],[prob100-failure_rating1]]*1000000/100</calculatedColumnFormula>
    </tableColumn>
    <tableColumn id="247" xr3:uid="{956AF646-8334-4774-9683-4855A50C3F41}" name="failurecost100_rating2" dataDxfId="3192">
      <calculatedColumnFormula>Table13[[#This Row],[Total_Cost_MUSD]]*Table13[[#This Row],[prob100-failure_rating2]]*1000000/100</calculatedColumnFormula>
    </tableColumn>
    <tableColumn id="248" xr3:uid="{CF1F350A-2E03-41A0-AF81-1AD03C15D05B}" name="failurecost100_rating3" dataDxfId="3191">
      <calculatedColumnFormula>Table13[[#This Row],[Total_Cost_MUSD]]*Table13[[#This Row],[prob100-failure_rating3]]*1000000/100</calculatedColumnFormula>
    </tableColumn>
    <tableColumn id="249" xr3:uid="{CF1D34EB-A440-47E9-8FB5-1648C5FD47AC}" name="failurecost100_rating4" dataDxfId="3190">
      <calculatedColumnFormula>Table13[[#This Row],[Total_Cost_MUSD]]*Table13[[#This Row],[prob100-failure_rating4]]*1000000/100</calculatedColumnFormula>
    </tableColumn>
    <tableColumn id="250" xr3:uid="{167C1E7F-0DF0-4110-A04C-70E8C37824AC}" name="failurecost100_rating5" dataDxfId="3189">
      <calculatedColumnFormula>Table13[[#This Row],[Total_Cost_MUSD]]*Table13[[#This Row],[prob100-failure_rating5]]*1000000/100</calculatedColumnFormula>
    </tableColumn>
    <tableColumn id="251" xr3:uid="{64110579-E6A8-4A3B-8028-6093FA343C9F}" name="failurecost100_rating6" dataDxfId="3188">
      <calculatedColumnFormula>Table13[[#This Row],[Total_Cost_MUSD]]*Table13[[#This Row],[prob100-failure_rating6]]*1000000/100</calculatedColumnFormula>
    </tableColumn>
    <tableColumn id="252" xr3:uid="{62ACC048-EE46-4939-99EE-817D5E7FBAAC}" name="failurecost100_rating7" dataDxfId="3187">
      <calculatedColumnFormula>Table13[[#This Row],[Total_Cost_MUSD]]*Table13[[#This Row],[prob100-failure_rating7]]*1000000/100</calculatedColumnFormula>
    </tableColumn>
    <tableColumn id="253" xr3:uid="{942325DD-7114-46D4-96C1-9C51D5DB948D}" name="failurecost100_rating8" dataDxfId="3186">
      <calculatedColumnFormula>Table13[[#This Row],[Total_Cost_MUSD]]*Table13[[#This Row],[prob100-failure_rating8]]*1000000/100</calculatedColumnFormula>
    </tableColumn>
    <tableColumn id="254" xr3:uid="{45487539-5517-4E58-8C50-D82F4D32A103}" name="failurecost100_rating9" dataDxfId="3185">
      <calculatedColumnFormula>Table13[[#This Row],[Total_Cost_MUSD]]*Table13[[#This Row],[prob100-failure_rating9]]*1000000/100</calculatedColumnFormula>
    </tableColumn>
    <tableColumn id="255" xr3:uid="{A1B58316-4241-4BA6-A0D3-D780488E1DA6}" name="failurecost50_rating1" dataDxfId="3184">
      <calculatedColumnFormula>Table13[[#This Row],[Total_Cost_MUSD]]*Table13[[#This Row],[prob50-failure_rating1]]*1000000/50</calculatedColumnFormula>
    </tableColumn>
    <tableColumn id="256" xr3:uid="{E029353A-FE20-4689-9DB5-103B236309B0}" name="failurecost50_rating2" dataDxfId="3183">
      <calculatedColumnFormula>Table13[[#This Row],[Total_Cost_MUSD]]*Table13[[#This Row],[prob50-failure_rating2]]*1000000/50</calculatedColumnFormula>
    </tableColumn>
    <tableColumn id="257" xr3:uid="{DF217ACE-29E3-4C6C-B817-E4D89263EABE}" name="failurecost50_rating3" dataDxfId="3182">
      <calculatedColumnFormula>Table13[[#This Row],[Total_Cost_MUSD]]*Table13[[#This Row],[prob50-failure_rating3]]*1000000/50</calculatedColumnFormula>
    </tableColumn>
    <tableColumn id="258" xr3:uid="{505FC165-83EA-42CE-8C05-E0CDD3D35BDD}" name="failurecost50_rating4" dataDxfId="3181">
      <calculatedColumnFormula>Table13[[#This Row],[Total_Cost_MUSD]]*Table13[[#This Row],[prob50-failure_rating4]]*1000000/50</calculatedColumnFormula>
    </tableColumn>
    <tableColumn id="259" xr3:uid="{B5F538B2-B1DB-4D2B-8075-FC1DB4599A1A}" name="failurecost50_rating5" dataDxfId="3180">
      <calculatedColumnFormula>Table13[[#This Row],[Total_Cost_MUSD]]*Table13[[#This Row],[prob50-failure_rating5]]*1000000/50</calculatedColumnFormula>
    </tableColumn>
    <tableColumn id="260" xr3:uid="{0292250A-116F-48C1-9056-651BC6826F69}" name="failurecost50_rating6" dataDxfId="3179">
      <calculatedColumnFormula>Table13[[#This Row],[Total_Cost_MUSD]]*Table13[[#This Row],[prob50-failure_rating6]]*1000000/50</calculatedColumnFormula>
    </tableColumn>
    <tableColumn id="261" xr3:uid="{10438B3A-A835-46D3-92E4-87CFBCF055C3}" name="failurecost50_rating7" dataDxfId="3178">
      <calculatedColumnFormula>Table13[[#This Row],[Total_Cost_MUSD]]*Table13[[#This Row],[prob50-failure_rating7]]*1000000/50</calculatedColumnFormula>
    </tableColumn>
    <tableColumn id="262" xr3:uid="{FFCFC62C-8C0A-4EE4-840C-A1D946791515}" name="failurecost50_rating8" dataDxfId="3177">
      <calculatedColumnFormula>Table13[[#This Row],[Total_Cost_MUSD]]*Table13[[#This Row],[prob50-failure_rating8]]*1000000/50</calculatedColumnFormula>
    </tableColumn>
    <tableColumn id="263" xr3:uid="{12703A59-9FAA-4977-8EB9-927AC5F8C2B8}" name="failurecost50_rating9" dataDxfId="3176">
      <calculatedColumnFormula>Table13[[#This Row],[Total_Cost_MUSD]]*Table13[[#This Row],[prob50-failure_rating9]]*1000000/50</calculatedColumnFormula>
    </tableColumn>
    <tableColumn id="273" xr3:uid="{7EC4B59A-EA05-4B92-9C57-1E6FA4823FA9}" name="failurecost10_rating1" dataDxfId="3175">
      <calculatedColumnFormula>Table13[[#This Row],[Total_Cost_MUSD]]*Table13[[#This Row],[prob10-failure_rating1]]*1000000/10</calculatedColumnFormula>
    </tableColumn>
    <tableColumn id="274" xr3:uid="{BF8BDD42-D6D8-4177-85F4-F9C0D1822E3B}" name="failurecost10_rating2" dataDxfId="3174">
      <calculatedColumnFormula>Table13[[#This Row],[Total_Cost_MUSD]]*Table13[[#This Row],[prob10-failure_rating2]]*1000000/10</calculatedColumnFormula>
    </tableColumn>
    <tableColumn id="275" xr3:uid="{F9359EDB-B51F-404B-BECB-6593D5A8DFBA}" name="failurecost10_rating3" dataDxfId="3173">
      <calculatedColumnFormula>Table13[[#This Row],[Total_Cost_MUSD]]*Table13[[#This Row],[prob10-failure_rating3]]*1000000/10</calculatedColumnFormula>
    </tableColumn>
    <tableColumn id="276" xr3:uid="{B8642D21-986A-472A-9326-DA6472D54320}" name="failurecost10_rating4" dataDxfId="3172">
      <calculatedColumnFormula>Table13[[#This Row],[Total_Cost_MUSD]]*Table13[[#This Row],[prob10-failure_rating4]]*1000000/10</calculatedColumnFormula>
    </tableColumn>
    <tableColumn id="277" xr3:uid="{1F792DF9-FCED-4A70-9625-C7AF212CE5BA}" name="failurecost10_rating5" dataDxfId="3171">
      <calculatedColumnFormula>Table13[[#This Row],[Total_Cost_MUSD]]*Table13[[#This Row],[prob10-failure_rating5]]*1000000/10</calculatedColumnFormula>
    </tableColumn>
    <tableColumn id="278" xr3:uid="{93D71F8E-701D-4A5F-B79D-0E9DAABE3511}" name="failurecost10_rating6" dataDxfId="3170">
      <calculatedColumnFormula>Table13[[#This Row],[Total_Cost_MUSD]]*Table13[[#This Row],[prob10-failure_rating6]]*1000000/10</calculatedColumnFormula>
    </tableColumn>
    <tableColumn id="279" xr3:uid="{BEDC0CD1-24A0-4F77-A4AF-128412B4E68F}" name="failurecost10_rating7" dataDxfId="3169">
      <calculatedColumnFormula>Table13[[#This Row],[Total_Cost_MUSD]]*Table13[[#This Row],[prob10-failure_rating7]]*1000000/10</calculatedColumnFormula>
    </tableColumn>
    <tableColumn id="280" xr3:uid="{E3585614-EDFC-493F-8618-02CE3603B2B3}" name="failurecost10_rating8" dataDxfId="3168">
      <calculatedColumnFormula>Table13[[#This Row],[Total_Cost_MUSD]]*Table13[[#This Row],[prob10-failure_rating8]]*1000000/10</calculatedColumnFormula>
    </tableColumn>
    <tableColumn id="281" xr3:uid="{0810CE0C-0AA7-461E-8C7A-5B433978F5F0}" name="failurecost10_rating9" dataDxfId="3167">
      <calculatedColumnFormula>Table13[[#This Row],[Total_Cost_MUSD]]*Table13[[#This Row],[prob10-failure_rating9]]*1000000/10</calculatedColumnFormula>
    </tableColumn>
    <tableColumn id="282" xr3:uid="{110BF211-B7B1-4896-839E-A61F17143D9D}" name="FailureCost_Rating0" dataDxfId="3166">
      <calculatedColumnFormula>45</calculatedColumnFormula>
    </tableColumn>
    <tableColumn id="264" xr3:uid="{BB5F5969-A81E-48D9-8E4C-C5BB8E962349}" name="FailureCost_Rating1" dataDxfId="3165">
      <calculatedColumnFormula>9</calculatedColumnFormula>
    </tableColumn>
    <tableColumn id="265" xr3:uid="{FD94458D-1E59-447E-9436-7F1A32370BF9}" name="FailureCost_Rating2" dataDxfId="3164">
      <calculatedColumnFormula>10^8</calculatedColumnFormula>
    </tableColumn>
    <tableColumn id="266" xr3:uid="{398814D0-9E95-41EB-88BC-5FB979C236CD}" name="FailureCost_Rating3" dataDxfId="3163">
      <calculatedColumnFormula>10^7</calculatedColumnFormula>
    </tableColumn>
    <tableColumn id="267" xr3:uid="{7BEF0E37-B7CA-42D7-8B0F-BB873454F0EC}" name="FailureCost_Rating4" dataDxfId="3162">
      <calculatedColumnFormula>10^6</calculatedColumnFormula>
    </tableColumn>
    <tableColumn id="268" xr3:uid="{48816659-6A79-427B-BAB1-D8F50F5536AE}" name="FailureCost_Rating5" dataDxfId="3161">
      <calculatedColumnFormula>10^5</calculatedColumnFormula>
    </tableColumn>
    <tableColumn id="269" xr3:uid="{69592C8D-7433-46A1-ACD5-6B09E7165508}" name="FailureCost_Rating6" dataDxfId="3160">
      <calculatedColumnFormula>10^4</calculatedColumnFormula>
    </tableColumn>
    <tableColumn id="270" xr3:uid="{33AFCDD4-E1C8-4A37-A39A-F2B7755FDAAD}" name="FailureCost_Rating7" dataDxfId="3159">
      <calculatedColumnFormula>10^3</calculatedColumnFormula>
    </tableColumn>
    <tableColumn id="271" xr3:uid="{B725C177-6C56-4C2C-BA8C-F00FEF12402D}" name="FailureCost_Rating8" dataDxfId="3158">
      <calculatedColumnFormula>10^3</calculatedColumnFormula>
    </tableColumn>
    <tableColumn id="272" xr3:uid="{D6E1558B-2A1E-4621-BA3F-F8D67AC51A16}" name="FailureCost_Rating9" dataDxfId="3157">
      <calculatedColumnFormula>10^3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33710-2FD8-4C9A-B822-65A712072075}" name="Table15" displayName="Table15" ref="A1:JY20" totalsRowShown="0" headerRowDxfId="3156" dataDxfId="3155">
  <autoFilter ref="A1:JY20" xr:uid="{1E05EA88-988A-4182-B643-40FC3C5FB242}"/>
  <tableColumns count="285">
    <tableColumn id="1" xr3:uid="{9CCDF98C-064E-4381-9D9E-897817562284}" name="Number" dataDxfId="3154"/>
    <tableColumn id="2" xr3:uid="{86E86A27-3EE8-4D3D-BF4A-C6FC7D9BBD04}" name="Structure Name" dataDxfId="3153"/>
    <tableColumn id="3" xr3:uid="{1038D711-C812-4276-ABBA-3853FE6C1C91}" name="Body of water" dataDxfId="3152"/>
    <tableColumn id="4" xr3:uid="{D8BA360E-A8DF-45A7-A64B-1C8A9B3269E8}" name="Lattitude" dataDxfId="3151"/>
    <tableColumn id="5" xr3:uid="{F9A2B984-E3DD-4638-B7AD-200CFC967409}" name="Longitude" dataDxfId="3150"/>
    <tableColumn id="6" xr3:uid="{A407DE09-94FA-4190-940E-71E85612B065}" name="Depth50" dataDxfId="3149"/>
    <tableColumn id="7" xr3:uid="{84DD1744-DF29-4F6C-BF87-766EC8CABC74}" name="Depth10" dataDxfId="3148"/>
    <tableColumn id="8" xr3:uid="{054AF057-C542-4CEA-BC89-981F8B972289}" name="Depth100" dataDxfId="3147"/>
    <tableColumn id="9" xr3:uid="{85996E1A-17CE-4F63-8DE1-9E105DC223CA}" name="Depth500" dataDxfId="3146"/>
    <tableColumn id="10" xr3:uid="{B16D3604-690F-430E-B647-85DA5CDBE8E7}" name="Depth0_area" dataDxfId="3145"/>
    <tableColumn id="11" xr3:uid="{D3A2632A-4871-4228-AB2E-2A88B1287C2E}" name="Depth0_wet" dataDxfId="3144"/>
    <tableColumn id="12" xr3:uid="{7A92B7BC-38E5-476D-A965-062DD2AD5118}" name="Depth10_area" dataDxfId="3143"/>
    <tableColumn id="13" xr3:uid="{3B3E7F1D-D689-4FBD-A422-488F23468298}" name="Depth10_wet" dataDxfId="3142"/>
    <tableColumn id="14" xr3:uid="{886B2423-08C9-4F92-809F-9454D481393A}" name="Depth50_area" dataDxfId="3141"/>
    <tableColumn id="15" xr3:uid="{29D9F53E-92A9-4AA5-A493-9AF036C34120}" name="Depth50_wet" dataDxfId="3140"/>
    <tableColumn id="16" xr3:uid="{BF9E41F8-2EFD-48D5-8D3A-3A5913212066}" name="Depth100_area" dataDxfId="3139"/>
    <tableColumn id="17" xr3:uid="{7A5FB48E-9F8F-4C78-A320-A23AC7055761}" name="Depth100_wet" dataDxfId="3138"/>
    <tableColumn id="18" xr3:uid="{221889E1-331E-4CEF-8824-ACB35110B351}" name="Depth500_area" dataDxfId="3137"/>
    <tableColumn id="19" xr3:uid="{F7FDF030-3792-4AD7-9B45-BFD7AA0F6CA7}" name="Depth500_wet" dataDxfId="3136"/>
    <tableColumn id="20" xr3:uid="{553780E8-A947-43EE-A5F0-07FA7A1E296F}" name="Depth0_HydraulicRadius" dataDxfId="3135"/>
    <tableColumn id="21" xr3:uid="{555B716B-2836-45A3-BC97-408910397FDE}" name="Depth10_HydraulicRadius" dataDxfId="3134"/>
    <tableColumn id="22" xr3:uid="{0BFA3704-A55E-49EC-AF1D-EA779DA7DE0D}" name="Depth50_HydraulicRadius" dataDxfId="3133"/>
    <tableColumn id="23" xr3:uid="{C8AC469A-C2C2-456D-B13A-007F7DBB9A30}" name="Depth100_HydraulicRadius" dataDxfId="3132"/>
    <tableColumn id="24" xr3:uid="{FEDABE6D-647F-429F-98A7-FB67BCA8884A}" name="Depth500_HydraulicRadius" dataDxfId="3131"/>
    <tableColumn id="25" xr3:uid="{FE782B0A-438C-4607-950F-247DBDE23CE8}" name="Slope" dataDxfId="3130"/>
    <tableColumn id="26" xr3:uid="{5A4CC9C5-1F20-4D95-8C0F-484907ADA0A7}" name="Foundation_Depth" dataDxfId="3129"/>
    <tableColumn id="27" xr3:uid="{039EBA75-F2E3-44E0-868E-1248DBFC6F91}" name="Depth10_velocity" dataDxfId="3128"/>
    <tableColumn id="28" xr3:uid="{6DB2FC9E-8AEB-4BAA-ABFA-26661699D053}" name="Depth50_velocity" dataDxfId="3127"/>
    <tableColumn id="29" xr3:uid="{56828D04-32E6-4290-92A2-326E67FC885E}" name="Depth100_velocity" dataDxfId="3126"/>
    <tableColumn id="30" xr3:uid="{7D540CC8-2B2E-4627-BF34-B4EA4475470A}" name="Depth500_velocity" dataDxfId="3125"/>
    <tableColumn id="31" xr3:uid="{4E6E1B43-FF61-4F55-9E3C-E1B99C1CE6BC}" name="Depth10_Froud" dataDxfId="3124"/>
    <tableColumn id="32" xr3:uid="{1BBD8058-8FA9-483B-A8D7-D436BBA1EBB0}" name="Depth50_Froud" dataDxfId="3123"/>
    <tableColumn id="33" xr3:uid="{286CACF7-896D-4A0D-94F7-EA5E1D73A5B8}" name="Depth100_Froud" dataDxfId="3122"/>
    <tableColumn id="34" xr3:uid="{DDBCE4F0-0221-4E31-87E9-44EE62E4F55B}" name="Depth500_Froud" dataDxfId="3121"/>
    <tableColumn id="35" xr3:uid="{42BD2E63-B265-461D-84EB-1FCC46CCB402}" name="Depth10_Scour" dataDxfId="3120"/>
    <tableColumn id="36" xr3:uid="{0958CF3D-AC52-40C6-BFB5-2B0E40D09195}" name="Depth50_Scour" dataDxfId="3119"/>
    <tableColumn id="37" xr3:uid="{F657AE56-50D8-4236-8ABF-EE6BD1F215C5}" name="Depth100_Scour" dataDxfId="3118"/>
    <tableColumn id="38" xr3:uid="{2268F9F7-0320-4830-8E3B-396AEC3F1835}" name="Depth500_Scour" dataDxfId="3117"/>
    <tableColumn id="39" xr3:uid="{99F8A4E5-7BED-4993-96FB-A510CC883588}" name="Depth10_Soil_vol" dataDxfId="3116"/>
    <tableColumn id="40" xr3:uid="{AF51F435-CC46-4E2B-AB68-1A4A1BAE2413}" name="Depth50_Soil_vol" dataDxfId="3115"/>
    <tableColumn id="41" xr3:uid="{C0035C9A-C269-4C46-9E08-1965203EB3BD}" name="Depth100_Soil_vol" dataDxfId="3114"/>
    <tableColumn id="42" xr3:uid="{66B6A3D8-3B05-4384-9840-6C0993A4B7AD}" name="Depth500_Soil_vol" dataDxfId="3113"/>
    <tableColumn id="191" xr3:uid="{76DFD6AE-3825-418D-8C46-B725D9550196}" name="Depth10_cost" dataDxfId="3112">
      <calculatedColumnFormula>Table15[[#This Row],[Depth10_Soil_vol]]*(9.353+9.027)+(Table15[[#This Row],[Depth10_Soil_vol]]/2.5)*20*1.053+(PI()*Table15[[#This Row],[Depth10_Scour]])*Table15[[#This Row],[DECK_WIDTH_MT_052]]*1.062</calculatedColumnFormula>
    </tableColumn>
    <tableColumn id="190" xr3:uid="{271E640E-6FD8-498C-8156-582F7A9839BA}" name="Depth50_cost" dataDxfId="3111">
      <calculatedColumnFormula>Table15[[#This Row],[Depth50_Soil_vol]]*(9.353+9.027)+(Table15[[#This Row],[Depth50_Soil_vol]]/2.5)*20*1.053+(PI()*Table15[[#This Row],[Depth50_Scour]])*Table15[[#This Row],[DECK_WIDTH_MT_052]]*1.062</calculatedColumnFormula>
    </tableColumn>
    <tableColumn id="189" xr3:uid="{47D3E921-B1F4-4BF0-8AB9-8210D183ABC2}" name="Depth100_cost" dataDxfId="3110">
      <calculatedColumnFormula>Table15[[#This Row],[Depth100_Soil_vol]]*(9.353+9.027)+(Table15[[#This Row],[Depth100_Soil_vol]]/2.5)*20*1.053+(PI()*Table15[[#This Row],[Depth100_Scour]])*Table15[[#This Row],[DECK_WIDTH_MT_052]]*1.062</calculatedColumnFormula>
    </tableColumn>
    <tableColumn id="188" xr3:uid="{5602B2EE-3437-42A1-B046-19E5F6C5F312}" name="Depth500_cost" dataDxfId="3109">
      <calculatedColumnFormula>Table15[[#This Row],[Depth500_Soil_vol]]*(9.353+9.027)+(Table15[[#This Row],[Depth500_Soil_vol]]/2.5)*20*1.053+(PI()*Table15[[#This Row],[Depth500_Scour]])*Table15[[#This Row],[DECK_WIDTH_MT_052]]*1.062</calculatedColumnFormula>
    </tableColumn>
    <tableColumn id="43" xr3:uid="{2AE7739B-0586-4C58-B733-38FA944FD6B4}" name="Foundation_Width" dataDxfId="3108"/>
    <tableColumn id="44" xr3:uid="{6CBE0EA9-D138-461C-801B-E57325868D6F}" name="Foundation_length" dataDxfId="3107"/>
    <tableColumn id="45" xr3:uid="{6B095A2D-B84E-4D07-95B6-FF2F785127EC}" name="Shape" dataDxfId="3106"/>
    <tableColumn id="46" xr3:uid="{29231FBF-80D3-4901-A5AC-E21C238A18E8}" name="Depth10_Rating" dataDxfId="3105"/>
    <tableColumn id="47" xr3:uid="{2E264D28-C866-4FD1-AAC7-7F8F3018E20E}" name="Depth50_Rating" dataDxfId="3104"/>
    <tableColumn id="48" xr3:uid="{50FE3C91-B994-4A8B-AF8B-B3E3861DF60D}" name="Depth100_Rating" dataDxfId="3103"/>
    <tableColumn id="49" xr3:uid="{2B1696B8-B69C-4130-A45D-BAD98612C737}" name="Depth500_Rating" dataDxfId="3102"/>
    <tableColumn id="50" xr3:uid="{D57547AE-8143-4EE6-BA64-79961A8D463F}" name="STATE_CODE_001" dataDxfId="3101"/>
    <tableColumn id="51" xr3:uid="{5B1E7122-F439-4545-A90C-AE7EC19710BD}" name="STRUCTURE_NUMBER_008" dataDxfId="3100"/>
    <tableColumn id="52" xr3:uid="{B876772A-5423-48E6-9E3B-A5595D200F0C}" name="LAT_016" dataDxfId="3099"/>
    <tableColumn id="53" xr3:uid="{8A28F747-F2E3-48D0-A1D2-6591F943F962}" name="LONG_017" dataDxfId="3098"/>
    <tableColumn id="54" xr3:uid="{80C5A798-129E-49E0-B35F-68B59947450A}" name="RECORD_TYPE_005A" dataDxfId="3097"/>
    <tableColumn id="55" xr3:uid="{80CC92F9-C168-4D0C-83DB-1EBDFFE6F02F}" name="ROUTE_PREFIX_005B" dataDxfId="3096"/>
    <tableColumn id="56" xr3:uid="{3E372528-8678-49F4-9C8C-0236482AB43D}" name="SERVICE_LEVEL_005C" dataDxfId="3095"/>
    <tableColumn id="57" xr3:uid="{F2AA7C8A-7D26-4955-90FD-C2B3F076431A}" name="ROUTE_NUMBER_005D" dataDxfId="3094"/>
    <tableColumn id="58" xr3:uid="{06B58014-C08A-45C4-A5CC-A386BB81C010}" name="DIRECTION_005E" dataDxfId="3093"/>
    <tableColumn id="59" xr3:uid="{9AB739F2-5688-4A63-8C2E-E8212062A42A}" name="HIGHWAY_DISTRICT_002" dataDxfId="3092"/>
    <tableColumn id="60" xr3:uid="{8C77E8BC-E931-47D8-8798-E31697DD8152}" name="COUNTY_CODE_003" dataDxfId="3091"/>
    <tableColumn id="61" xr3:uid="{FDE1E2EA-80A8-4D6B-8779-F3CA635BB8C7}" name="PLACE_CODE_004" dataDxfId="3090"/>
    <tableColumn id="62" xr3:uid="{190E0898-85E9-44DA-995E-9156BAA666EC}" name="FEATURES_DESC_006A" dataDxfId="3089"/>
    <tableColumn id="63" xr3:uid="{1B4B7DBC-54C3-4C9B-9E8F-216434FB78F8}" name="CRITICAL_FACILITY_006B" dataDxfId="3088"/>
    <tableColumn id="64" xr3:uid="{FBC5E5DE-9321-4D32-8945-711B8EF45B93}" name="FACILITY_CARRIED_007" dataDxfId="3087"/>
    <tableColumn id="65" xr3:uid="{F1BF6F97-8F46-4429-96F7-E97331ECFBBE}" name="LOCATION_009" dataDxfId="3086"/>
    <tableColumn id="66" xr3:uid="{5E48244C-F880-4869-B99E-94307AC0326D}" name="MIN_VERT_CLR_010" dataDxfId="3085"/>
    <tableColumn id="67" xr3:uid="{FD802BC8-58DE-40DD-A8F3-DA6394F92574}" name="KILOPOINT_011" dataDxfId="3084"/>
    <tableColumn id="68" xr3:uid="{FB7E9863-05C6-42A4-AC0B-C6AB8CD924E7}" name="BASE_HWY_NETWORK_012" dataDxfId="3083"/>
    <tableColumn id="69" xr3:uid="{A016BB90-9E12-4551-8D1D-8E5C237AC545}" name="LRS_INV_ROUTE_013A" dataDxfId="3082"/>
    <tableColumn id="70" xr3:uid="{A62B86A9-B323-494A-8337-96F659377903}" name="SUBROUTE_NO_013B" dataDxfId="3081"/>
    <tableColumn id="71" xr3:uid="{D2DA953A-9F90-4B18-8469-5D6551DD6836}" name="DETOUR_KILOS_019" dataDxfId="3080"/>
    <tableColumn id="72" xr3:uid="{B9B91524-B7E0-4C33-8EB3-0D843938295C}" name="TOLL_020" dataDxfId="3079"/>
    <tableColumn id="73" xr3:uid="{BC88350F-6767-4FCA-A8BF-A8524D670909}" name="MAINTENANCE_021" dataDxfId="3078"/>
    <tableColumn id="74" xr3:uid="{22C9473D-1166-4AF8-A833-A550AC5B8F3D}" name="OWNER_022" dataDxfId="3077"/>
    <tableColumn id="75" xr3:uid="{4408E3AB-DC7E-4320-8EDD-2E6337CE62A8}" name="FUNCTIONAL_CLASS_026" dataDxfId="3076"/>
    <tableColumn id="76" xr3:uid="{F7BDD6AB-95E3-4C5F-8595-035177FCAD12}" name="YEAR_BUILT_027" dataDxfId="3075"/>
    <tableColumn id="77" xr3:uid="{B46829E0-0E60-4ACB-B12F-5E36C8A011E5}" name="TRAFFIC_LANES_ON_028A" dataDxfId="3074"/>
    <tableColumn id="78" xr3:uid="{1672AA48-E6BE-4CB9-8259-E859F265F8FA}" name="TRAFFIC_LANES_UND_028B" dataDxfId="3073"/>
    <tableColumn id="79" xr3:uid="{1B53DF49-3B8C-47B3-BE3A-F0F8A072C380}" name="ADT_029" dataDxfId="3072"/>
    <tableColumn id="80" xr3:uid="{D50E9F06-E4F3-44CB-85C5-AD4078027259}" name="YEAR_ADT_030" dataDxfId="3071"/>
    <tableColumn id="81" xr3:uid="{238E19C2-4C6E-43EB-B983-8AAC5D3382B5}" name="DESIGN_LOAD_031" dataDxfId="3070"/>
    <tableColumn id="82" xr3:uid="{7CB4F534-4567-4B73-B8AD-B2140AE8253A}" name="APPR_WIDTH_MT_032" dataDxfId="3069"/>
    <tableColumn id="83" xr3:uid="{C4A68264-CDAB-47B0-937F-0781CD25F05B}" name="MEDIAN_CODE_033" dataDxfId="3068"/>
    <tableColumn id="84" xr3:uid="{917DA3E0-9D15-441C-A607-7F3686DDD770}" name="DEGREES_SKEW_034" dataDxfId="3067"/>
    <tableColumn id="85" xr3:uid="{104A7FCE-ECF7-4288-AC17-CD7267F53FF6}" name="STRUCTURE_FLARED_035" dataDxfId="3066"/>
    <tableColumn id="86" xr3:uid="{3E2EB5DD-4A71-4F38-BE75-D5DC69C3AD54}" name="RAILINGS_036A" dataDxfId="3065"/>
    <tableColumn id="87" xr3:uid="{11EF4DF9-343C-45B2-B8AD-EC80DBD6A899}" name="TRANSITIONS_036B" dataDxfId="3064"/>
    <tableColumn id="88" xr3:uid="{B4E90B34-6AA4-477F-964C-DBA641E05DFF}" name="APPR_RAIL_036C" dataDxfId="3063"/>
    <tableColumn id="89" xr3:uid="{56F9C303-8E3B-4CB1-9B45-D13F553D7B7A}" name="APPR_RAIL_END_036D" dataDxfId="3062"/>
    <tableColumn id="90" xr3:uid="{6FB3498A-044C-4ED8-81E0-E8826846FEEC}" name="HISTORY_037" dataDxfId="3061"/>
    <tableColumn id="91" xr3:uid="{5790B483-8723-40A9-8920-A0DFB49183C3}" name="NAVIGATION_038" dataDxfId="3060"/>
    <tableColumn id="92" xr3:uid="{0E60425B-DE17-43E8-BD66-E87C8DBBC394}" name="NAV_VERT_CLR_MT_039" dataDxfId="3059"/>
    <tableColumn id="93" xr3:uid="{90A04E7F-1B2F-426B-9B97-927DD2A08F7E}" name="NAV_HORR_CLR_MT_040" dataDxfId="3058"/>
    <tableColumn id="94" xr3:uid="{9B10BB42-2768-4430-B431-8AAE6B895EF3}" name="OPEN_CLOSED_POSTED_041" dataDxfId="3057"/>
    <tableColumn id="95" xr3:uid="{4D049E7C-FFD5-444C-9034-0BB5E68B2A8B}" name="SERVICE_ON_042A" dataDxfId="3056"/>
    <tableColumn id="96" xr3:uid="{40D382FD-D1F6-4DE6-A73E-71499A2ADDB9}" name="SERVICE_UND_042B" dataDxfId="3055"/>
    <tableColumn id="97" xr3:uid="{B2E7FE4A-589F-41E1-ABCD-169852746098}" name="STRUCTURE_KIND_043A" dataDxfId="3054"/>
    <tableColumn id="98" xr3:uid="{FE6D3AC3-CEFF-44CC-B85F-24631679A467}" name="STRUCTURE_TYPE_043B" dataDxfId="3053"/>
    <tableColumn id="99" xr3:uid="{C69EE4C4-8A04-4A2E-8C04-12F8AF8A9598}" name="APPR_KIND_044A" dataDxfId="3052"/>
    <tableColumn id="100" xr3:uid="{612672BF-4C7C-4980-ACC2-456D0CDCBD4B}" name="APPR_TYPE_044B" dataDxfId="3051"/>
    <tableColumn id="101" xr3:uid="{41B95F1D-6A33-4D06-9F7B-EE60131A705B}" name="MAIN_UNIT_SPANS_045" dataDxfId="3050"/>
    <tableColumn id="102" xr3:uid="{D778FAAE-9411-457B-BC6C-5101CD11492C}" name="APPR_SPANS_046" dataDxfId="3049"/>
    <tableColumn id="103" xr3:uid="{D18B90C3-BEA4-463D-BA9C-0334F6ED8AAA}" name="HORR_CLR_MT_047" dataDxfId="3048"/>
    <tableColumn id="104" xr3:uid="{A672A167-8B6A-49EE-A372-2BD2E57C5937}" name="MAX_SPAN_LEN_MT_048" dataDxfId="3047"/>
    <tableColumn id="105" xr3:uid="{13AC5071-D056-4C8F-8F7F-0ABEC47AF87C}" name="STRUCTURE_LEN_MT_049" dataDxfId="3046"/>
    <tableColumn id="106" xr3:uid="{DFFDA95C-B938-4BFD-A206-47B922F37EE8}" name="LEFT_CURB_MT_050A" dataDxfId="3045"/>
    <tableColumn id="107" xr3:uid="{5F352EC8-D481-4086-9C7D-B2717966E0A1}" name="RIGHT_CURB_MT_050B" dataDxfId="3044"/>
    <tableColumn id="108" xr3:uid="{F5B75B89-BF1A-4EC8-95BA-B3D894B6ADBC}" name="ROADWAY_WIDTH_MT_051" dataDxfId="3043"/>
    <tableColumn id="109" xr3:uid="{1CDB54CD-55EF-4DFD-A934-354F4279A71D}" name="DECK_WIDTH_MT_052" dataDxfId="3042"/>
    <tableColumn id="110" xr3:uid="{760FBB74-186E-4B34-874C-0C0435598D6A}" name="VERT_CLR_OVER_MT_053" dataDxfId="3041"/>
    <tableColumn id="111" xr3:uid="{A4C64409-A735-4109-9805-88CE74510625}" name="VERT_CLR_UND_REF_054A" dataDxfId="3040"/>
    <tableColumn id="112" xr3:uid="{ABDEDE9B-C3D4-4266-BE8A-2713EEC0E13B}" name="VERT_CLR_UND_054B" dataDxfId="3039"/>
    <tableColumn id="113" xr3:uid="{76E180C2-B032-464B-94A1-249136BCE112}" name="LAT_UND_REF_055A" dataDxfId="3038"/>
    <tableColumn id="114" xr3:uid="{EF39A99F-1AD3-4759-8E62-81E7B98CAE83}" name="LAT_UND_MT_055B" dataDxfId="3037"/>
    <tableColumn id="115" xr3:uid="{116D4E19-1EF1-4B49-83DA-AE6052226F55}" name="LEFT_LAT_UND_MT_056" dataDxfId="3036"/>
    <tableColumn id="116" xr3:uid="{CC77F358-39B4-4D67-BA16-3CBCF60165AB}" name="DECK_COND_058" dataDxfId="3035"/>
    <tableColumn id="117" xr3:uid="{A5EC9A9B-3786-4A36-8C25-A6298D4CED41}" name="SUPERSTRUCTURE_COND_059" dataDxfId="3034"/>
    <tableColumn id="118" xr3:uid="{C715A10D-64F6-4469-A33A-B91DF7392F70}" name="SUBSTRUCTURE_COND_060" dataDxfId="3033"/>
    <tableColumn id="119" xr3:uid="{50EA9EE0-1FC6-4E23-BE8D-21FE17A899E2}" name="CHANNEL_COND_061" dataDxfId="3032"/>
    <tableColumn id="120" xr3:uid="{2A45747D-04F3-4065-BAEF-E56B8C6E0C48}" name="CULVERT_COND_062" dataDxfId="3031"/>
    <tableColumn id="121" xr3:uid="{FCFDDBA2-CB10-4FA7-AC05-47D6F1BC4F48}" name="OPR_RATING_METH_063" dataDxfId="3030"/>
    <tableColumn id="122" xr3:uid="{6BA3B6F3-C664-4142-8A7F-84FDB12897D0}" name="OPERATING_RATING_064" dataDxfId="3029"/>
    <tableColumn id="123" xr3:uid="{2FE216D8-3C96-405A-8552-E8304A240092}" name="INV_RATING_METH_065" dataDxfId="3028"/>
    <tableColumn id="124" xr3:uid="{B0587456-DA03-4D56-9C57-862F394F2C3D}" name="INVENTORY_RATING_066" dataDxfId="3027"/>
    <tableColumn id="125" xr3:uid="{EC764265-0E0D-4886-A59B-FE0E39FE3135}" name="STRUCTURAL_EVAL_067" dataDxfId="3026"/>
    <tableColumn id="126" xr3:uid="{29675DA9-8820-4282-90C1-9709C25092CE}" name="DECK_GEOMETRY_EVAL_068" dataDxfId="3025"/>
    <tableColumn id="127" xr3:uid="{DD1FC752-22E1-48F2-838E-F1AFCE356A38}" name="UNDCLRENCE_EVAL_069" dataDxfId="3024"/>
    <tableColumn id="128" xr3:uid="{6D3DCD6C-A623-4A7E-A60E-0C28A16CE234}" name="POSTING_EVAL_070" dataDxfId="3023"/>
    <tableColumn id="129" xr3:uid="{55CA1735-7E55-4BB9-B5E8-843EBEF41DBA}" name="WATERWAY_EVAL_071" dataDxfId="3022"/>
    <tableColumn id="130" xr3:uid="{BBBEB807-86E4-473F-BA97-0F4903D2C35A}" name="APPR_ROAD_EVAL_072" dataDxfId="3021"/>
    <tableColumn id="131" xr3:uid="{582BA7A8-D34E-4C76-BCF6-A7751C36DC92}" name="WORK_PROPOSED_075A" dataDxfId="3020"/>
    <tableColumn id="132" xr3:uid="{5FC01D9D-5915-4C21-840F-31E2179ECA77}" name="WORK_DONE_BY_075B" dataDxfId="3019"/>
    <tableColumn id="133" xr3:uid="{935A9E33-3B45-452A-A133-C8A2C1CF7F6C}" name="IMP_LEN_MT_076" dataDxfId="3018"/>
    <tableColumn id="134" xr3:uid="{833D85BF-5D19-4FB6-A23B-F91C669697C7}" name="DATE_OF_INSPECT_090" dataDxfId="3017"/>
    <tableColumn id="135" xr3:uid="{075DA2D5-E2BF-49E7-A41E-723672B465F3}" name="INSPECT_FREQ_MONTHS_091" dataDxfId="3016"/>
    <tableColumn id="136" xr3:uid="{602680BA-7CCB-4963-AEE4-0BFE698B2437}" name="FRACTURE_092A" dataDxfId="3015"/>
    <tableColumn id="137" xr3:uid="{5405C60E-2E76-4FC3-88AE-885B91FFB151}" name="UNDWATER_LOOK_SEE_092B" dataDxfId="3014"/>
    <tableColumn id="138" xr3:uid="{E61BED47-B367-4F6F-8830-8669E3ACDD5E}" name="SPEC_INSPECT_092C" dataDxfId="3013"/>
    <tableColumn id="139" xr3:uid="{AC7AB22F-92F0-4FF9-BC22-B9CFBF92E1E4}" name="FRACTURE_LAST_DATE_093A" dataDxfId="3012"/>
    <tableColumn id="140" xr3:uid="{EAFC8086-AAFA-41CD-B56D-6C0907D8D46E}" name="UNDWATER_LAST_DATE_093B" dataDxfId="3011"/>
    <tableColumn id="141" xr3:uid="{1F49A2AD-D81E-4416-A1DD-3EF2D76CB978}" name="SPEC_LAST_DATE_093C" dataDxfId="3010"/>
    <tableColumn id="142" xr3:uid="{4E0A4BA6-8FBC-4C9B-BEAC-348A4DD3DF71}" name="BRIDGE_IMP_COST_094" dataDxfId="3009"/>
    <tableColumn id="143" xr3:uid="{33CDDB65-7D4D-45A5-B0B9-0A449C7C0053}" name="ROADWAY_IMP_COST_095" dataDxfId="3008"/>
    <tableColumn id="144" xr3:uid="{E16C37AC-5BCD-44EF-A69C-4C8B10D629B9}" name="TOTAL_IMP_COST_096" dataDxfId="3007"/>
    <tableColumn id="145" xr3:uid="{EE6ED01E-3715-40F8-A786-A0356A36A817}" name="YEAR_OF_IMP_097" dataDxfId="3006"/>
    <tableColumn id="146" xr3:uid="{883AD0EF-F861-431F-B329-EF936F05A310}" name="OTHER_STATE_CODE_098A" dataDxfId="3005"/>
    <tableColumn id="147" xr3:uid="{F5E37603-47C2-469E-AE07-2BCF72D20BA5}" name="OTHER_STATE_PCNT_098B" dataDxfId="3004"/>
    <tableColumn id="148" xr3:uid="{C7B55664-C913-4DA5-BE54-F07242576A8A}" name="OTHR_STATE_STRUC_NO_099" dataDxfId="3003"/>
    <tableColumn id="149" xr3:uid="{B967D88A-00BA-4228-815B-2B2CBBDA6EA7}" name="STRAHNET_HIGHWAY_100" dataDxfId="3002"/>
    <tableColumn id="150" xr3:uid="{67A48BFD-20CE-4BA0-9E11-008E5FBA30A2}" name="PARALLEL_STRUCTURE_101" dataDxfId="3001"/>
    <tableColumn id="151" xr3:uid="{1695DCC4-3ADE-4C48-BB7B-74129D08CB67}" name="TRAFFIC_DIRECTION_102" dataDxfId="3000"/>
    <tableColumn id="152" xr3:uid="{0BF90AFD-4E80-445D-B321-4DC6C772161B}" name="TEMP_STRUCTURE_103" dataDxfId="2999"/>
    <tableColumn id="153" xr3:uid="{D54FFD1F-2932-4AF4-BC28-3CE9B152127A}" name="HIGHWAY_SYSTEM_104" dataDxfId="2998"/>
    <tableColumn id="154" xr3:uid="{A55FED07-F7C3-484D-8057-7F02E6BA3839}" name="FEDERAL_LANDS_105" dataDxfId="2997"/>
    <tableColumn id="155" xr3:uid="{0877C6AA-0A0D-4FD2-94D8-18CF752ECA23}" name="YEAR_RECONSTRUCTED_106" dataDxfId="2996"/>
    <tableColumn id="156" xr3:uid="{555E8810-6CEB-4738-9FDA-0B5B852BF948}" name="DECK_STRUCTURE_TYPE_107" dataDxfId="2995"/>
    <tableColumn id="157" xr3:uid="{12D83F06-F58D-40C2-8E7D-8875D90508D9}" name="SURFACE_TYPE_108A" dataDxfId="2994"/>
    <tableColumn id="158" xr3:uid="{5EAFB7E2-F3D2-448C-9C26-4F3DBEB54AC3}" name="MEMBRANE_TYPE_108B" dataDxfId="2993"/>
    <tableColumn id="159" xr3:uid="{27AFA145-BC6B-4085-A4B0-2D35919A693B}" name="DECK_PROTECTION_108C" dataDxfId="2992"/>
    <tableColumn id="160" xr3:uid="{6727031D-B082-42C6-BCA4-68F494887CC2}" name="PERCENT_ADT_TRUCK_109" dataDxfId="2991"/>
    <tableColumn id="161" xr3:uid="{A3DB51A4-4DB6-4AA9-A8AC-EF18FCC3331E}" name="NATIONAL_NETWORK_110" dataDxfId="2990"/>
    <tableColumn id="162" xr3:uid="{B0CAA98A-A181-41B0-88FD-B3A60B1924F4}" name="PIER_PROTECTION_111" dataDxfId="2989"/>
    <tableColumn id="163" xr3:uid="{0E39D165-7A91-4136-8E55-9183AB274E9D}" name="BRIDGE_LEN_IND_112" dataDxfId="2988"/>
    <tableColumn id="164" xr3:uid="{39668FBB-F31A-4F18-AE01-D9E7814316D0}" name="SCOUR_CRITICAL_113" dataDxfId="2987"/>
    <tableColumn id="165" xr3:uid="{F61A2261-4917-470F-AE37-D58A1EC42253}" name="FUTURE_ADT_114" dataDxfId="2986"/>
    <tableColumn id="166" xr3:uid="{7B4AFBAC-BE70-4F18-BF93-4D7A73CAB0E8}" name="YEAR_OF_FUTURE_ADT_115" dataDxfId="2985"/>
    <tableColumn id="167" xr3:uid="{274EB8E8-E379-4C2B-AB8F-679DD0ADCF8E}" name="MIN_NAV_CLR_MT_116" dataDxfId="2984"/>
    <tableColumn id="168" xr3:uid="{C251FDFB-EE17-4BBB-9372-BAE4EF8C79E7}" name="FED_AGENCY" dataDxfId="2983"/>
    <tableColumn id="169" xr3:uid="{0CA225FF-D74B-4F42-81BE-D21F86BFAC68}" name="SUBMITTED_BY" dataDxfId="2982"/>
    <tableColumn id="170" xr3:uid="{E772414D-7454-4DCE-AFBD-3B207224C147}" name="BRIDGE_CONDITION" dataDxfId="2981"/>
    <tableColumn id="171" xr3:uid="{02A341F7-015B-4932-8393-7E91D6545110}" name="LOWEST_RATING" dataDxfId="2980"/>
    <tableColumn id="172" xr3:uid="{14A6EDC1-84DE-4A91-8D7D-50CC503DA09E}" name="DECK_AREA" dataDxfId="2979"/>
    <tableColumn id="173" xr3:uid="{1B422526-39E2-4602-A782-F6510BE75665}" name="Detour_Duration" dataDxfId="2978"/>
    <tableColumn id="174" xr3:uid="{258E4DD1-7E13-42A7-A766-843255804188}" name="Min_Unit_Rebuilding_Cost($/ft2)" dataDxfId="2977"/>
    <tableColumn id="175" xr3:uid="{C8512810-B022-4ACE-83ED-647F072A66EF}" name="Max_Unit_Rebuilding_Cost($/ft2)2" dataDxfId="2976"/>
    <tableColumn id="176" xr3:uid="{619FD91C-9658-429F-B307-12FF59E0B224}" name="Cost_Multiplier_for_Early_Replacement" dataDxfId="2975"/>
    <tableColumn id="177" xr3:uid="{5BCB8413-8266-4A6A-81BD-1B2F1BCB1000}" name="Assumed_Number_of_Lives_Lost_in_Bridge_Failure" dataDxfId="2974"/>
    <tableColumn id="178" xr3:uid="{CEC1B101-E2AA-4A20-A439-2BFD1C53F10D}" name="HYRISK_Cost_of_Faliure_term1" dataDxfId="2973"/>
    <tableColumn id="179" xr3:uid="{9F42BA57-0704-4CBD-8A12-94E5FDA0FEF0}" name="HYRISK_Cost_of_Faliure_term2" dataDxfId="2972"/>
    <tableColumn id="180" xr3:uid="{DA9E1C64-3082-4C73-A68B-3366C0530709}" name="HYRISK_Cost_of_Faliure_term3" dataDxfId="2971"/>
    <tableColumn id="181" xr3:uid="{6AA0F05D-2D85-46F4-BD52-0D44B8F0CF09}" name="HYRISK_Cost_of_Faliure_term4" dataDxfId="2970"/>
    <tableColumn id="285" xr3:uid="{46DDFE23-5859-4589-AAEE-E0CCDF5AF40C}" name="HYRISK_Cost_of_Faliure_term5" dataDxfId="2969"/>
    <tableColumn id="286" xr3:uid="{C2BE9540-B4B5-4784-838F-CE897FB93561}" name="Rating_decay" dataDxfId="2968">
      <calculatedColumnFormula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calculatedColumnFormula>
    </tableColumn>
    <tableColumn id="182" xr3:uid="{10DCC944-B143-449D-83C0-55E1DE9F3688}" name="Total_Cost_MUSD" dataDxfId="2967"/>
    <tableColumn id="186" xr3:uid="{ADD86925-4091-43AD-AE39-3BCD50A73492}" name="Hazus_Failure_Prob_10" dataDxfId="2966"/>
    <tableColumn id="185" xr3:uid="{34387480-1A98-4168-9E1D-778523874E7C}" name="Hazus_Failure_Prob_50" dataDxfId="2965"/>
    <tableColumn id="184" xr3:uid="{27DF5B61-BC69-4C61-AAB7-6AC28ADB17C0}" name="Hazus_Failure_Prob_100" dataDxfId="2964"/>
    <tableColumn id="183" xr3:uid="{9B0A6E73-A191-4DBE-A42F-DCA52D5930C4}" name="Hazus_Failure_Prob_500" dataDxfId="2963"/>
    <tableColumn id="187" xr3:uid="{1B54EDBC-FC3A-44D8-B4FD-7FAB0509AE5B}" name="Current_rating" dataDxfId="2962"/>
    <tableColumn id="283" xr3:uid="{960C8D8D-052B-4FFE-B780-EAECCBE191CA}" name="cost_repair_rating0" dataDxfId="2961">
      <calculatedColumnFormula>0.1*Table15[[#This Row],[Total_Cost_MUSD]]*10000</calculatedColumnFormula>
    </tableColumn>
    <tableColumn id="192" xr3:uid="{05C41495-A64F-4E72-BECC-46C653DDEEC1}" name="cost_repair_rating1" dataDxfId="2960">
      <calculatedColumnFormula>0.09*Table15[[#This Row],[Total_Cost_MUSD]]*10000</calculatedColumnFormula>
    </tableColumn>
    <tableColumn id="193" xr3:uid="{E24DBCE1-C6F4-4B8D-B65E-72C710207D2F}" name="cost_repair_rating2" dataDxfId="2959">
      <calculatedColumnFormula>0.08*Table15[[#This Row],[Total_Cost_MUSD]]*10000</calculatedColumnFormula>
    </tableColumn>
    <tableColumn id="194" xr3:uid="{4985337F-FCA0-447B-A984-9B22EBBE0B20}" name="cost_repair_rating3" dataDxfId="2958">
      <calculatedColumnFormula>0.06*Table15[[#This Row],[Total_Cost_MUSD]]*10000</calculatedColumnFormula>
    </tableColumn>
    <tableColumn id="195" xr3:uid="{B7A1866B-B973-4D5F-B986-A812C19BC69D}" name="cost_repair_rating4" dataDxfId="2957">
      <calculatedColumnFormula>0.04*Table15[[#This Row],[Total_Cost_MUSD]]*10000</calculatedColumnFormula>
    </tableColumn>
    <tableColumn id="196" xr3:uid="{781B28C6-C064-496D-8AEC-886F54E6314D}" name="cost_repair_rating5" dataDxfId="2956">
      <calculatedColumnFormula>0.02*Table15[[#This Row],[Total_Cost_MUSD]]*10000</calculatedColumnFormula>
    </tableColumn>
    <tableColumn id="197" xr3:uid="{3810BCC7-AE6A-418D-A4C9-938F9F5A08AF}" name="cost_repair_rating6" dataDxfId="2955">
      <calculatedColumnFormula>Table15[[#This Row],[Total_Cost_MUSD]]*0.001*100000</calculatedColumnFormula>
    </tableColumn>
    <tableColumn id="198" xr3:uid="{25456E8D-471F-4713-AA5F-0363D25E4530}" name="cost_repair_rating7" dataDxfId="2954"/>
    <tableColumn id="199" xr3:uid="{B5DA83AA-1297-40FA-8B9F-F2FAA837E994}" name="cost_repair_rating8" dataDxfId="2953"/>
    <tableColumn id="200" xr3:uid="{7E8AA95B-E5E4-4633-BA15-590014B8EEC9}" name="cost_repair_rating9" dataDxfId="2952"/>
    <tableColumn id="201" xr3:uid="{141C828A-BEAB-4BD1-B1A5-213B0F2FE79C}" name="prob500-failure_rating1" dataDxfId="2951">
      <calculatedColumnFormula>2.5/100</calculatedColumnFormula>
    </tableColumn>
    <tableColumn id="202" xr3:uid="{515034BA-FD47-408E-970F-05F6886319F4}" name="prob500-failure_rating2" dataDxfId="2950"/>
    <tableColumn id="203" xr3:uid="{293E29A1-84CE-469C-8E1C-C50926EF9C27}" name="prob500-failure_rating3" dataDxfId="2949"/>
    <tableColumn id="204" xr3:uid="{A4AC07D2-4FC5-4703-A1DA-B793A7A580C1}" name="prob500-failure_rating4" dataDxfId="2948"/>
    <tableColumn id="205" xr3:uid="{DE28ECEA-4FB1-40CF-B4F0-36E610256D11}" name="prob500-failure_rating5" dataDxfId="2947"/>
    <tableColumn id="206" xr3:uid="{54912A9A-85E7-48EF-99EB-84F561863657}" name="prob500-failure_rating6" dataDxfId="2946"/>
    <tableColumn id="207" xr3:uid="{797D6ADF-C068-431A-942F-BE03DCDFEB13}" name="prob500-failure_rating7" dataDxfId="2945"/>
    <tableColumn id="208" xr3:uid="{3B42A040-C2F5-4920-A68B-26AEC9397C97}" name="prob500-failure_rating8" dataDxfId="2944"/>
    <tableColumn id="209" xr3:uid="{79BE936C-8904-4573-A103-0BBAFE520435}" name="prob500-failure_rating9" dataDxfId="2943"/>
    <tableColumn id="210" xr3:uid="{959A7AFA-9EA7-467E-8CB6-2A67A8A65944}" name="prob100-failure_rating1" dataDxfId="2942">
      <calculatedColumnFormula>1.25/100</calculatedColumnFormula>
    </tableColumn>
    <tableColumn id="211" xr3:uid="{CC740F1F-D826-4D13-91C6-28552E8A94AC}" name="prob100-failure_rating2" dataDxfId="2941"/>
    <tableColumn id="212" xr3:uid="{D6BF5C64-E15E-43A3-93DB-1043E8C9EBF9}" name="prob100-failure_rating3" dataDxfId="2940"/>
    <tableColumn id="213" xr3:uid="{E03CF1BC-E9D4-410E-BD33-0DC741E2A0DE}" name="prob100-failure_rating4" dataDxfId="2939"/>
    <tableColumn id="214" xr3:uid="{28A87FD1-9F27-4BF1-A9FB-DECDB4E00A21}" name="prob100-failure_rating5" dataDxfId="2938"/>
    <tableColumn id="215" xr3:uid="{8616B274-C2A5-4906-9B23-8C55CCFC7855}" name="prob100-failure_rating6" dataDxfId="2937"/>
    <tableColumn id="216" xr3:uid="{963421D1-6295-41F9-B31F-0F34065AFC0F}" name="prob100-failure_rating7" dataDxfId="2936"/>
    <tableColumn id="217" xr3:uid="{EFC15EFD-C242-4DE3-84A7-A90E79DC187F}" name="prob100-failure_rating8" dataDxfId="2935"/>
    <tableColumn id="218" xr3:uid="{B18EBFA4-D238-4631-ABB7-E81822002B67}" name="prob100-failure_rating9" dataDxfId="2934"/>
    <tableColumn id="219" xr3:uid="{3EEE47B5-0602-4154-BA08-A4DE1EB7F76F}" name="prob50-failure_rating1" dataDxfId="2933"/>
    <tableColumn id="220" xr3:uid="{E83CA9CF-4E12-414B-92EF-1380CBEFFC67}" name="prob50-failure_rating2" dataDxfId="2932"/>
    <tableColumn id="221" xr3:uid="{7FCF4665-3BD8-4423-9857-B645B4D59420}" name="prob50-failure_rating3" dataDxfId="2931"/>
    <tableColumn id="222" xr3:uid="{AD1F0657-12F0-434E-BB81-426E4B4E0695}" name="prob50-failure_rating4" dataDxfId="2930"/>
    <tableColumn id="223" xr3:uid="{18B66313-D88A-45ED-B310-44C83EE8337D}" name="prob50-failure_rating5" dataDxfId="2929"/>
    <tableColumn id="224" xr3:uid="{D1BDEB36-0263-45F3-822B-B49A51E9B724}" name="prob50-failure_rating6" dataDxfId="2928"/>
    <tableColumn id="225" xr3:uid="{DE811F7F-6199-4A8C-8D73-E27F1EFE28E1}" name="prob50-failure_rating7" dataDxfId="2927"/>
    <tableColumn id="226" xr3:uid="{3F2E46E9-C66A-4024-83FA-C149C6F4B477}" name="prob50-failure_rating8" dataDxfId="2926"/>
    <tableColumn id="227" xr3:uid="{2867E4CF-28A3-4012-BFA2-B197D6C755E6}" name="prob50-failure_rating9" dataDxfId="2925"/>
    <tableColumn id="228" xr3:uid="{AB3D23CA-6660-4A07-8FB8-E015C54A6DD0}" name="prob10-failure_rating1" dataDxfId="2924"/>
    <tableColumn id="229" xr3:uid="{6E6B0F1C-C90C-40B4-B3AA-5C0E204BF2BE}" name="prob10-failure_rating2" dataDxfId="2923"/>
    <tableColumn id="230" xr3:uid="{FBEA92C4-1026-4E74-A861-10F0FB2E8F61}" name="prob10-failure_rating3" dataDxfId="2922"/>
    <tableColumn id="231" xr3:uid="{48797393-FF61-4855-8FF3-8B7F1E6FC112}" name="prob10-failure_rating4" dataDxfId="2921"/>
    <tableColumn id="232" xr3:uid="{39BFFF7A-C9AD-4076-819D-6C3A66D60269}" name="prob10-failure_rating5" dataDxfId="2920"/>
    <tableColumn id="233" xr3:uid="{D3DEF4CB-37E4-45B2-A9F5-AA2762F09797}" name="prob10-failure_rating6" dataDxfId="2919"/>
    <tableColumn id="234" xr3:uid="{473FA2AA-766F-4E3F-9300-4D73D7ECCEFD}" name="prob10-failure_rating7" dataDxfId="2918"/>
    <tableColumn id="235" xr3:uid="{01D36CBD-69F3-4318-884E-B38522B4345A}" name="prob10-failure_rating8" dataDxfId="2917"/>
    <tableColumn id="236" xr3:uid="{43B37B51-9906-4B3A-ACFF-B658682E73A4}" name="prob10-failure_rating9" dataDxfId="2916"/>
    <tableColumn id="237" xr3:uid="{91171C57-4499-46E8-BBC4-7429E29EF687}" name="failurecost500_rating1" dataDxfId="2915">
      <calculatedColumnFormula>Table15[[#This Row],[Total_Cost_MUSD]]*Table15[[#This Row],[prob500-failure_rating1]]/500</calculatedColumnFormula>
    </tableColumn>
    <tableColumn id="238" xr3:uid="{F6C26999-12DB-4867-B137-EB5EF6E973E9}" name="failurecost500_rating2" dataDxfId="2914">
      <calculatedColumnFormula>Table15[[#This Row],[Total_Cost_MUSD]]*Table15[[#This Row],[prob500-failure_rating2]]/500</calculatedColumnFormula>
    </tableColumn>
    <tableColumn id="239" xr3:uid="{E04DF812-C3F6-4F0D-A268-37501C78CEF8}" name="failurecost500_rating3" dataDxfId="2913">
      <calculatedColumnFormula>Table15[[#This Row],[Total_Cost_MUSD]]*Table15[[#This Row],[prob500-failure_rating3]]/500</calculatedColumnFormula>
    </tableColumn>
    <tableColumn id="240" xr3:uid="{6EDFCD39-B662-4645-8D00-6671BD2CB522}" name="failurecost500_rating4" dataDxfId="2912">
      <calculatedColumnFormula>Table15[[#This Row],[Total_Cost_MUSD]]*Table15[[#This Row],[prob500-failure_rating4]]/500</calculatedColumnFormula>
    </tableColumn>
    <tableColumn id="241" xr3:uid="{9FB0B0A9-0803-4B9B-ABC7-8B89B9D924C9}" name="failurecost500_rating5" dataDxfId="2911">
      <calculatedColumnFormula>Table15[[#This Row],[Total_Cost_MUSD]]*Table15[[#This Row],[prob500-failure_rating5]]/500</calculatedColumnFormula>
    </tableColumn>
    <tableColumn id="242" xr3:uid="{C0454A7E-7442-4C3E-947C-37815C5ECF77}" name="failurecost500_rating6" dataDxfId="2910">
      <calculatedColumnFormula>Table15[[#This Row],[Total_Cost_MUSD]]*Table15[[#This Row],[prob500-failure_rating6]]/500</calculatedColumnFormula>
    </tableColumn>
    <tableColumn id="243" xr3:uid="{FA57D23B-0D67-4DEA-8363-CAED4C7D2BC5}" name="failurecost500_rating7" dataDxfId="2909">
      <calculatedColumnFormula>Table15[[#This Row],[Total_Cost_MUSD]]*Table15[[#This Row],[prob500-failure_rating7]]/500</calculatedColumnFormula>
    </tableColumn>
    <tableColumn id="244" xr3:uid="{3BA6EA97-A176-4451-A37F-853B84E42E00}" name="failurecost500_rating8" dataDxfId="2908">
      <calculatedColumnFormula>Table15[[#This Row],[Total_Cost_MUSD]]*Table15[[#This Row],[prob500-failure_rating8]]/500</calculatedColumnFormula>
    </tableColumn>
    <tableColumn id="245" xr3:uid="{F0B9B467-EEDF-48B5-9CB7-1053EE75DA23}" name="failurecost500_rating9" dataDxfId="2907">
      <calculatedColumnFormula>Table15[[#This Row],[Total_Cost_MUSD]]*Table15[[#This Row],[prob500-failure_rating9]]/500</calculatedColumnFormula>
    </tableColumn>
    <tableColumn id="246" xr3:uid="{149EDFF7-5DA0-47A8-B8A0-E1FCFDF2A9E5}" name="failurecost100_rating1" dataDxfId="2906">
      <calculatedColumnFormula>Table15[[#This Row],[Total_Cost_MUSD]]*Table15[[#This Row],[prob100-failure_rating1]]/100</calculatedColumnFormula>
    </tableColumn>
    <tableColumn id="247" xr3:uid="{98BA381D-2E2A-46AA-974B-1A3A0DAB6638}" name="failurecost100_rating2" dataDxfId="2905">
      <calculatedColumnFormula>Table15[[#This Row],[Total_Cost_MUSD]]*Table15[[#This Row],[prob100-failure_rating2]]/100</calculatedColumnFormula>
    </tableColumn>
    <tableColumn id="248" xr3:uid="{B1F6AA7F-9F28-4A62-BEC4-9591A84B0205}" name="failurecost100_rating3" dataDxfId="2904">
      <calculatedColumnFormula>Table15[[#This Row],[Total_Cost_MUSD]]*Table15[[#This Row],[prob100-failure_rating3]]/100</calculatedColumnFormula>
    </tableColumn>
    <tableColumn id="249" xr3:uid="{EEC0A11D-9286-4B14-A15B-913EE9EBEAA7}" name="failurecost100_rating4" dataDxfId="2903">
      <calculatedColumnFormula>Table15[[#This Row],[Total_Cost_MUSD]]*Table15[[#This Row],[prob100-failure_rating4]]/100</calculatedColumnFormula>
    </tableColumn>
    <tableColumn id="250" xr3:uid="{320F24C3-049D-4C6A-9926-A9B997766016}" name="failurecost100_rating5" dataDxfId="2902">
      <calculatedColumnFormula>Table15[[#This Row],[Total_Cost_MUSD]]*Table15[[#This Row],[prob100-failure_rating5]]/100</calculatedColumnFormula>
    </tableColumn>
    <tableColumn id="251" xr3:uid="{DE464730-16A0-4476-9257-300016D5EE2C}" name="failurecost100_rating6" dataDxfId="2901">
      <calculatedColumnFormula>Table15[[#This Row],[Total_Cost_MUSD]]*Table15[[#This Row],[prob100-failure_rating6]]/100</calculatedColumnFormula>
    </tableColumn>
    <tableColumn id="252" xr3:uid="{5F41D22B-A472-4C92-9596-B5F495FE4D53}" name="failurecost100_rating7" dataDxfId="2900">
      <calculatedColumnFormula>Table15[[#This Row],[Total_Cost_MUSD]]*Table15[[#This Row],[prob100-failure_rating7]]/100</calculatedColumnFormula>
    </tableColumn>
    <tableColumn id="253" xr3:uid="{5F8856F7-2E79-43EC-9206-CCB0E2106E3B}" name="failurecost100_rating8" dataDxfId="2899">
      <calculatedColumnFormula>Table15[[#This Row],[Total_Cost_MUSD]]*Table15[[#This Row],[prob100-failure_rating8]]/100</calculatedColumnFormula>
    </tableColumn>
    <tableColumn id="254" xr3:uid="{7ED52525-B510-4F90-8CF3-5C473A3EFF75}" name="failurecost100_rating9" dataDxfId="2898">
      <calculatedColumnFormula>Table15[[#This Row],[Total_Cost_MUSD]]*Table15[[#This Row],[prob100-failure_rating9]]/100</calculatedColumnFormula>
    </tableColumn>
    <tableColumn id="255" xr3:uid="{CA08A8D2-1FE5-4372-ADB0-5121E63B6432}" name="failurecost50_rating1" dataDxfId="2897">
      <calculatedColumnFormula>Table15[[#This Row],[Total_Cost_MUSD]]*Table15[[#This Row],[prob50-failure_rating1]]/50</calculatedColumnFormula>
    </tableColumn>
    <tableColumn id="256" xr3:uid="{79838196-B19F-4D0A-B2B1-5F5EF9ECBF38}" name="failurecost50_rating2" dataDxfId="2896">
      <calculatedColumnFormula>Table15[[#This Row],[Total_Cost_MUSD]]*Table15[[#This Row],[prob50-failure_rating2]]/50</calculatedColumnFormula>
    </tableColumn>
    <tableColumn id="257" xr3:uid="{E8047260-DCA9-44C2-8C57-8B318DD89D50}" name="failurecost50_rating3" dataDxfId="2895">
      <calculatedColumnFormula>Table15[[#This Row],[Total_Cost_MUSD]]*Table15[[#This Row],[prob50-failure_rating3]]/50</calculatedColumnFormula>
    </tableColumn>
    <tableColumn id="258" xr3:uid="{401F7514-FB8F-4051-A3F5-4547FB2E3C2E}" name="failurecost50_rating4" dataDxfId="2894">
      <calculatedColumnFormula>Table15[[#This Row],[Total_Cost_MUSD]]*Table15[[#This Row],[prob50-failure_rating4]]/50</calculatedColumnFormula>
    </tableColumn>
    <tableColumn id="259" xr3:uid="{762EB421-2EBD-4179-90E8-B51DCF015C45}" name="failurecost50_rating5" dataDxfId="2893">
      <calculatedColumnFormula>Table15[[#This Row],[Total_Cost_MUSD]]*Table15[[#This Row],[prob50-failure_rating5]]/50</calculatedColumnFormula>
    </tableColumn>
    <tableColumn id="260" xr3:uid="{61306E74-2C27-42E3-B697-F9EDE87E91C7}" name="failurecost50_rating6" dataDxfId="2892">
      <calculatedColumnFormula>Table15[[#This Row],[Total_Cost_MUSD]]*Table15[[#This Row],[prob50-failure_rating6]]/50</calculatedColumnFormula>
    </tableColumn>
    <tableColumn id="261" xr3:uid="{6C2668C9-9D71-48C9-86A4-E141B5E6D8C6}" name="failurecost50_rating7" dataDxfId="2891">
      <calculatedColumnFormula>Table15[[#This Row],[Total_Cost_MUSD]]*Table15[[#This Row],[prob50-failure_rating7]]/50</calculatedColumnFormula>
    </tableColumn>
    <tableColumn id="262" xr3:uid="{6C1EC42A-7073-4BE9-A1FB-E7D1CC8401CF}" name="failurecost50_rating8" dataDxfId="2890">
      <calculatedColumnFormula>Table15[[#This Row],[Total_Cost_MUSD]]*Table15[[#This Row],[prob50-failure_rating8]]/50</calculatedColumnFormula>
    </tableColumn>
    <tableColumn id="263" xr3:uid="{0F5BD64D-CCBE-43BB-B55D-60B479FDEF07}" name="failurecost50_rating9" dataDxfId="2889">
      <calculatedColumnFormula>Table15[[#This Row],[Total_Cost_MUSD]]*Table15[[#This Row],[prob50-failure_rating9]]/50</calculatedColumnFormula>
    </tableColumn>
    <tableColumn id="273" xr3:uid="{C5E6BBBC-519B-45F1-847A-7E8AD457EF8F}" name="failurecost10_rating1" dataDxfId="2888">
      <calculatedColumnFormula>Table15[[#This Row],[Total_Cost_MUSD]]*Table15[[#This Row],[prob10-failure_rating1]]/10</calculatedColumnFormula>
    </tableColumn>
    <tableColumn id="274" xr3:uid="{2DD47A35-002C-4C0A-8B60-56015BAF39C9}" name="failurecost10_rating2" dataDxfId="2887">
      <calculatedColumnFormula>Table15[[#This Row],[Total_Cost_MUSD]]*Table15[[#This Row],[prob10-failure_rating2]]/10</calculatedColumnFormula>
    </tableColumn>
    <tableColumn id="275" xr3:uid="{92AAC01F-04E6-4598-BBC7-8487F52BE2BA}" name="failurecost10_rating3" dataDxfId="2886">
      <calculatedColumnFormula>Table15[[#This Row],[Total_Cost_MUSD]]*Table15[[#This Row],[prob10-failure_rating3]]/10</calculatedColumnFormula>
    </tableColumn>
    <tableColumn id="276" xr3:uid="{1B5F50D7-31A4-4B18-B897-C3CE7139A927}" name="failurecost10_rating4" dataDxfId="2885">
      <calculatedColumnFormula>Table15[[#This Row],[Total_Cost_MUSD]]*Table15[[#This Row],[prob10-failure_rating4]]/10</calculatedColumnFormula>
    </tableColumn>
    <tableColumn id="277" xr3:uid="{CCFDFEE1-470A-4E11-9029-D1A60D3B190E}" name="failurecost10_rating5" dataDxfId="2884">
      <calculatedColumnFormula>Table15[[#This Row],[Total_Cost_MUSD]]*Table15[[#This Row],[prob10-failure_rating5]]/10</calculatedColumnFormula>
    </tableColumn>
    <tableColumn id="278" xr3:uid="{AD807EA6-3349-48EE-89CC-263FE9169462}" name="failurecost10_rating6" dataDxfId="2883">
      <calculatedColumnFormula>Table15[[#This Row],[Total_Cost_MUSD]]*Table15[[#This Row],[prob10-failure_rating6]]/10</calculatedColumnFormula>
    </tableColumn>
    <tableColumn id="279" xr3:uid="{52AB623F-E2E3-419E-B04F-2B170CE657B3}" name="failurecost10_rating7" dataDxfId="2882">
      <calculatedColumnFormula>Table15[[#This Row],[Total_Cost_MUSD]]*Table15[[#This Row],[prob10-failure_rating7]]/10</calculatedColumnFormula>
    </tableColumn>
    <tableColumn id="280" xr3:uid="{BFFAF898-57A6-4063-AD47-9D203FE76190}" name="failurecost10_rating8" dataDxfId="2881">
      <calculatedColumnFormula>Table15[[#This Row],[Total_Cost_MUSD]]*Table15[[#This Row],[prob10-failure_rating8]]/10</calculatedColumnFormula>
    </tableColumn>
    <tableColumn id="281" xr3:uid="{387140FC-D7D7-4DB7-9A7F-2E0250F55CA2}" name="failurecost10_rating9" dataDxfId="2880">
      <calculatedColumnFormula>Table15[[#This Row],[Total_Cost_MUSD]]*Table15[[#This Row],[prob10-failure_rating9]]/10</calculatedColumnFormula>
    </tableColumn>
    <tableColumn id="282" xr3:uid="{A7C71CA3-F5F7-41FB-9BB2-A87B7976D138}" name="FailureCost_Rating0" dataDxfId="2879">
      <calculatedColumnFormula>Table15[[#This Row],[FailureCost_Rating1]]</calculatedColumnFormula>
    </tableColumn>
    <tableColumn id="264" xr3:uid="{DA2C0271-CF78-448A-9C56-786BCEB6BE7F}" name="FailureCost_Rating1" dataDxfId="2878">
      <calculatedColumnFormula>Table15[[#This Row],[FailureCost_Rating2]]</calculatedColumnFormula>
    </tableColumn>
    <tableColumn id="265" xr3:uid="{6DA8C7B2-4456-4F02-ABA0-18A69655322F}" name="FailureCost_Rating2" dataDxfId="2877">
      <calculatedColumnFormula>(Table15[[#This Row],[failurecost500_rating2]]+Table15[[#This Row],[failurecost100_rating2]]+Table15[[#This Row],[failurecost50_rating2]]+Table15[[#This Row],[failurecost10_rating2]])*1000000</calculatedColumnFormula>
    </tableColumn>
    <tableColumn id="266" xr3:uid="{D04C0DC3-44F0-4B5E-AC77-41EBD03EEBAC}" name="FailureCost_Rating3" dataDxfId="2876">
      <calculatedColumnFormula>(Table15[[#This Row],[failurecost500_rating3]]+Table15[[#This Row],[failurecost100_rating3]]+Table15[[#This Row],[failurecost50_rating3]]+Table15[[#This Row],[failurecost10_rating3]])*1000000</calculatedColumnFormula>
    </tableColumn>
    <tableColumn id="267" xr3:uid="{D8656B80-67A0-4045-842A-5310FB354783}" name="FailureCost_Rating4" dataDxfId="2875">
      <calculatedColumnFormula>(Table15[[#This Row],[failurecost500_rating4]]+Table15[[#This Row],[failurecost100_rating4]]+Table15[[#This Row],[failurecost50_rating4]]+Table15[[#This Row],[failurecost10_rating4]])*1000000</calculatedColumnFormula>
    </tableColumn>
    <tableColumn id="268" xr3:uid="{C2529364-60BD-4014-B9A3-CCDDE3FACDD1}" name="FailureCost_Rating5" dataDxfId="2874">
      <calculatedColumnFormula>(Table15[[#This Row],[failurecost500_rating5]]+Table15[[#This Row],[failurecost100_rating5]]+Table15[[#This Row],[failurecost50_rating5]]+Table15[[#This Row],[failurecost10_rating5]])*1000000</calculatedColumnFormula>
    </tableColumn>
    <tableColumn id="269" xr3:uid="{B8E69C99-E1BD-431C-87EF-1954EE15A5AF}" name="FailureCost_Rating6" dataDxfId="2873">
      <calculatedColumnFormula>(Table15[[#This Row],[failurecost500_rating6]]+Table15[[#This Row],[failurecost100_rating6]]+Table15[[#This Row],[failurecost50_rating6]]+Table15[[#This Row],[failurecost10_rating6]])*1000000</calculatedColumnFormula>
    </tableColumn>
    <tableColumn id="270" xr3:uid="{5E737D72-63BB-4B12-876F-E0AA0DE1A992}" name="FailureCost_Rating7" dataDxfId="2872">
      <calculatedColumnFormula>(Table15[[#This Row],[failurecost500_rating7]]+Table15[[#This Row],[failurecost100_rating7]]+Table15[[#This Row],[failurecost50_rating7]]+Table15[[#This Row],[failurecost10_rating7]])*1000000</calculatedColumnFormula>
    </tableColumn>
    <tableColumn id="271" xr3:uid="{78838963-7EFF-49A1-AAF0-AED918FBCC27}" name="FailureCost_Rating8" dataDxfId="2871">
      <calculatedColumnFormula>(Table15[[#This Row],[failurecost500_rating8]]+Table15[[#This Row],[failurecost100_rating8]]+Table15[[#This Row],[failurecost50_rating8]]+Table15[[#This Row],[failurecost10_rating8]])*1000000</calculatedColumnFormula>
    </tableColumn>
    <tableColumn id="272" xr3:uid="{3489B5BA-762A-4145-B4EC-D8FE086BA437}" name="FailureCost_Rating9" dataDxfId="2870">
      <calculatedColumnFormula>(Table15[[#This Row],[failurecost500_rating9]]+Table15[[#This Row],[failurecost100_rating9]]+Table15[[#This Row],[failurecost50_rating9]]+Table15[[#This Row],[failurecost10_rating9]])*1000000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90FB49-9107-41E1-A5C0-42156DD56CAF}" name="Table156" displayName="Table156" ref="A1:JY20" totalsRowShown="0" headerRowDxfId="2869" dataDxfId="2868">
  <autoFilter ref="A1:JY20" xr:uid="{1E05EA88-988A-4182-B643-40FC3C5FB242}"/>
  <tableColumns count="285">
    <tableColumn id="1" xr3:uid="{54C93A3D-37DD-449D-99AC-EB6649B9D5DD}" name="Number" dataDxfId="2867"/>
    <tableColumn id="2" xr3:uid="{F5ACBDAF-770D-4653-B9C5-9492CEAE10DF}" name="Structure Name" dataDxfId="2866"/>
    <tableColumn id="3" xr3:uid="{7B9529D8-D0FD-4DD6-A47B-E4794B1A4484}" name="Body of water" dataDxfId="2865"/>
    <tableColumn id="4" xr3:uid="{81DCC18C-F300-46CC-A208-E8D1EFE12F0A}" name="Lattitude" dataDxfId="2864"/>
    <tableColumn id="5" xr3:uid="{8F6FC486-BA46-495A-8EA3-F37FA561FCB0}" name="Longitude" dataDxfId="2863"/>
    <tableColumn id="6" xr3:uid="{A2C05814-FAE1-4827-BEE7-301D5163DF7C}" name="Depth50" dataDxfId="2862"/>
    <tableColumn id="7" xr3:uid="{B1937DA3-C672-45AD-BF5C-F0BB7F6CC10F}" name="Depth10" dataDxfId="2861"/>
    <tableColumn id="8" xr3:uid="{50192E63-74F6-4865-8002-842545C35670}" name="Depth100" dataDxfId="2860"/>
    <tableColumn id="9" xr3:uid="{181495B3-3CF5-48B9-8C54-B3D5B6D44F65}" name="Depth500" dataDxfId="2859"/>
    <tableColumn id="10" xr3:uid="{1CA4D8ED-344C-4A1F-B2C8-3B9D67FD2EF5}" name="Depth0_area" dataDxfId="2858"/>
    <tableColumn id="11" xr3:uid="{924E30F9-C141-45A3-B159-2D240AA36C36}" name="Depth0_wet" dataDxfId="2857"/>
    <tableColumn id="12" xr3:uid="{2F6C6BA3-437F-4D3F-BE1F-B4B6ABDCECF3}" name="Depth10_area" dataDxfId="2856"/>
    <tableColumn id="13" xr3:uid="{2F395D1B-183F-4666-BA78-4B32A8493D3F}" name="Depth10_wet" dataDxfId="2855"/>
    <tableColumn id="14" xr3:uid="{B8162158-31E8-4680-9B5D-781CB90B8117}" name="Depth50_area" dataDxfId="2854"/>
    <tableColumn id="15" xr3:uid="{D45DCB7F-32A2-4123-AE82-5CDF00A2134A}" name="Depth50_wet" dataDxfId="2853"/>
    <tableColumn id="16" xr3:uid="{D5FDAE65-0875-4AAD-AB84-C46362FB293F}" name="Depth100_area" dataDxfId="2852"/>
    <tableColumn id="17" xr3:uid="{03255479-B489-4589-925D-D4932EE6FA2A}" name="Depth100_wet" dataDxfId="2851"/>
    <tableColumn id="18" xr3:uid="{83C7F70D-26A4-4E5D-AF89-EEF3A7F96F3C}" name="Depth500_area" dataDxfId="2850"/>
    <tableColumn id="19" xr3:uid="{0E982FB4-3406-493F-B4FC-669F707F8AD9}" name="Depth500_wet" dataDxfId="2849"/>
    <tableColumn id="20" xr3:uid="{55537FC8-A359-4AF1-BAA4-8C075A5BA1E6}" name="Depth0_HydraulicRadius" dataDxfId="2848"/>
    <tableColumn id="21" xr3:uid="{7A0F72C4-7B36-4760-A583-B962F42D8E8F}" name="Depth10_HydraulicRadius" dataDxfId="2847"/>
    <tableColumn id="22" xr3:uid="{546E0054-0C31-46E7-98FE-51F80D877F9C}" name="Depth50_HydraulicRadius" dataDxfId="2846"/>
    <tableColumn id="23" xr3:uid="{9B9C5749-A5C4-4545-874A-C84C56D7A27D}" name="Depth100_HydraulicRadius" dataDxfId="2845"/>
    <tableColumn id="24" xr3:uid="{0109A3EB-AA93-46B8-A6E9-4C28B6DFF632}" name="Depth500_HydraulicRadius" dataDxfId="2844"/>
    <tableColumn id="25" xr3:uid="{00ECA538-C7C0-4034-9810-B22B5BE1F8BE}" name="Slope" dataDxfId="2843"/>
    <tableColumn id="26" xr3:uid="{D01CEFD1-2042-4A6C-8CD6-33D31071A41C}" name="Foundation_Depth" dataDxfId="2842"/>
    <tableColumn id="27" xr3:uid="{E0E20316-8508-4796-AB75-0089788946BD}" name="Depth10_velocity" dataDxfId="2841"/>
    <tableColumn id="28" xr3:uid="{3144F919-BDA0-42B7-984B-A3BD1D15E093}" name="Depth50_velocity" dataDxfId="2840"/>
    <tableColumn id="29" xr3:uid="{FE117B6E-A76B-40F2-8C84-B38296214BE7}" name="Depth100_velocity" dataDxfId="2839"/>
    <tableColumn id="30" xr3:uid="{16B98E1E-0781-44E8-91E7-66144F363AE2}" name="Depth500_velocity" dataDxfId="2838"/>
    <tableColumn id="31" xr3:uid="{BF9EB075-EE31-4FCA-8041-85986D956944}" name="Depth10_Froud" dataDxfId="2837"/>
    <tableColumn id="32" xr3:uid="{2BC1C2B5-3C00-4F25-AB3A-5C2F9662C0D7}" name="Depth50_Froud" dataDxfId="2836"/>
    <tableColumn id="33" xr3:uid="{511B7580-74EE-4191-B0A0-CE73E5473AF1}" name="Depth100_Froud" dataDxfId="2835"/>
    <tableColumn id="34" xr3:uid="{33D128D0-4EA8-4F06-A217-E529B7C6E8DD}" name="Depth500_Froud" dataDxfId="2834"/>
    <tableColumn id="35" xr3:uid="{3043F50B-1655-4DA9-A0FD-5A02F34EAC3F}" name="Depth10_Scour" dataDxfId="2833"/>
    <tableColumn id="36" xr3:uid="{EA06A3B4-1774-4CDD-9FDD-0515AF241FCB}" name="Depth50_Scour" dataDxfId="2832"/>
    <tableColumn id="37" xr3:uid="{42BCB382-5CEE-48C4-A9DC-CB5F25430C1A}" name="Depth100_Scour" dataDxfId="2831"/>
    <tableColumn id="38" xr3:uid="{8C637CDE-5C38-4223-AF83-BAF536A0AFD5}" name="Depth500_Scour" dataDxfId="2830"/>
    <tableColumn id="39" xr3:uid="{85656E05-2D61-4FCA-8292-2D6CBD3A5BD9}" name="Depth10_Soil_vol" dataDxfId="2829"/>
    <tableColumn id="40" xr3:uid="{D5FC7ABD-B8B9-4C68-A430-032464573D8A}" name="Depth50_Soil_vol" dataDxfId="2828"/>
    <tableColumn id="41" xr3:uid="{57387050-0CAF-44FA-AEAC-A26F1E10B144}" name="Depth100_Soil_vol" dataDxfId="2827"/>
    <tableColumn id="42" xr3:uid="{221068A8-A653-4BA6-837D-84F774CC49FE}" name="Depth500_Soil_vol" dataDxfId="2826"/>
    <tableColumn id="191" xr3:uid="{395CFDF0-97E5-4975-8498-DC896859B7A4}" name="Depth10_cost" dataDxfId="2825">
      <calculatedColumnFormula>Table156[[#This Row],[Depth10_Soil_vol]]*(9.353+9.027)+(Table156[[#This Row],[Depth10_Soil_vol]]/2.5)*20*1.053+(PI()*Table156[[#This Row],[Depth10_Scour]])*Table156[[#This Row],[DECK_WIDTH_MT_052]]*1.062</calculatedColumnFormula>
    </tableColumn>
    <tableColumn id="190" xr3:uid="{9687A752-5F0C-432D-80CE-7A39C4090EAF}" name="Depth50_cost" dataDxfId="2824">
      <calculatedColumnFormula>Table156[[#This Row],[Depth50_Soil_vol]]*(9.353+9.027)+(Table156[[#This Row],[Depth50_Soil_vol]]/2.5)*20*1.053+(PI()*Table156[[#This Row],[Depth50_Scour]])*Table156[[#This Row],[DECK_WIDTH_MT_052]]*1.062</calculatedColumnFormula>
    </tableColumn>
    <tableColumn id="189" xr3:uid="{4E12A0F4-52B9-4F86-B053-81E6B231E4FC}" name="Depth100_cost" dataDxfId="2823">
      <calculatedColumnFormula>Table156[[#This Row],[Depth100_Soil_vol]]*(9.353+9.027)+(Table156[[#This Row],[Depth100_Soil_vol]]/2.5)*20*1.053+(PI()*Table156[[#This Row],[Depth100_Scour]])*Table156[[#This Row],[DECK_WIDTH_MT_052]]*1.062</calculatedColumnFormula>
    </tableColumn>
    <tableColumn id="188" xr3:uid="{9643A1B9-E9CF-4215-A004-BC38D189308B}" name="Depth500_cost" dataDxfId="2822">
      <calculatedColumnFormula>Table156[[#This Row],[Depth500_Soil_vol]]*(9.353+9.027)+(Table156[[#This Row],[Depth500_Soil_vol]]/2.5)*20*1.053+(PI()*Table156[[#This Row],[Depth500_Scour]])*Table156[[#This Row],[DECK_WIDTH_MT_052]]*1.062</calculatedColumnFormula>
    </tableColumn>
    <tableColumn id="43" xr3:uid="{15E747CB-3157-4FF6-BD96-8FA7EE1A95BC}" name="Foundation_Width" dataDxfId="2821"/>
    <tableColumn id="44" xr3:uid="{3541BFFE-3A8E-4E46-B8FC-80B933E1B70B}" name="Foundation_length" dataDxfId="2820"/>
    <tableColumn id="45" xr3:uid="{0703C902-35DE-43D6-A09E-FFCD56302141}" name="Shape" dataDxfId="2819"/>
    <tableColumn id="46" xr3:uid="{C48DED01-485B-43BD-9567-08F2FEBB1D83}" name="Depth10_Rating" dataDxfId="2818"/>
    <tableColumn id="47" xr3:uid="{647B886B-C163-4472-A74F-E39FE3E4A9A4}" name="Depth50_Rating" dataDxfId="2817"/>
    <tableColumn id="48" xr3:uid="{B0B38DE2-2EA8-469C-9BA7-5FDB83892B3A}" name="Depth100_Rating" dataDxfId="2816"/>
    <tableColumn id="49" xr3:uid="{AA07AB71-8048-48B7-8373-496E2326DFA1}" name="Depth500_Rating" dataDxfId="2815"/>
    <tableColumn id="50" xr3:uid="{97A931D4-AB91-485F-A96D-453E459EC2D7}" name="STATE_CODE_001" dataDxfId="2814"/>
    <tableColumn id="51" xr3:uid="{CB89E621-30C4-4BA9-893B-821CA33FD8D0}" name="STRUCTURE_NUMBER_008" dataDxfId="2813"/>
    <tableColumn id="52" xr3:uid="{68D335E3-8A8C-4E03-B3EC-51AF2C03B0EA}" name="LAT_016" dataDxfId="2812"/>
    <tableColumn id="53" xr3:uid="{5731A3E3-3B4B-4C03-AED0-54AFBC664CD9}" name="LONG_017" dataDxfId="2811"/>
    <tableColumn id="54" xr3:uid="{D1568CBB-6083-4404-86B8-7DBE38DCD38B}" name="RECORD_TYPE_005A" dataDxfId="2810"/>
    <tableColumn id="55" xr3:uid="{D3799833-445B-4607-9D2C-B80516C22984}" name="ROUTE_PREFIX_005B" dataDxfId="2809"/>
    <tableColumn id="56" xr3:uid="{508A0C28-D183-4D47-86C5-39F7420FAE41}" name="SERVICE_LEVEL_005C" dataDxfId="2808"/>
    <tableColumn id="57" xr3:uid="{5C7E4788-27DE-47C5-81D6-555D5B776D80}" name="ROUTE_NUMBER_005D" dataDxfId="2807"/>
    <tableColumn id="58" xr3:uid="{90668D28-BD7F-46F6-9741-92D787F9EE04}" name="DIRECTION_005E" dataDxfId="2806"/>
    <tableColumn id="59" xr3:uid="{BD9CBE8A-3DC7-42D3-BDF1-1077BE385809}" name="HIGHWAY_DISTRICT_002" dataDxfId="2805"/>
    <tableColumn id="60" xr3:uid="{11FC212B-55F0-409A-A2A7-B87FD7C0C34A}" name="COUNTY_CODE_003" dataDxfId="2804"/>
    <tableColumn id="61" xr3:uid="{C85F8AE3-5054-4B53-BCF4-6711BBA46B78}" name="PLACE_CODE_004" dataDxfId="2803"/>
    <tableColumn id="62" xr3:uid="{23AEF55F-3F0D-4AFA-AB91-4CCED7F22E6F}" name="FEATURES_DESC_006A" dataDxfId="2802"/>
    <tableColumn id="63" xr3:uid="{2B694ED5-C307-48C8-879D-0161683DBD77}" name="CRITICAL_FACILITY_006B" dataDxfId="2801"/>
    <tableColumn id="64" xr3:uid="{45F774B8-64F6-4370-A8DC-B28AE3602D65}" name="FACILITY_CARRIED_007" dataDxfId="2800"/>
    <tableColumn id="65" xr3:uid="{B3FF3510-0A9B-41DE-8544-038551028144}" name="LOCATION_009" dataDxfId="2799"/>
    <tableColumn id="66" xr3:uid="{09731448-1ED9-4232-A49E-4E430FBBBB3F}" name="MIN_VERT_CLR_010" dataDxfId="2798"/>
    <tableColumn id="67" xr3:uid="{FBB34B0A-FDB9-42E6-B05F-5D709CCC3AD6}" name="KILOPOINT_011" dataDxfId="2797"/>
    <tableColumn id="68" xr3:uid="{F55896CC-3B22-44C8-BB48-2DC6AC726102}" name="BASE_HWY_NETWORK_012" dataDxfId="2796"/>
    <tableColumn id="69" xr3:uid="{1C3ED331-B538-4731-82A7-4D5B2F805D49}" name="LRS_INV_ROUTE_013A" dataDxfId="2795"/>
    <tableColumn id="70" xr3:uid="{234DC8D2-CB02-431B-82C4-7524E0A1EEAA}" name="SUBROUTE_NO_013B" dataDxfId="2794"/>
    <tableColumn id="71" xr3:uid="{73EFECCB-758A-4C38-90AF-F0D53520E82D}" name="DETOUR_KILOS_019" dataDxfId="2793"/>
    <tableColumn id="72" xr3:uid="{5D219FB3-844F-4995-A5D1-A5AEDF40D0CB}" name="TOLL_020" dataDxfId="2792"/>
    <tableColumn id="73" xr3:uid="{9C187AD8-C376-4D11-ACCA-FCDAA1F509B1}" name="MAINTENANCE_021" dataDxfId="2791"/>
    <tableColumn id="74" xr3:uid="{0C017788-951A-4C20-BDA4-470FF39B66CF}" name="OWNER_022" dataDxfId="2790"/>
    <tableColumn id="75" xr3:uid="{B4430535-0B7C-4325-B87A-0A5E14D16B42}" name="FUNCTIONAL_CLASS_026" dataDxfId="2789"/>
    <tableColumn id="76" xr3:uid="{1E2F15CE-F95D-46C7-B9A7-276F1DEB1C5F}" name="YEAR_BUILT_027" dataDxfId="2788"/>
    <tableColumn id="77" xr3:uid="{2990961F-8B51-4FF1-8C7D-DF226690768C}" name="TRAFFIC_LANES_ON_028A" dataDxfId="2787"/>
    <tableColumn id="78" xr3:uid="{AF0E5F68-6A97-4772-A41C-F68FAE78B857}" name="TRAFFIC_LANES_UND_028B" dataDxfId="2786"/>
    <tableColumn id="79" xr3:uid="{E50795E4-4503-41AD-AA14-5F570D2C726B}" name="ADT_029" dataDxfId="2785"/>
    <tableColumn id="80" xr3:uid="{0DEB5352-40DB-4477-A426-56E4531D8686}" name="YEAR_ADT_030" dataDxfId="2784"/>
    <tableColumn id="81" xr3:uid="{3CD94E35-55D6-494A-A189-BAB290837167}" name="DESIGN_LOAD_031" dataDxfId="2783"/>
    <tableColumn id="82" xr3:uid="{D5207240-FD49-479C-941C-D3CE741F20FD}" name="APPR_WIDTH_MT_032" dataDxfId="2782"/>
    <tableColumn id="83" xr3:uid="{B4CF8E52-1D93-43A2-9F49-E297C5C45804}" name="MEDIAN_CODE_033" dataDxfId="2781"/>
    <tableColumn id="84" xr3:uid="{73162901-5F48-4265-8030-7549EA6CAE0E}" name="DEGREES_SKEW_034" dataDxfId="2780"/>
    <tableColumn id="85" xr3:uid="{22EFD247-0AF0-4134-9AEC-E84ACF9A12C3}" name="STRUCTURE_FLARED_035" dataDxfId="2779"/>
    <tableColumn id="86" xr3:uid="{5D19BA86-DA97-458E-8C79-6BED329360E7}" name="RAILINGS_036A" dataDxfId="2778"/>
    <tableColumn id="87" xr3:uid="{DB02F8C2-CFFF-41D5-B313-5B3BC464E622}" name="TRANSITIONS_036B" dataDxfId="2777"/>
    <tableColumn id="88" xr3:uid="{16D60CFC-9545-4F43-8937-A7BF2DE09357}" name="APPR_RAIL_036C" dataDxfId="2776"/>
    <tableColumn id="89" xr3:uid="{DD194A18-2716-4E86-880A-FE3CA450FDDC}" name="APPR_RAIL_END_036D" dataDxfId="2775"/>
    <tableColumn id="90" xr3:uid="{778C0A6F-CDD7-44E5-AAB9-ACA6B8DC125D}" name="HISTORY_037" dataDxfId="2774"/>
    <tableColumn id="91" xr3:uid="{63B6CFC3-D78F-43BD-ADBC-FFFC5D82999F}" name="NAVIGATION_038" dataDxfId="2773"/>
    <tableColumn id="92" xr3:uid="{D54079E1-D3D3-4787-B4CA-A5E0D889F43B}" name="NAV_VERT_CLR_MT_039" dataDxfId="2772"/>
    <tableColumn id="93" xr3:uid="{8667C0EC-E839-4862-9646-4F363AC5C48A}" name="NAV_HORR_CLR_MT_040" dataDxfId="2771"/>
    <tableColumn id="94" xr3:uid="{C701C561-188C-45DE-BBB4-83A6A321884C}" name="OPEN_CLOSED_POSTED_041" dataDxfId="2770"/>
    <tableColumn id="95" xr3:uid="{8EF01072-5DA7-4A65-B189-0231152CBC87}" name="SERVICE_ON_042A" dataDxfId="2769"/>
    <tableColumn id="96" xr3:uid="{8FBD36F1-EEF1-46D4-8C45-1E85C28F11F4}" name="SERVICE_UND_042B" dataDxfId="2768"/>
    <tableColumn id="97" xr3:uid="{EE5F2595-6DD4-475E-81B9-783185A228FE}" name="STRUCTURE_KIND_043A" dataDxfId="2767"/>
    <tableColumn id="98" xr3:uid="{28CFF5EC-B5EC-4EDC-BEBB-09F84773B015}" name="STRUCTURE_TYPE_043B" dataDxfId="2766"/>
    <tableColumn id="99" xr3:uid="{612677E3-7752-4756-8DEC-1B5C5DF4CD72}" name="APPR_KIND_044A" dataDxfId="2765"/>
    <tableColumn id="100" xr3:uid="{A578F2CA-A186-4B97-A9F3-C2BCD7B6E859}" name="APPR_TYPE_044B" dataDxfId="2764"/>
    <tableColumn id="101" xr3:uid="{EBD38553-9F89-4490-B635-DF69A7E97995}" name="MAIN_UNIT_SPANS_045" dataDxfId="2763"/>
    <tableColumn id="102" xr3:uid="{FACBC491-B048-4CAF-ACC5-EFE3DBF07F24}" name="APPR_SPANS_046" dataDxfId="2762"/>
    <tableColumn id="103" xr3:uid="{E7642F6A-A029-4DD7-9840-64CF4A8BE520}" name="HORR_CLR_MT_047" dataDxfId="2761"/>
    <tableColumn id="104" xr3:uid="{48E04F00-B843-430A-A4F2-167B21939DED}" name="MAX_SPAN_LEN_MT_048" dataDxfId="2760"/>
    <tableColumn id="105" xr3:uid="{D8C74EE2-B929-4BB3-9509-1A543AC110FA}" name="STRUCTURE_LEN_MT_049" dataDxfId="2759"/>
    <tableColumn id="106" xr3:uid="{951EF797-CCC8-45B2-8D2A-0225BC897F61}" name="LEFT_CURB_MT_050A" dataDxfId="2758"/>
    <tableColumn id="107" xr3:uid="{53157C0C-6BA3-4334-982B-EB667C19F2D6}" name="RIGHT_CURB_MT_050B" dataDxfId="2757"/>
    <tableColumn id="108" xr3:uid="{FBEBD60E-3B31-4E2C-91C3-1C4F7D858E63}" name="ROADWAY_WIDTH_MT_051" dataDxfId="2756"/>
    <tableColumn id="109" xr3:uid="{A3095512-8AB1-4D34-B7AB-2A3151238A06}" name="DECK_WIDTH_MT_052" dataDxfId="2755"/>
    <tableColumn id="110" xr3:uid="{E3A98E2E-2B03-4014-B4DD-DDBC3F213F5E}" name="VERT_CLR_OVER_MT_053" dataDxfId="2754"/>
    <tableColumn id="111" xr3:uid="{40DF7604-2600-4AFC-9A62-5057E72E7159}" name="VERT_CLR_UND_REF_054A" dataDxfId="2753"/>
    <tableColumn id="112" xr3:uid="{4D7F8386-DC28-437E-9184-A0061182FD7E}" name="VERT_CLR_UND_054B" dataDxfId="2752"/>
    <tableColumn id="113" xr3:uid="{84FF3FFC-575D-41F0-9800-6C75D527E039}" name="LAT_UND_REF_055A" dataDxfId="2751"/>
    <tableColumn id="114" xr3:uid="{EF3343CD-D6EF-413B-B6EF-8C6FFCCE7892}" name="LAT_UND_MT_055B" dataDxfId="2750"/>
    <tableColumn id="115" xr3:uid="{D8E8ABEA-AE76-451B-BF7E-025ED789DAD2}" name="LEFT_LAT_UND_MT_056" dataDxfId="2749"/>
    <tableColumn id="116" xr3:uid="{3623116C-7220-4EFE-9990-B3029604DC1C}" name="DECK_COND_058" dataDxfId="2748"/>
    <tableColumn id="117" xr3:uid="{99A0F6D3-78AC-4F88-B37F-167ED180AC70}" name="SUPERSTRUCTURE_COND_059" dataDxfId="2747"/>
    <tableColumn id="118" xr3:uid="{E7C6E73F-7AE7-41B4-B405-16EB0DA98E5A}" name="SUBSTRUCTURE_COND_060" dataDxfId="2746"/>
    <tableColumn id="119" xr3:uid="{776DEC50-7A41-4E88-BBBD-EB6D8D45FC16}" name="CHANNEL_COND_061" dataDxfId="2745"/>
    <tableColumn id="120" xr3:uid="{5A3D6B77-B68C-4011-93EF-F1779C68946D}" name="CULVERT_COND_062" dataDxfId="2744"/>
    <tableColumn id="121" xr3:uid="{AB9F2C36-C643-4C81-8AFB-3D36579BA140}" name="OPR_RATING_METH_063" dataDxfId="2743"/>
    <tableColumn id="122" xr3:uid="{8DD60DB5-AB41-4726-8C50-EE9D49ABC40D}" name="OPERATING_RATING_064" dataDxfId="2742"/>
    <tableColumn id="123" xr3:uid="{F152BEFB-16D2-4CD6-9618-20C5AACD433D}" name="INV_RATING_METH_065" dataDxfId="2741"/>
    <tableColumn id="124" xr3:uid="{703101AB-FA71-4D65-986E-FB7DFA061E45}" name="INVENTORY_RATING_066" dataDxfId="2740"/>
    <tableColumn id="125" xr3:uid="{20AAEEA5-38E8-4A01-94A8-36405767EAC1}" name="STRUCTURAL_EVAL_067" dataDxfId="2739"/>
    <tableColumn id="126" xr3:uid="{C57FE2EB-70D8-4A6E-8106-05CDF86C8135}" name="DECK_GEOMETRY_EVAL_068" dataDxfId="2738"/>
    <tableColumn id="127" xr3:uid="{2A2FFA00-3B16-4DC4-A423-95C2DFFBC511}" name="UNDCLRENCE_EVAL_069" dataDxfId="2737"/>
    <tableColumn id="128" xr3:uid="{69DAC544-DA3F-4738-A7E7-C6C290CECC08}" name="POSTING_EVAL_070" dataDxfId="2736"/>
    <tableColumn id="129" xr3:uid="{532DBB5E-2020-458E-A604-F97A08BB6CFC}" name="WATERWAY_EVAL_071" dataDxfId="2735"/>
    <tableColumn id="130" xr3:uid="{E38FC2F7-E6C5-4969-842C-5E06CA859AF9}" name="APPR_ROAD_EVAL_072" dataDxfId="2734"/>
    <tableColumn id="131" xr3:uid="{A38BB922-A5A9-49CB-B033-266C525AF78A}" name="WORK_PROPOSED_075A" dataDxfId="2733"/>
    <tableColumn id="132" xr3:uid="{F695D595-7991-44C1-A0C5-13B5A3FA5F5F}" name="WORK_DONE_BY_075B" dataDxfId="2732"/>
    <tableColumn id="133" xr3:uid="{2E4CB1B0-D4F1-421D-9698-A757EA39A08B}" name="IMP_LEN_MT_076" dataDxfId="2731"/>
    <tableColumn id="134" xr3:uid="{053E7BD4-A374-4A67-A241-E66432AA8D4F}" name="DATE_OF_INSPECT_090" dataDxfId="2730"/>
    <tableColumn id="135" xr3:uid="{5414FD7C-CFB0-460F-A465-2CE35053275A}" name="INSPECT_FREQ_MONTHS_091" dataDxfId="2729"/>
    <tableColumn id="136" xr3:uid="{C7B55BFE-1B50-4D6A-9385-1726A8EAF3A6}" name="FRACTURE_092A" dataDxfId="2728"/>
    <tableColumn id="137" xr3:uid="{3FAF8A8D-1E7D-4077-A26D-5C27A48E7634}" name="UNDWATER_LOOK_SEE_092B" dataDxfId="2727"/>
    <tableColumn id="138" xr3:uid="{B1322088-048B-4DCA-A0C5-2F5E39FA7DF0}" name="SPEC_INSPECT_092C" dataDxfId="2726"/>
    <tableColumn id="139" xr3:uid="{133E6F18-7105-480B-A115-2D4726935408}" name="FRACTURE_LAST_DATE_093A" dataDxfId="2725"/>
    <tableColumn id="140" xr3:uid="{87D77B60-18F9-4F01-817A-8AED25341ADA}" name="UNDWATER_LAST_DATE_093B" dataDxfId="2724"/>
    <tableColumn id="141" xr3:uid="{062608BF-4DB0-4B85-9DBD-A4FBEB475D2D}" name="SPEC_LAST_DATE_093C" dataDxfId="2723"/>
    <tableColumn id="142" xr3:uid="{4854B854-8570-45AE-9398-C356E37E21D3}" name="BRIDGE_IMP_COST_094" dataDxfId="2722"/>
    <tableColumn id="143" xr3:uid="{ECA21E79-8BD0-42B4-A9E4-2211CCED719B}" name="ROADWAY_IMP_COST_095" dataDxfId="2721"/>
    <tableColumn id="144" xr3:uid="{EF120AB0-F4AD-4AAF-9088-A7A95FF8D02D}" name="TOTAL_IMP_COST_096" dataDxfId="2720"/>
    <tableColumn id="145" xr3:uid="{D3D805E9-4EB6-42F8-AEDB-7FA2FD6C8E1B}" name="YEAR_OF_IMP_097" dataDxfId="2719"/>
    <tableColumn id="146" xr3:uid="{FAF1CC6C-9F84-4F07-87D4-B2990C14FD08}" name="OTHER_STATE_CODE_098A" dataDxfId="2718"/>
    <tableColumn id="147" xr3:uid="{FA1F38DF-E1F1-41BC-946F-6618B8DE0DCF}" name="OTHER_STATE_PCNT_098B" dataDxfId="2717"/>
    <tableColumn id="148" xr3:uid="{C9460B62-B74B-405B-964C-BA3CBD119187}" name="OTHR_STATE_STRUC_NO_099" dataDxfId="2716"/>
    <tableColumn id="149" xr3:uid="{EBAB6DC3-B5B6-4422-A31F-87858FF084AC}" name="STRAHNET_HIGHWAY_100" dataDxfId="2715"/>
    <tableColumn id="150" xr3:uid="{37DC51F7-0775-437A-BF1A-FDCC34B630F4}" name="PARALLEL_STRUCTURE_101" dataDxfId="2714"/>
    <tableColumn id="151" xr3:uid="{4DE2AABD-6B3B-4536-8901-7E72587EDBB6}" name="TRAFFIC_DIRECTION_102" dataDxfId="2713"/>
    <tableColumn id="152" xr3:uid="{62B6D539-8AF2-412D-89C0-21E82D057495}" name="TEMP_STRUCTURE_103" dataDxfId="2712"/>
    <tableColumn id="153" xr3:uid="{751D0513-CB08-47CB-8DBB-4C0C2DABE371}" name="HIGHWAY_SYSTEM_104" dataDxfId="2711"/>
    <tableColumn id="154" xr3:uid="{CE4567BE-7A40-4513-ACD8-E91A668E671C}" name="FEDERAL_LANDS_105" dataDxfId="2710"/>
    <tableColumn id="155" xr3:uid="{4B1904A4-AF45-40D1-9EFE-DBA362A4131C}" name="YEAR_RECONSTRUCTED_106" dataDxfId="2709"/>
    <tableColumn id="156" xr3:uid="{56DD0029-9320-4EAB-8B77-D48E2F3E6BBE}" name="DECK_STRUCTURE_TYPE_107" dataDxfId="2708"/>
    <tableColumn id="157" xr3:uid="{9493E635-5946-45FE-A368-931AF5FFA76A}" name="SURFACE_TYPE_108A" dataDxfId="2707"/>
    <tableColumn id="158" xr3:uid="{AFC7F8A9-7A8F-48B2-8A62-176C434B4C8B}" name="MEMBRANE_TYPE_108B" dataDxfId="2706"/>
    <tableColumn id="159" xr3:uid="{076D12D1-5261-44C7-9C90-8E6F1D68980B}" name="DECK_PROTECTION_108C" dataDxfId="2705"/>
    <tableColumn id="160" xr3:uid="{2972CFCF-7338-4101-9EAC-BB2C982E8036}" name="PERCENT_ADT_TRUCK_109" dataDxfId="2704"/>
    <tableColumn id="161" xr3:uid="{1E0E46D5-3BC3-4511-9193-8D36F895104A}" name="NATIONAL_NETWORK_110" dataDxfId="2703"/>
    <tableColumn id="162" xr3:uid="{1659EFC8-7F4A-4450-BD2A-C903C248F5D8}" name="PIER_PROTECTION_111" dataDxfId="2702"/>
    <tableColumn id="163" xr3:uid="{14A628A4-BFAA-49BA-8218-2175FEA9E7C7}" name="BRIDGE_LEN_IND_112" dataDxfId="2701"/>
    <tableColumn id="164" xr3:uid="{06126DBB-4C87-49F5-BBDC-5B672CF9DE90}" name="SCOUR_CRITICAL_113" dataDxfId="2700"/>
    <tableColumn id="165" xr3:uid="{793BBDC9-6FC3-476C-BA0F-B73036CAA3A1}" name="FUTURE_ADT_114" dataDxfId="2699"/>
    <tableColumn id="166" xr3:uid="{8E030FC0-AE70-4A1B-BE7B-96349FEB9BA9}" name="YEAR_OF_FUTURE_ADT_115" dataDxfId="2698"/>
    <tableColumn id="167" xr3:uid="{C3C96FC7-1434-47BD-B14B-4D80EF2D52DD}" name="MIN_NAV_CLR_MT_116" dataDxfId="2697"/>
    <tableColumn id="168" xr3:uid="{1557D08C-5935-4D0F-B731-13CF194FB448}" name="FED_AGENCY" dataDxfId="2696"/>
    <tableColumn id="169" xr3:uid="{7A963F55-0BEE-4B2C-89BD-723E1A8E0171}" name="SUBMITTED_BY" dataDxfId="2695"/>
    <tableColumn id="170" xr3:uid="{8E2819F0-3BCC-4F25-A4CE-2CFF0AC96331}" name="BRIDGE_CONDITION" dataDxfId="2694"/>
    <tableColumn id="171" xr3:uid="{E677DD00-8815-4F01-A3CA-D24147968818}" name="LOWEST_RATING" dataDxfId="2693"/>
    <tableColumn id="172" xr3:uid="{40738E0E-99DB-4425-878A-0D46A743C4E9}" name="DECK_AREA" dataDxfId="2692"/>
    <tableColumn id="173" xr3:uid="{8199CED5-0154-4C3E-BCCB-AAD6A3C4DF52}" name="Detour_Duration" dataDxfId="2691"/>
    <tableColumn id="174" xr3:uid="{7F80FBC9-A215-471C-AB3B-D9DBA88E5717}" name="Min_Unit_Rebuilding_Cost($/ft2)" dataDxfId="2690"/>
    <tableColumn id="175" xr3:uid="{8BC11765-55E0-49B0-BD5A-FFACBF287D5C}" name="Max_Unit_Rebuilding_Cost($/ft2)2" dataDxfId="2689"/>
    <tableColumn id="176" xr3:uid="{3BF17DB6-B79E-44F3-A5F3-E149BFADA8F5}" name="Cost_Multiplier_for_Early_Replacement" dataDxfId="2688"/>
    <tableColumn id="177" xr3:uid="{AE4B1C89-18C0-4B31-891E-08B82D9CCC47}" name="Assumed_Number_of_Lives_Lost_in_Bridge_Failure" dataDxfId="2687"/>
    <tableColumn id="178" xr3:uid="{E30150EF-6618-4A88-8E76-A1F347F8AE12}" name="HYRISK_Cost_of_Faliure_term1" dataDxfId="2686"/>
    <tableColumn id="179" xr3:uid="{BE3797D1-A323-4733-8D84-71BC9D397CE6}" name="HYRISK_Cost_of_Faliure_term2" dataDxfId="2685"/>
    <tableColumn id="180" xr3:uid="{8057B9ED-727F-4B5C-897B-6C66D4FE995F}" name="HYRISK_Cost_of_Faliure_term3" dataDxfId="2684"/>
    <tableColumn id="181" xr3:uid="{18CBDF41-C5C6-4A8C-A798-69562F6EB791}" name="HYRISK_Cost_of_Faliure_term4" dataDxfId="2683"/>
    <tableColumn id="285" xr3:uid="{0B1FAB63-7088-483E-9FDD-976DC1DD5432}" name="HYRISK_Cost_of_Faliure_term5" dataDxfId="2682"/>
    <tableColumn id="286" xr3:uid="{1F4C1F89-5CED-4215-82FB-9DF9111E29F3}" name="Rating_decay" dataDxfId="2681">
      <calculatedColumnFormula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calculatedColumnFormula>
    </tableColumn>
    <tableColumn id="182" xr3:uid="{6E2944DA-DFCD-408B-B767-8661D688A41D}" name="Total_Cost_MUSD" dataDxfId="2680"/>
    <tableColumn id="186" xr3:uid="{C333B829-0FFD-4A01-B3C9-C81601D8D64A}" name="Hazus_Failure_Prob_10" dataDxfId="2679"/>
    <tableColumn id="185" xr3:uid="{E6D32552-4761-45E3-AC64-8CE2028E1A49}" name="Hazus_Failure_Prob_50" dataDxfId="2678"/>
    <tableColumn id="184" xr3:uid="{DB7C40C2-F811-4437-9CB7-29EBC86BA547}" name="Hazus_Failure_Prob_100" dataDxfId="2677"/>
    <tableColumn id="183" xr3:uid="{35F241E1-9D48-48D5-AB84-71FDF1D8376A}" name="Hazus_Failure_Prob_500" dataDxfId="2676"/>
    <tableColumn id="187" xr3:uid="{7A431026-5139-460C-916B-2738A7612065}" name="Current_rating" dataDxfId="2675"/>
    <tableColumn id="283" xr3:uid="{AAA5B63A-4C28-4EA9-9094-C3AE4351837C}" name="cost_repair_rating0" dataDxfId="2674"/>
    <tableColumn id="192" xr3:uid="{FAFEED8B-9FB6-4DB2-A915-EBE261EAB365}" name="cost_repair_rating1" dataDxfId="2673"/>
    <tableColumn id="193" xr3:uid="{86F37D58-3E24-4E33-85C0-F0C055FFBE74}" name="cost_repair_rating2" dataDxfId="2672"/>
    <tableColumn id="194" xr3:uid="{232A4566-AFC6-49A7-A395-D505FE849AAA}" name="cost_repair_rating3" dataDxfId="2671"/>
    <tableColumn id="195" xr3:uid="{9839364E-40CB-46C4-A11D-C70E64ABAEE1}" name="cost_repair_rating4" dataDxfId="2670"/>
    <tableColumn id="196" xr3:uid="{0F9A2390-6279-49B8-BF86-761388BB834C}" name="cost_repair_rating5" dataDxfId="2669"/>
    <tableColumn id="197" xr3:uid="{7D744A39-6B60-4C47-9485-AFA71C93EEA6}" name="cost_repair_rating6" dataDxfId="2668"/>
    <tableColumn id="198" xr3:uid="{AB46363E-367B-491A-AE49-A0A1F5E5F8D4}" name="cost_repair_rating7" dataDxfId="2667"/>
    <tableColumn id="199" xr3:uid="{FC9676FD-74F0-451D-986C-3FA31750440E}" name="cost_repair_rating8" dataDxfId="2666"/>
    <tableColumn id="200" xr3:uid="{03324FA1-D1AC-4A6B-9ED2-06A3131842EC}" name="cost_repair_rating9" dataDxfId="2665"/>
    <tableColumn id="201" xr3:uid="{2048CCA0-FC5A-4CEB-BA5D-6D268A891565}" name="prob500-failure_rating1" dataDxfId="2664">
      <calculatedColumnFormula>2.5/100</calculatedColumnFormula>
    </tableColumn>
    <tableColumn id="202" xr3:uid="{1BC1BBEA-B6C1-4D15-A3D2-D856DF887FF2}" name="prob500-failure_rating2" dataDxfId="2663"/>
    <tableColumn id="203" xr3:uid="{33A04090-65BF-4330-8CFA-62AEA8FD9C4E}" name="prob500-failure_rating3" dataDxfId="2662"/>
    <tableColumn id="204" xr3:uid="{900DF48A-C7D4-4DF8-A70E-FEFDBC89DA28}" name="prob500-failure_rating4" dataDxfId="2661"/>
    <tableColumn id="205" xr3:uid="{D6FF5DBC-0F39-4222-BA1C-25BDFBD2C982}" name="prob500-failure_rating5" dataDxfId="2660"/>
    <tableColumn id="206" xr3:uid="{1857DBAB-D705-46C2-ABBD-964D7FA558CA}" name="prob500-failure_rating6" dataDxfId="2659"/>
    <tableColumn id="207" xr3:uid="{57174386-F150-49D4-BB50-07ED6D27E2B0}" name="prob500-failure_rating7" dataDxfId="2658"/>
    <tableColumn id="208" xr3:uid="{E37AC6A0-F40F-4EA3-BF2A-A6C0CD7DBDEB}" name="prob500-failure_rating8" dataDxfId="2657"/>
    <tableColumn id="209" xr3:uid="{8CA6D5CD-C4E5-4AB6-BB54-572AC38B85B7}" name="prob500-failure_rating9" dataDxfId="2656"/>
    <tableColumn id="210" xr3:uid="{D0483F52-EDBD-4B07-9454-DA6A8B17D1FA}" name="prob100-failure_rating1" dataDxfId="2655">
      <calculatedColumnFormula>1.25/100</calculatedColumnFormula>
    </tableColumn>
    <tableColumn id="211" xr3:uid="{6B074E18-339C-4369-BFAD-C00F18CC2366}" name="prob100-failure_rating2" dataDxfId="2654"/>
    <tableColumn id="212" xr3:uid="{2467A841-D578-4EEF-8AFB-6686B7F83737}" name="prob100-failure_rating3" dataDxfId="2653"/>
    <tableColumn id="213" xr3:uid="{FF82CD98-772C-408D-98F9-7D9D961A7ADA}" name="prob100-failure_rating4" dataDxfId="2652"/>
    <tableColumn id="214" xr3:uid="{BBC9E992-305C-4312-853A-FD3A27372A1B}" name="prob100-failure_rating5" dataDxfId="2651"/>
    <tableColumn id="215" xr3:uid="{71A92969-C7F8-4AEB-94E8-CEFD415F052B}" name="prob100-failure_rating6" dataDxfId="2650"/>
    <tableColumn id="216" xr3:uid="{994FAD81-AD86-4F1E-9481-AAF24173098F}" name="prob100-failure_rating7" dataDxfId="2649"/>
    <tableColumn id="217" xr3:uid="{91C4BD06-A292-433D-90D5-B53FE5695764}" name="prob100-failure_rating8" dataDxfId="2648"/>
    <tableColumn id="218" xr3:uid="{BD4AD6AE-B9E7-429A-8964-61F1DFF16068}" name="prob100-failure_rating9" dataDxfId="2647"/>
    <tableColumn id="219" xr3:uid="{6AEE7909-E8C1-4A23-B02E-1FB316A88483}" name="prob50-failure_rating1" dataDxfId="2646"/>
    <tableColumn id="220" xr3:uid="{668C000A-AA89-4C6F-93DA-2A8A8D9AF3AD}" name="prob50-failure_rating2" dataDxfId="2645"/>
    <tableColumn id="221" xr3:uid="{B3B0202D-7AA5-494D-A219-CD3BD1EE75B0}" name="prob50-failure_rating3" dataDxfId="2644"/>
    <tableColumn id="222" xr3:uid="{6F2E0D5F-CEEE-42FC-A89A-029E038ABACE}" name="prob50-failure_rating4" dataDxfId="2643"/>
    <tableColumn id="223" xr3:uid="{6385D137-32D6-4F92-B465-FED8AFD422ED}" name="prob50-failure_rating5" dataDxfId="2642"/>
    <tableColumn id="224" xr3:uid="{ABD2BA76-933A-4138-87A8-06F989FAF428}" name="prob50-failure_rating6" dataDxfId="2641"/>
    <tableColumn id="225" xr3:uid="{8623C9E7-21EF-4967-8A3C-51478B5F6550}" name="prob50-failure_rating7" dataDxfId="2640"/>
    <tableColumn id="226" xr3:uid="{8C81D00D-74C0-420D-92DC-66F5E203BC5E}" name="prob50-failure_rating8" dataDxfId="2639"/>
    <tableColumn id="227" xr3:uid="{028F255B-C37D-4D7F-A50A-8210E6A1CA08}" name="prob50-failure_rating9" dataDxfId="2638"/>
    <tableColumn id="228" xr3:uid="{06DD3FF6-D6D4-4D4B-B972-2E7E7DFC98B4}" name="prob10-failure_rating1" dataDxfId="2637"/>
    <tableColumn id="229" xr3:uid="{07FA19C2-B337-4A86-93A4-2C4C17A0089A}" name="prob10-failure_rating2" dataDxfId="2636"/>
    <tableColumn id="230" xr3:uid="{F4E813E7-AAAD-4412-A9B3-0CF07B30BD03}" name="prob10-failure_rating3" dataDxfId="2635"/>
    <tableColumn id="231" xr3:uid="{72C18478-4DA2-4E7A-9410-2BD51383840C}" name="prob10-failure_rating4" dataDxfId="2634"/>
    <tableColumn id="232" xr3:uid="{95E74CCD-EE0F-48F5-BA0B-D3513F6D0D9A}" name="prob10-failure_rating5" dataDxfId="2633"/>
    <tableColumn id="233" xr3:uid="{BCF29811-7AA2-45DD-B9C0-5D9201B42CEC}" name="prob10-failure_rating6" dataDxfId="2632"/>
    <tableColumn id="234" xr3:uid="{788DBFCA-BAFB-4B29-B59E-18B50CDE1707}" name="prob10-failure_rating7" dataDxfId="2631"/>
    <tableColumn id="235" xr3:uid="{AD81A6A7-6D38-4996-9FFA-1C9BCF71D288}" name="prob10-failure_rating8" dataDxfId="2630"/>
    <tableColumn id="236" xr3:uid="{3F1728AE-A041-4A78-822B-5C758AEBDD69}" name="prob10-failure_rating9" dataDxfId="2629"/>
    <tableColumn id="237" xr3:uid="{BAA836D1-66F2-49F0-8446-7E2E2683343A}" name="failurecost500_rating1" dataDxfId="2628">
      <calculatedColumnFormula>Table156[[#This Row],[Total_Cost_MUSD]]*Table156[[#This Row],[prob500-failure_rating1]]/500</calculatedColumnFormula>
    </tableColumn>
    <tableColumn id="238" xr3:uid="{B0813169-2C2C-4CB7-850B-39B9753E0C10}" name="failurecost500_rating2" dataDxfId="2627">
      <calculatedColumnFormula>Table156[[#This Row],[Total_Cost_MUSD]]*Table156[[#This Row],[prob500-failure_rating2]]/500</calculatedColumnFormula>
    </tableColumn>
    <tableColumn id="239" xr3:uid="{E0B40DF0-3C60-4B46-8F7C-752CBED821F5}" name="failurecost500_rating3" dataDxfId="2626">
      <calculatedColumnFormula>Table156[[#This Row],[Total_Cost_MUSD]]*Table156[[#This Row],[prob500-failure_rating3]]/500</calculatedColumnFormula>
    </tableColumn>
    <tableColumn id="240" xr3:uid="{9A06608C-8120-4616-A479-1EFDC097C348}" name="failurecost500_rating4" dataDxfId="2625">
      <calculatedColumnFormula>Table156[[#This Row],[Total_Cost_MUSD]]*Table156[[#This Row],[prob500-failure_rating4]]/500</calculatedColumnFormula>
    </tableColumn>
    <tableColumn id="241" xr3:uid="{4968177F-9472-480A-92EF-CE2BA04BA730}" name="failurecost500_rating5" dataDxfId="2624">
      <calculatedColumnFormula>Table156[[#This Row],[Total_Cost_MUSD]]*Table156[[#This Row],[prob500-failure_rating5]]/500</calculatedColumnFormula>
    </tableColumn>
    <tableColumn id="242" xr3:uid="{3D7A2235-C11E-4AD0-B92D-A577DC6659BA}" name="failurecost500_rating6" dataDxfId="2623">
      <calculatedColumnFormula>Table156[[#This Row],[Total_Cost_MUSD]]*Table156[[#This Row],[prob500-failure_rating6]]/500</calculatedColumnFormula>
    </tableColumn>
    <tableColumn id="243" xr3:uid="{CE7A239D-503C-4327-9196-AF85F531694C}" name="failurecost500_rating7" dataDxfId="2622">
      <calculatedColumnFormula>Table156[[#This Row],[Total_Cost_MUSD]]*Table156[[#This Row],[prob500-failure_rating7]]/500</calculatedColumnFormula>
    </tableColumn>
    <tableColumn id="244" xr3:uid="{37427EC7-E351-47B3-8247-5985CE4DD966}" name="failurecost500_rating8" dataDxfId="2621">
      <calculatedColumnFormula>Table156[[#This Row],[Total_Cost_MUSD]]*Table156[[#This Row],[prob500-failure_rating8]]/500</calculatedColumnFormula>
    </tableColumn>
    <tableColumn id="245" xr3:uid="{B6880D33-A204-421D-AED0-C316E78E088B}" name="failurecost500_rating9" dataDxfId="2620">
      <calculatedColumnFormula>Table156[[#This Row],[Total_Cost_MUSD]]*Table156[[#This Row],[prob500-failure_rating9]]/500</calculatedColumnFormula>
    </tableColumn>
    <tableColumn id="246" xr3:uid="{A40ABFE6-78C8-4EFA-97B0-511853505B82}" name="failurecost100_rating1" dataDxfId="2619">
      <calculatedColumnFormula>Table156[[#This Row],[Total_Cost_MUSD]]*Table156[[#This Row],[prob100-failure_rating1]]/100</calculatedColumnFormula>
    </tableColumn>
    <tableColumn id="247" xr3:uid="{52309C24-E3A7-4D5B-816D-FDAE0DDE2F3F}" name="failurecost100_rating2" dataDxfId="2618">
      <calculatedColumnFormula>Table156[[#This Row],[Total_Cost_MUSD]]*Table156[[#This Row],[prob100-failure_rating2]]/100</calculatedColumnFormula>
    </tableColumn>
    <tableColumn id="248" xr3:uid="{8AD58A9B-D739-411E-B0E4-39EBACD4D09E}" name="failurecost100_rating3" dataDxfId="2617">
      <calculatedColumnFormula>Table156[[#This Row],[Total_Cost_MUSD]]*Table156[[#This Row],[prob100-failure_rating3]]/100</calculatedColumnFormula>
    </tableColumn>
    <tableColumn id="249" xr3:uid="{0D60F748-AE3B-4CF7-9EEB-B1F7825AD836}" name="failurecost100_rating4" dataDxfId="2616">
      <calculatedColumnFormula>Table156[[#This Row],[Total_Cost_MUSD]]*Table156[[#This Row],[prob100-failure_rating4]]/100</calculatedColumnFormula>
    </tableColumn>
    <tableColumn id="250" xr3:uid="{A44EB6E9-BC08-4C2F-AF6A-2A02BBCBE4F2}" name="failurecost100_rating5" dataDxfId="2615">
      <calculatedColumnFormula>Table156[[#This Row],[Total_Cost_MUSD]]*Table156[[#This Row],[prob100-failure_rating5]]/100</calculatedColumnFormula>
    </tableColumn>
    <tableColumn id="251" xr3:uid="{AF352B0A-85B8-4C3B-B36D-9AED8D531570}" name="failurecost100_rating6" dataDxfId="2614">
      <calculatedColumnFormula>Table156[[#This Row],[Total_Cost_MUSD]]*Table156[[#This Row],[prob100-failure_rating6]]/100</calculatedColumnFormula>
    </tableColumn>
    <tableColumn id="252" xr3:uid="{C9AF9D9E-CB1F-49F1-BED0-5D766E8F9E02}" name="failurecost100_rating7" dataDxfId="2613">
      <calculatedColumnFormula>Table156[[#This Row],[Total_Cost_MUSD]]*Table156[[#This Row],[prob100-failure_rating7]]/100</calculatedColumnFormula>
    </tableColumn>
    <tableColumn id="253" xr3:uid="{8752F8EA-CB08-48D2-B728-F79B227B6F10}" name="failurecost100_rating8" dataDxfId="2612">
      <calculatedColumnFormula>Table156[[#This Row],[Total_Cost_MUSD]]*Table156[[#This Row],[prob100-failure_rating8]]/100</calculatedColumnFormula>
    </tableColumn>
    <tableColumn id="254" xr3:uid="{1FFA1851-2C5D-4D7C-9E4B-DFD37D97CBBF}" name="failurecost100_rating9" dataDxfId="2611">
      <calculatedColumnFormula>Table156[[#This Row],[Total_Cost_MUSD]]*Table156[[#This Row],[prob100-failure_rating9]]/100</calculatedColumnFormula>
    </tableColumn>
    <tableColumn id="255" xr3:uid="{682112C8-6240-4C01-9879-45C38610C1BA}" name="failurecost50_rating1" dataDxfId="2610">
      <calculatedColumnFormula>Table156[[#This Row],[Total_Cost_MUSD]]*Table156[[#This Row],[prob50-failure_rating1]]/50</calculatedColumnFormula>
    </tableColumn>
    <tableColumn id="256" xr3:uid="{A14FE338-B3F2-42F6-9B6A-906A0F48821D}" name="failurecost50_rating2" dataDxfId="2609">
      <calculatedColumnFormula>Table156[[#This Row],[Total_Cost_MUSD]]*Table156[[#This Row],[prob50-failure_rating2]]/50</calculatedColumnFormula>
    </tableColumn>
    <tableColumn id="257" xr3:uid="{A4B6AB90-619A-4736-8183-41F467AB8263}" name="failurecost50_rating3" dataDxfId="2608">
      <calculatedColumnFormula>Table156[[#This Row],[Total_Cost_MUSD]]*Table156[[#This Row],[prob50-failure_rating3]]/50</calculatedColumnFormula>
    </tableColumn>
    <tableColumn id="258" xr3:uid="{30C6CB2A-9753-4DA8-BCE7-2662610B10D2}" name="failurecost50_rating4" dataDxfId="2607">
      <calculatedColumnFormula>Table156[[#This Row],[Total_Cost_MUSD]]*Table156[[#This Row],[prob50-failure_rating4]]/50</calculatedColumnFormula>
    </tableColumn>
    <tableColumn id="259" xr3:uid="{E933ACBA-6567-4228-8EC1-5FB1E7C8885A}" name="failurecost50_rating5" dataDxfId="2606">
      <calculatedColumnFormula>Table156[[#This Row],[Total_Cost_MUSD]]*Table156[[#This Row],[prob50-failure_rating5]]/50</calculatedColumnFormula>
    </tableColumn>
    <tableColumn id="260" xr3:uid="{362CB629-622B-459C-A788-BA99261D1483}" name="failurecost50_rating6" dataDxfId="2605">
      <calculatedColumnFormula>Table156[[#This Row],[Total_Cost_MUSD]]*Table156[[#This Row],[prob50-failure_rating6]]/50</calculatedColumnFormula>
    </tableColumn>
    <tableColumn id="261" xr3:uid="{7BEB8985-0203-493E-ADB5-321B428D9ABB}" name="failurecost50_rating7" dataDxfId="2604">
      <calculatedColumnFormula>Table156[[#This Row],[Total_Cost_MUSD]]*Table156[[#This Row],[prob50-failure_rating7]]/50</calculatedColumnFormula>
    </tableColumn>
    <tableColumn id="262" xr3:uid="{7617FF91-E2E6-41EF-81D1-316C61591152}" name="failurecost50_rating8" dataDxfId="2603">
      <calculatedColumnFormula>Table156[[#This Row],[Total_Cost_MUSD]]*Table156[[#This Row],[prob50-failure_rating8]]/50</calculatedColumnFormula>
    </tableColumn>
    <tableColumn id="263" xr3:uid="{01766327-989D-4FAB-93ED-B47E4AB39A3C}" name="failurecost50_rating9" dataDxfId="2602">
      <calculatedColumnFormula>Table156[[#This Row],[Total_Cost_MUSD]]*Table156[[#This Row],[prob50-failure_rating9]]/50</calculatedColumnFormula>
    </tableColumn>
    <tableColumn id="273" xr3:uid="{26509C9A-0774-448D-AE2B-747FD7D0147C}" name="failurecost10_rating1" dataDxfId="2601">
      <calculatedColumnFormula>Table156[[#This Row],[Total_Cost_MUSD]]*Table156[[#This Row],[prob10-failure_rating1]]/10</calculatedColumnFormula>
    </tableColumn>
    <tableColumn id="274" xr3:uid="{FC4DDF18-6F28-4331-9AA5-9EC8C4DD966D}" name="failurecost10_rating2" dataDxfId="2600">
      <calculatedColumnFormula>Table156[[#This Row],[Total_Cost_MUSD]]*Table156[[#This Row],[prob10-failure_rating2]]/10</calculatedColumnFormula>
    </tableColumn>
    <tableColumn id="275" xr3:uid="{D142C72F-5947-4E51-B5E4-03B000523E3F}" name="failurecost10_rating3" dataDxfId="2599">
      <calculatedColumnFormula>Table156[[#This Row],[Total_Cost_MUSD]]*Table156[[#This Row],[prob10-failure_rating3]]/10</calculatedColumnFormula>
    </tableColumn>
    <tableColumn id="276" xr3:uid="{C209DF69-68E9-4C9A-BC9E-D69C457A54F9}" name="failurecost10_rating4" dataDxfId="2598">
      <calculatedColumnFormula>Table156[[#This Row],[Total_Cost_MUSD]]*Table156[[#This Row],[prob10-failure_rating4]]/10</calculatedColumnFormula>
    </tableColumn>
    <tableColumn id="277" xr3:uid="{2D3FF224-1921-4302-9E64-C1A51B4C7ADF}" name="failurecost10_rating5" dataDxfId="2597">
      <calculatedColumnFormula>Table156[[#This Row],[Total_Cost_MUSD]]*Table156[[#This Row],[prob10-failure_rating5]]/10</calculatedColumnFormula>
    </tableColumn>
    <tableColumn id="278" xr3:uid="{F0093853-BBC3-40A2-9787-55C4CE038ED8}" name="failurecost10_rating6" dataDxfId="2596">
      <calculatedColumnFormula>Table156[[#This Row],[Total_Cost_MUSD]]*Table156[[#This Row],[prob10-failure_rating6]]/10</calculatedColumnFormula>
    </tableColumn>
    <tableColumn id="279" xr3:uid="{05B4AB5E-4112-4F0B-8E2F-0334B08CE357}" name="failurecost10_rating7" dataDxfId="2595">
      <calculatedColumnFormula>Table156[[#This Row],[Total_Cost_MUSD]]*Table156[[#This Row],[prob10-failure_rating7]]/10</calculatedColumnFormula>
    </tableColumn>
    <tableColumn id="280" xr3:uid="{6FB482CF-B29C-4D00-B7C8-4AA2E9E5814F}" name="failurecost10_rating8" dataDxfId="2594">
      <calculatedColumnFormula>Table156[[#This Row],[Total_Cost_MUSD]]*Table156[[#This Row],[prob10-failure_rating8]]/10</calculatedColumnFormula>
    </tableColumn>
    <tableColumn id="281" xr3:uid="{1543489B-7D29-4052-B3FE-D0B7467B842A}" name="failurecost10_rating9" dataDxfId="2593">
      <calculatedColumnFormula>Table156[[#This Row],[Total_Cost_MUSD]]*Table156[[#This Row],[prob10-failure_rating9]]/10</calculatedColumnFormula>
    </tableColumn>
    <tableColumn id="282" xr3:uid="{2D1DD003-FE80-4FAC-B4DB-C1D34DDE4973}" name="FailureCost_Rating0" dataDxfId="2592">
      <calculatedColumnFormula>Table156[[#This Row],[FailureCost_Rating1]]</calculatedColumnFormula>
    </tableColumn>
    <tableColumn id="264" xr3:uid="{D975307F-7801-4B69-BFE5-7DE005C21DDE}" name="FailureCost_Rating1" dataDxfId="2591">
      <calculatedColumnFormula>Table156[[#This Row],[FailureCost_Rating2]]</calculatedColumnFormula>
    </tableColumn>
    <tableColumn id="265" xr3:uid="{749F0881-A92D-467D-B00F-3723B4B8AAA4}" name="FailureCost_Rating2" dataDxfId="2590">
      <calculatedColumnFormula>(Table156[[#This Row],[failurecost500_rating2]]+Table156[[#This Row],[failurecost100_rating2]]+Table156[[#This Row],[failurecost50_rating2]]+Table156[[#This Row],[failurecost10_rating2]])*1000000</calculatedColumnFormula>
    </tableColumn>
    <tableColumn id="266" xr3:uid="{40B6BB05-9EE8-40AF-96AB-C51BC98A9967}" name="FailureCost_Rating3" dataDxfId="2589">
      <calculatedColumnFormula>(Table156[[#This Row],[failurecost500_rating3]]+Table156[[#This Row],[failurecost100_rating3]]+Table156[[#This Row],[failurecost50_rating3]]+Table156[[#This Row],[failurecost10_rating3]])*1000000</calculatedColumnFormula>
    </tableColumn>
    <tableColumn id="267" xr3:uid="{F59BFD53-C141-438D-8CA2-2307439D4270}" name="FailureCost_Rating4" dataDxfId="2588">
      <calculatedColumnFormula>(Table156[[#This Row],[failurecost500_rating4]]+Table156[[#This Row],[failurecost100_rating4]]+Table156[[#This Row],[failurecost50_rating4]]+Table156[[#This Row],[failurecost10_rating4]])*1000000</calculatedColumnFormula>
    </tableColumn>
    <tableColumn id="268" xr3:uid="{E74227D2-05F9-4E40-B395-5C25184022D4}" name="FailureCost_Rating5" dataDxfId="2587">
      <calculatedColumnFormula>(Table156[[#This Row],[failurecost500_rating5]]+Table156[[#This Row],[failurecost100_rating5]]+Table156[[#This Row],[failurecost50_rating5]]+Table156[[#This Row],[failurecost10_rating5]])*1000000</calculatedColumnFormula>
    </tableColumn>
    <tableColumn id="269" xr3:uid="{F1F8A9A8-787D-4014-A4E0-617D9E6DA397}" name="FailureCost_Rating6" dataDxfId="2586">
      <calculatedColumnFormula>(Table156[[#This Row],[failurecost500_rating6]]+Table156[[#This Row],[failurecost100_rating6]]+Table156[[#This Row],[failurecost50_rating6]]+Table156[[#This Row],[failurecost10_rating6]])*1000000</calculatedColumnFormula>
    </tableColumn>
    <tableColumn id="270" xr3:uid="{3E8BA20F-B041-431A-9FFD-7F46D46081A5}" name="FailureCost_Rating7" dataDxfId="2585">
      <calculatedColumnFormula>(Table156[[#This Row],[failurecost500_rating7]]+Table156[[#This Row],[failurecost100_rating7]]+Table156[[#This Row],[failurecost50_rating7]]+Table156[[#This Row],[failurecost10_rating7]])*1000000</calculatedColumnFormula>
    </tableColumn>
    <tableColumn id="271" xr3:uid="{2011A59C-4D42-41BE-8723-A48C9AE83F35}" name="FailureCost_Rating8" dataDxfId="2584">
      <calculatedColumnFormula>(Table156[[#This Row],[failurecost500_rating8]]+Table156[[#This Row],[failurecost100_rating8]]+Table156[[#This Row],[failurecost50_rating8]]+Table156[[#This Row],[failurecost10_rating8]])*1000000</calculatedColumnFormula>
    </tableColumn>
    <tableColumn id="272" xr3:uid="{CFB48D4D-664A-4B83-9FC9-0366D1A5A0FC}" name="FailureCost_Rating9" dataDxfId="2583">
      <calculatedColumnFormula>(Table156[[#This Row],[failurecost500_rating9]]+Table156[[#This Row],[failurecost100_rating9]]+Table156[[#This Row],[failurecost50_rating9]]+Table156[[#This Row],[failurecost10_rating9]])*1000000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3EC47-C63D-41D7-8270-D45FBD03E26D}" name="Table1567" displayName="Table1567" ref="A1:JY20" totalsRowShown="0" headerRowDxfId="2582" dataDxfId="2581">
  <autoFilter ref="A1:JY20" xr:uid="{1E05EA88-988A-4182-B643-40FC3C5FB242}"/>
  <tableColumns count="285">
    <tableColumn id="1" xr3:uid="{0155F53F-22AD-4162-8CDE-37F256A5C00D}" name="Number" dataDxfId="2580"/>
    <tableColumn id="2" xr3:uid="{6B00BEF8-36BA-44EC-81D6-34AF898E2C7D}" name="Structure Name" dataDxfId="2579"/>
    <tableColumn id="3" xr3:uid="{C6817283-799B-4BFC-B4FB-606DE3510B3B}" name="Body of water" dataDxfId="2578"/>
    <tableColumn id="4" xr3:uid="{87B54C4E-F196-4822-B829-BF57AD683060}" name="Lattitude" dataDxfId="2577"/>
    <tableColumn id="5" xr3:uid="{BF2E8FB9-BA78-4B5B-A594-CDBA7C2E8C34}" name="Longitude" dataDxfId="2576"/>
    <tableColumn id="6" xr3:uid="{09798D43-56ED-4E25-8247-F227C102D8B1}" name="Depth50" dataDxfId="2575"/>
    <tableColumn id="7" xr3:uid="{016B1EE6-5D1F-4096-A6B8-FE18EDB72061}" name="Depth10" dataDxfId="2574"/>
    <tableColumn id="8" xr3:uid="{60BB8809-586C-4A7E-9B8B-F23A656AB4EF}" name="Depth100" dataDxfId="2573"/>
    <tableColumn id="9" xr3:uid="{DDEF84DC-D552-4384-ACD2-FEB22D0283CB}" name="Depth500" dataDxfId="2572"/>
    <tableColumn id="10" xr3:uid="{DFED244C-B320-45EC-BCA4-6F38ABD64747}" name="Depth0_area" dataDxfId="2571"/>
    <tableColumn id="11" xr3:uid="{C8BB7960-9090-4FCF-94B6-2CB4C2B26BC0}" name="Depth0_wet" dataDxfId="2570"/>
    <tableColumn id="12" xr3:uid="{5F3480F6-303B-48FA-85B7-EC26045A5769}" name="Depth10_area" dataDxfId="2569"/>
    <tableColumn id="13" xr3:uid="{E13B2F79-BB72-4122-94E5-09954DCEF42F}" name="Depth10_wet" dataDxfId="2568"/>
    <tableColumn id="14" xr3:uid="{EC01FBDB-617B-41B0-947F-C1A83948A120}" name="Depth50_area" dataDxfId="2567"/>
    <tableColumn id="15" xr3:uid="{3C2D9B72-8FEB-4DDF-A80A-23B35426DC4C}" name="Depth50_wet" dataDxfId="2566"/>
    <tableColumn id="16" xr3:uid="{846498AC-2D85-4918-AF62-B7F458637209}" name="Depth100_area" dataDxfId="2565"/>
    <tableColumn id="17" xr3:uid="{DBCD8316-08D0-4AD3-8DCA-0848AAE7979D}" name="Depth100_wet" dataDxfId="2564"/>
    <tableColumn id="18" xr3:uid="{7B3B8EB6-7EF7-4E7F-8047-F91944E9C69E}" name="Depth500_area" dataDxfId="2563"/>
    <tableColumn id="19" xr3:uid="{9831A1E6-AD1A-4FC2-AB23-5A71ADE42029}" name="Depth500_wet" dataDxfId="2562"/>
    <tableColumn id="20" xr3:uid="{D7A4E452-0C8A-4763-9215-C8C865794556}" name="Depth0_HydraulicRadius" dataDxfId="2561"/>
    <tableColumn id="21" xr3:uid="{2C24C9B9-8B23-4650-A7C1-E97DF4598B9B}" name="Depth10_HydraulicRadius" dataDxfId="2560"/>
    <tableColumn id="22" xr3:uid="{05DFB382-0549-4668-A65C-91427BBA3C10}" name="Depth50_HydraulicRadius" dataDxfId="2559"/>
    <tableColumn id="23" xr3:uid="{04CF76FE-C0C9-447E-924D-AC347E193729}" name="Depth100_HydraulicRadius" dataDxfId="2558"/>
    <tableColumn id="24" xr3:uid="{6EB20567-8AD9-4F81-BAB2-9C081AE1F62E}" name="Depth500_HydraulicRadius" dataDxfId="2557"/>
    <tableColumn id="25" xr3:uid="{2EA25E40-1071-48BD-BC99-8B2004F37223}" name="Slope" dataDxfId="2556"/>
    <tableColumn id="26" xr3:uid="{841C60F1-17DA-4D11-8BDD-5C6A758A1ADB}" name="Foundation_Depth" dataDxfId="2555"/>
    <tableColumn id="27" xr3:uid="{F19D1232-E136-4673-B198-E05725444202}" name="Depth10_velocity" dataDxfId="2554"/>
    <tableColumn id="28" xr3:uid="{3A5FCAF5-FD2D-40A2-AAFD-7C0688FCA6D6}" name="Depth50_velocity" dataDxfId="2553"/>
    <tableColumn id="29" xr3:uid="{FF3836BA-0324-4531-B751-BECE19BA989F}" name="Depth100_velocity" dataDxfId="2552"/>
    <tableColumn id="30" xr3:uid="{A1945354-898F-44AC-A985-F10472460CD0}" name="Depth500_velocity" dataDxfId="2551"/>
    <tableColumn id="31" xr3:uid="{CAA41E39-035D-41CD-A84E-0050B91C1614}" name="Depth10_Froud" dataDxfId="2550"/>
    <tableColumn id="32" xr3:uid="{016AEFAE-1898-4501-ABA1-A436657A3D64}" name="Depth50_Froud" dataDxfId="2549"/>
    <tableColumn id="33" xr3:uid="{EEAC0A83-B045-4547-AF99-4702B031A32C}" name="Depth100_Froud" dataDxfId="2548"/>
    <tableColumn id="34" xr3:uid="{7860EBD4-29AC-47F3-A654-9E3AD9F24E4E}" name="Depth500_Froud" dataDxfId="2547"/>
    <tableColumn id="35" xr3:uid="{12F21DC5-6726-4FAF-92A3-2114F59B0DD2}" name="Depth10_Scour" dataDxfId="2546"/>
    <tableColumn id="36" xr3:uid="{ECD753C5-95B4-471E-A9B6-B6D98547A787}" name="Depth50_Scour" dataDxfId="2545"/>
    <tableColumn id="37" xr3:uid="{B662FE12-6A56-4A80-8E9B-97FEB69130CB}" name="Depth100_Scour" dataDxfId="2544"/>
    <tableColumn id="38" xr3:uid="{C039EC9B-F2FA-4278-96C2-C32F1076DAFE}" name="Depth500_Scour" dataDxfId="2543"/>
    <tableColumn id="39" xr3:uid="{EA3FDCBB-935A-41D3-8F0B-AE3936E8A854}" name="Depth10_Soil_vol" dataDxfId="2542"/>
    <tableColumn id="40" xr3:uid="{54804500-7D4B-492E-A49E-EE371DE1914B}" name="Depth50_Soil_vol" dataDxfId="2541"/>
    <tableColumn id="41" xr3:uid="{0A453D26-B42A-4335-995E-5925F5D17666}" name="Depth100_Soil_vol" dataDxfId="2540"/>
    <tableColumn id="42" xr3:uid="{E5C49263-98AF-4214-8722-A9F368303E38}" name="Depth500_Soil_vol" dataDxfId="2539"/>
    <tableColumn id="191" xr3:uid="{35B71A9E-AD24-49AE-B0FA-3ACB55591B08}" name="Depth10_cost" dataDxfId="2538">
      <calculatedColumnFormula>Table1567[[#This Row],[Depth10_Soil_vol]]*(9.353+9.027)+(Table1567[[#This Row],[Depth10_Soil_vol]]/2.5)*20*1.053+(PI()*Table1567[[#This Row],[Depth10_Scour]])*Table1567[[#This Row],[DECK_WIDTH_MT_052]]*1.062</calculatedColumnFormula>
    </tableColumn>
    <tableColumn id="190" xr3:uid="{EC5E77C8-791B-4741-A137-7736F8961C15}" name="Depth50_cost" dataDxfId="2537">
      <calculatedColumnFormula>Table1567[[#This Row],[Depth50_Soil_vol]]*(9.353+9.027)+(Table1567[[#This Row],[Depth50_Soil_vol]]/2.5)*20*1.053+(PI()*Table1567[[#This Row],[Depth50_Scour]])*Table1567[[#This Row],[DECK_WIDTH_MT_052]]*1.062</calculatedColumnFormula>
    </tableColumn>
    <tableColumn id="189" xr3:uid="{68D09EA5-9C72-4D1D-AABF-31A621361D26}" name="Depth100_cost" dataDxfId="2536">
      <calculatedColumnFormula>Table1567[[#This Row],[Depth100_Soil_vol]]*(9.353+9.027)+(Table1567[[#This Row],[Depth100_Soil_vol]]/2.5)*20*1.053+(PI()*Table1567[[#This Row],[Depth100_Scour]])*Table1567[[#This Row],[DECK_WIDTH_MT_052]]*1.062</calculatedColumnFormula>
    </tableColumn>
    <tableColumn id="188" xr3:uid="{09F019CA-F19C-41A5-9E66-A83F9BE42242}" name="Depth500_cost" dataDxfId="2535">
      <calculatedColumnFormula>Table1567[[#This Row],[Depth500_Soil_vol]]*(9.353+9.027)+(Table1567[[#This Row],[Depth500_Soil_vol]]/2.5)*20*1.053+(PI()*Table1567[[#This Row],[Depth500_Scour]])*Table1567[[#This Row],[DECK_WIDTH_MT_052]]*1.062</calculatedColumnFormula>
    </tableColumn>
    <tableColumn id="43" xr3:uid="{D84A8F69-8464-451D-AAE7-A32ECCA7F7D0}" name="Foundation_Width" dataDxfId="2534"/>
    <tableColumn id="44" xr3:uid="{E2C10463-A116-4B97-819C-DA8D571D2BF9}" name="Foundation_length" dataDxfId="2533"/>
    <tableColumn id="45" xr3:uid="{F8A71F16-3CF6-4F16-8F19-1D04DC35F1AB}" name="Shape" dataDxfId="2532"/>
    <tableColumn id="46" xr3:uid="{438C6623-4FE0-4E24-A67F-336E253C38B4}" name="Depth10_Rating" dataDxfId="2531"/>
    <tableColumn id="47" xr3:uid="{44B4667D-6CF4-498F-B97D-C846573A21E8}" name="Depth50_Rating" dataDxfId="2530"/>
    <tableColumn id="48" xr3:uid="{60F58381-872E-40CC-A440-381B611E0E1B}" name="Depth100_Rating" dataDxfId="2529"/>
    <tableColumn id="49" xr3:uid="{44436BC4-3C16-4B69-8084-A246F28E8D24}" name="Depth500_Rating" dataDxfId="2528"/>
    <tableColumn id="50" xr3:uid="{CF7C513A-3078-43EE-A58E-D9EC955A5F46}" name="STATE_CODE_001" dataDxfId="2527"/>
    <tableColumn id="51" xr3:uid="{6C64A78B-AD5B-48C2-92FC-FF0F3FD478A3}" name="STRUCTURE_NUMBER_008" dataDxfId="2526"/>
    <tableColumn id="52" xr3:uid="{4E7AB1E9-4C8C-42B2-8CD2-D16837096C6D}" name="LAT_016" dataDxfId="2525"/>
    <tableColumn id="53" xr3:uid="{447B7FF5-9D6D-47F6-9976-09908C99E7C5}" name="LONG_017" dataDxfId="2524"/>
    <tableColumn id="54" xr3:uid="{2E042AC1-0091-480C-83B3-6BA94BC98513}" name="RECORD_TYPE_005A" dataDxfId="2523"/>
    <tableColumn id="55" xr3:uid="{8D87E514-5C1B-4E90-A4C0-8251A67D0D75}" name="ROUTE_PREFIX_005B" dataDxfId="2522"/>
    <tableColumn id="56" xr3:uid="{27029396-7682-48A7-AFAD-404AFC6F508C}" name="SERVICE_LEVEL_005C" dataDxfId="2521"/>
    <tableColumn id="57" xr3:uid="{6215AB1F-B7B8-479E-9FA2-C38C203C1BEF}" name="ROUTE_NUMBER_005D" dataDxfId="2520"/>
    <tableColumn id="58" xr3:uid="{FDE1F47E-1855-41A5-832F-F435CEB01E64}" name="DIRECTION_005E" dataDxfId="2519"/>
    <tableColumn id="59" xr3:uid="{100142C3-4630-4CC1-A45B-B6A8A051381F}" name="HIGHWAY_DISTRICT_002" dataDxfId="2518"/>
    <tableColumn id="60" xr3:uid="{1EEF501F-309F-4957-845E-3DD9F40E518C}" name="COUNTY_CODE_003" dataDxfId="2517"/>
    <tableColumn id="61" xr3:uid="{84508F30-770F-4E50-8BE7-BA51B82246E9}" name="PLACE_CODE_004" dataDxfId="2516"/>
    <tableColumn id="62" xr3:uid="{235400C9-078A-4FB9-ACC4-6E44255199A8}" name="FEATURES_DESC_006A" dataDxfId="2515"/>
    <tableColumn id="63" xr3:uid="{7FDC500A-8AA4-416B-85DF-7946F994626F}" name="CRITICAL_FACILITY_006B" dataDxfId="2514"/>
    <tableColumn id="64" xr3:uid="{53CE31F7-CED1-41EE-A20F-A104CFA78E7C}" name="FACILITY_CARRIED_007" dataDxfId="2513"/>
    <tableColumn id="65" xr3:uid="{BA65BE56-4593-4FF9-ABAE-6FB3E06FBAB5}" name="LOCATION_009" dataDxfId="2512"/>
    <tableColumn id="66" xr3:uid="{7BBF091B-0ED3-4861-9F15-EB14AF73A525}" name="MIN_VERT_CLR_010" dataDxfId="2511"/>
    <tableColumn id="67" xr3:uid="{D443266F-0BE5-4CB8-9C39-D3D3A4B01063}" name="KILOPOINT_011" dataDxfId="2510"/>
    <tableColumn id="68" xr3:uid="{7F9CE0F6-447E-46C5-A82D-9BBBD164C215}" name="BASE_HWY_NETWORK_012" dataDxfId="2509"/>
    <tableColumn id="69" xr3:uid="{D1A7E54C-A6A7-41DE-8928-1CC90DF1A009}" name="LRS_INV_ROUTE_013A" dataDxfId="2508"/>
    <tableColumn id="70" xr3:uid="{647F0C9F-26D8-4E6B-934B-2297CD123E56}" name="SUBROUTE_NO_013B" dataDxfId="2507"/>
    <tableColumn id="71" xr3:uid="{3405D5FD-D53C-46C5-A320-5ED852CFF99A}" name="DETOUR_KILOS_019" dataDxfId="2506"/>
    <tableColumn id="72" xr3:uid="{8066E672-08E9-49B3-8B61-09956F77EE32}" name="TOLL_020" dataDxfId="2505"/>
    <tableColumn id="73" xr3:uid="{1490476B-B693-4334-8173-B029DA737196}" name="MAINTENANCE_021" dataDxfId="2504"/>
    <tableColumn id="74" xr3:uid="{27956449-0D5E-4ED4-9F10-7DE31CB6B658}" name="OWNER_022" dataDxfId="2503"/>
    <tableColumn id="75" xr3:uid="{82FEC237-04A2-4FA1-8328-C8C85931D810}" name="FUNCTIONAL_CLASS_026" dataDxfId="2502"/>
    <tableColumn id="76" xr3:uid="{7B5AF62C-16BE-498D-BB58-EE4FDEF91153}" name="YEAR_BUILT_027" dataDxfId="2501"/>
    <tableColumn id="77" xr3:uid="{DA34B61F-3727-4988-972A-FF2E839B0FDB}" name="TRAFFIC_LANES_ON_028A" dataDxfId="2500"/>
    <tableColumn id="78" xr3:uid="{450ADA50-E0B3-4005-A6C5-47CF6A83A759}" name="TRAFFIC_LANES_UND_028B" dataDxfId="2499"/>
    <tableColumn id="79" xr3:uid="{A74E1ADA-0537-42A9-BD99-7D5001A67E65}" name="ADT_029" dataDxfId="2498"/>
    <tableColumn id="80" xr3:uid="{6CFB0168-AE1D-4A72-A29B-79E66523DA0A}" name="YEAR_ADT_030" dataDxfId="2497"/>
    <tableColumn id="81" xr3:uid="{58DA599B-555D-4028-BAD6-F5FAE11D1551}" name="DESIGN_LOAD_031" dataDxfId="2496"/>
    <tableColumn id="82" xr3:uid="{BE2A6667-6880-44E4-B39C-AEF95875E81D}" name="APPR_WIDTH_MT_032" dataDxfId="2495"/>
    <tableColumn id="83" xr3:uid="{C933198C-CD43-4AAB-B97F-CBEEDDFD846A}" name="MEDIAN_CODE_033" dataDxfId="2494"/>
    <tableColumn id="84" xr3:uid="{CB1E8B6D-8A3F-4447-9B79-1514420E85F8}" name="DEGREES_SKEW_034" dataDxfId="2493"/>
    <tableColumn id="85" xr3:uid="{B7B6AAE0-E792-4E88-8647-9F2C61F93847}" name="STRUCTURE_FLARED_035" dataDxfId="2492"/>
    <tableColumn id="86" xr3:uid="{B92D60D8-1593-435B-8F3B-C88926B39FB3}" name="RAILINGS_036A" dataDxfId="2491"/>
    <tableColumn id="87" xr3:uid="{754CA7B2-B246-47C6-88CD-DC03509BBEE8}" name="TRANSITIONS_036B" dataDxfId="2490"/>
    <tableColumn id="88" xr3:uid="{2D60E8E5-351A-46B5-BF22-CE7811BB999D}" name="APPR_RAIL_036C" dataDxfId="2489"/>
    <tableColumn id="89" xr3:uid="{75567340-F1AE-4CE9-A408-9AF548BA18A1}" name="APPR_RAIL_END_036D" dataDxfId="2488"/>
    <tableColumn id="90" xr3:uid="{752257C0-79BE-4468-B1DB-30A942A6AC54}" name="HISTORY_037" dataDxfId="2487"/>
    <tableColumn id="91" xr3:uid="{BF6F9E07-24D5-4D48-974B-553E1FB175F1}" name="NAVIGATION_038" dataDxfId="2486"/>
    <tableColumn id="92" xr3:uid="{6F8D8BFE-9C3E-45F5-BD78-49988CA1C64B}" name="NAV_VERT_CLR_MT_039" dataDxfId="2485"/>
    <tableColumn id="93" xr3:uid="{6CBD8C7A-6C5F-462D-8D4C-3B41F4C36F8C}" name="NAV_HORR_CLR_MT_040" dataDxfId="2484"/>
    <tableColumn id="94" xr3:uid="{9797534F-5A5A-48B8-97D4-66C6C2102A5D}" name="OPEN_CLOSED_POSTED_041" dataDxfId="2483"/>
    <tableColumn id="95" xr3:uid="{9751D01E-8039-4A06-90C2-7A99343D3A3D}" name="SERVICE_ON_042A" dataDxfId="2482"/>
    <tableColumn id="96" xr3:uid="{6872D7C9-0213-462B-B988-6B777A52340A}" name="SERVICE_UND_042B" dataDxfId="2481"/>
    <tableColumn id="97" xr3:uid="{212A88A9-5702-4207-A9F2-D5075BA1464B}" name="STRUCTURE_KIND_043A" dataDxfId="2480"/>
    <tableColumn id="98" xr3:uid="{2B430FA2-6DD8-4BB4-B2BF-BE4EDDC17DBD}" name="STRUCTURE_TYPE_043B" dataDxfId="2479"/>
    <tableColumn id="99" xr3:uid="{ACAC0E00-EE73-443A-B395-1521A8A75CE8}" name="APPR_KIND_044A" dataDxfId="2478"/>
    <tableColumn id="100" xr3:uid="{E22B571C-05CB-4A7A-BD18-A1F49ED97AF2}" name="APPR_TYPE_044B" dataDxfId="2477"/>
    <tableColumn id="101" xr3:uid="{94C4DF1F-77FB-43F7-92C0-3DE4894E6DEC}" name="MAIN_UNIT_SPANS_045" dataDxfId="2476"/>
    <tableColumn id="102" xr3:uid="{78662AB9-4F0A-4592-9ACC-C8BC06C73B1A}" name="APPR_SPANS_046" dataDxfId="2475"/>
    <tableColumn id="103" xr3:uid="{92AF1DB8-CE31-4B2E-B5CD-3D6AAA3352CF}" name="HORR_CLR_MT_047" dataDxfId="2474"/>
    <tableColumn id="104" xr3:uid="{1F3BCC86-F771-4F8E-BA9F-E2445B5391AF}" name="MAX_SPAN_LEN_MT_048" dataDxfId="2473"/>
    <tableColumn id="105" xr3:uid="{48F3B88E-3EB5-444D-85E7-B372063127B0}" name="STRUCTURE_LEN_MT_049" dataDxfId="2472"/>
    <tableColumn id="106" xr3:uid="{EEF6C9E5-8A88-4392-80F4-7167BD444B64}" name="LEFT_CURB_MT_050A" dataDxfId="2471"/>
    <tableColumn id="107" xr3:uid="{D8A56FFD-3FFB-4541-8EAA-6A6541895D83}" name="RIGHT_CURB_MT_050B" dataDxfId="2470"/>
    <tableColumn id="108" xr3:uid="{52201D50-7CF1-4188-9B6E-E7ADA0763FFE}" name="ROADWAY_WIDTH_MT_051" dataDxfId="2469"/>
    <tableColumn id="109" xr3:uid="{5BB3AF05-B5A1-49C1-98AB-B44E172C62D3}" name="DECK_WIDTH_MT_052" dataDxfId="2468"/>
    <tableColumn id="110" xr3:uid="{373B59C3-F010-4CF5-AD45-8FC651AE3AB0}" name="VERT_CLR_OVER_MT_053" dataDxfId="2467"/>
    <tableColumn id="111" xr3:uid="{80E62F42-9EC2-4CF4-8521-A043B6270F74}" name="VERT_CLR_UND_REF_054A" dataDxfId="2466"/>
    <tableColumn id="112" xr3:uid="{6E5092A0-8E59-4C62-B84B-F7CA15608A38}" name="VERT_CLR_UND_054B" dataDxfId="2465"/>
    <tableColumn id="113" xr3:uid="{EADC0020-F947-4294-AB59-1D4F7599C464}" name="LAT_UND_REF_055A" dataDxfId="2464"/>
    <tableColumn id="114" xr3:uid="{C457353E-3DB0-4B9C-8B35-009C189B95F9}" name="LAT_UND_MT_055B" dataDxfId="2463"/>
    <tableColumn id="115" xr3:uid="{29902DF9-F0C0-4930-802C-BD3CB98E0108}" name="LEFT_LAT_UND_MT_056" dataDxfId="2462"/>
    <tableColumn id="116" xr3:uid="{CEA76514-F1FC-4E14-8432-80BE3F197F91}" name="DECK_COND_058" dataDxfId="2461"/>
    <tableColumn id="117" xr3:uid="{D7D150B9-6BD1-4507-83B8-14857EFBE606}" name="SUPERSTRUCTURE_COND_059" dataDxfId="2460"/>
    <tableColumn id="118" xr3:uid="{FDE6957B-F304-4DFB-B670-C7189D01F483}" name="SUBSTRUCTURE_COND_060" dataDxfId="2459"/>
    <tableColumn id="119" xr3:uid="{7CAF21A4-62E9-45B4-A118-061092C03352}" name="CHANNEL_COND_061" dataDxfId="2458"/>
    <tableColumn id="120" xr3:uid="{848A5970-8845-4555-9C95-0896948D5E69}" name="CULVERT_COND_062" dataDxfId="2457"/>
    <tableColumn id="121" xr3:uid="{F9EA3ABD-3747-4F68-A586-7A6AFCBA5B84}" name="OPR_RATING_METH_063" dataDxfId="2456"/>
    <tableColumn id="122" xr3:uid="{2794EF4F-796D-4AE6-8DC5-7AD935F6D9CD}" name="OPERATING_RATING_064" dataDxfId="2455"/>
    <tableColumn id="123" xr3:uid="{F0DF5B26-73FD-4D08-A4EC-B092E215C27F}" name="INV_RATING_METH_065" dataDxfId="2454"/>
    <tableColumn id="124" xr3:uid="{4E85D92B-93F0-47CE-8EE1-9B0D8C721558}" name="INVENTORY_RATING_066" dataDxfId="2453"/>
    <tableColumn id="125" xr3:uid="{313B7778-9E35-44D1-A124-B9D1CEE46F96}" name="STRUCTURAL_EVAL_067" dataDxfId="2452"/>
    <tableColumn id="126" xr3:uid="{9EF91DE0-BAD7-4004-821D-F5C97A7E5013}" name="DECK_GEOMETRY_EVAL_068" dataDxfId="2451"/>
    <tableColumn id="127" xr3:uid="{DB460F9B-22E9-4950-AC2E-4F2C96C39DA1}" name="UNDCLRENCE_EVAL_069" dataDxfId="2450"/>
    <tableColumn id="128" xr3:uid="{74A99777-13C9-4E39-BE4F-EA2539DC4951}" name="POSTING_EVAL_070" dataDxfId="2449"/>
    <tableColumn id="129" xr3:uid="{31C98C6E-A1A6-430F-B233-B98B8119D450}" name="WATERWAY_EVAL_071" dataDxfId="2448"/>
    <tableColumn id="130" xr3:uid="{E31FB624-48C0-4D55-8CEA-A5659D51551A}" name="APPR_ROAD_EVAL_072" dataDxfId="2447"/>
    <tableColumn id="131" xr3:uid="{14389120-C017-4A85-9319-1F450844929B}" name="WORK_PROPOSED_075A" dataDxfId="2446"/>
    <tableColumn id="132" xr3:uid="{52618C10-363B-480B-BECA-EC2E3B47A13B}" name="WORK_DONE_BY_075B" dataDxfId="2445"/>
    <tableColumn id="133" xr3:uid="{68817345-DE17-45AA-9E4F-B0012150F0FC}" name="IMP_LEN_MT_076" dataDxfId="2444"/>
    <tableColumn id="134" xr3:uid="{62767007-751A-408F-8E20-A37A8AE24808}" name="DATE_OF_INSPECT_090" dataDxfId="2443"/>
    <tableColumn id="135" xr3:uid="{CE779F26-12A4-4564-8FE9-2E30615D1596}" name="INSPECT_FREQ_MONTHS_091" dataDxfId="2442"/>
    <tableColumn id="136" xr3:uid="{3E1EF703-CB21-46FD-BF8F-AEFDAE8C0B02}" name="FRACTURE_092A" dataDxfId="2441"/>
    <tableColumn id="137" xr3:uid="{AB2E30ED-4739-4680-B150-C3271864FD98}" name="UNDWATER_LOOK_SEE_092B" dataDxfId="2440"/>
    <tableColumn id="138" xr3:uid="{25CF28B3-A66E-4607-826D-B6B77664764C}" name="SPEC_INSPECT_092C" dataDxfId="2439"/>
    <tableColumn id="139" xr3:uid="{61BF3C9E-602B-4ED8-931D-C25CC5732042}" name="FRACTURE_LAST_DATE_093A" dataDxfId="2438"/>
    <tableColumn id="140" xr3:uid="{8E601D29-AD17-44AC-99CB-4ACE78E48219}" name="UNDWATER_LAST_DATE_093B" dataDxfId="2437"/>
    <tableColumn id="141" xr3:uid="{2D371382-E711-4400-A14F-23D4634D911B}" name="SPEC_LAST_DATE_093C" dataDxfId="2436"/>
    <tableColumn id="142" xr3:uid="{7B7B47FB-B19C-42B8-9386-903C4A805EF9}" name="BRIDGE_IMP_COST_094" dataDxfId="2435"/>
    <tableColumn id="143" xr3:uid="{4DEB096C-EE4C-4984-A0E1-052B3DE2176C}" name="ROADWAY_IMP_COST_095" dataDxfId="2434"/>
    <tableColumn id="144" xr3:uid="{D6614DDA-BE95-40F5-9767-C8C72C7AED56}" name="TOTAL_IMP_COST_096" dataDxfId="2433"/>
    <tableColumn id="145" xr3:uid="{25490525-65F8-40CE-9644-18FDF6FC6E29}" name="YEAR_OF_IMP_097" dataDxfId="2432"/>
    <tableColumn id="146" xr3:uid="{392E10E6-B543-42E5-B322-B9405F935871}" name="OTHER_STATE_CODE_098A" dataDxfId="2431"/>
    <tableColumn id="147" xr3:uid="{28D2DB1F-B17A-48A9-A6B2-7EF7D9094AD2}" name="OTHER_STATE_PCNT_098B" dataDxfId="2430"/>
    <tableColumn id="148" xr3:uid="{3BA3C0FB-17F8-4F28-80A0-4B433BDC76EC}" name="OTHR_STATE_STRUC_NO_099" dataDxfId="2429"/>
    <tableColumn id="149" xr3:uid="{6805B000-CD02-413A-AD48-2EE6802F1486}" name="STRAHNET_HIGHWAY_100" dataDxfId="2428"/>
    <tableColumn id="150" xr3:uid="{F19B47AE-BB76-4B4D-AD4D-8D3D84D097FD}" name="PARALLEL_STRUCTURE_101" dataDxfId="2427"/>
    <tableColumn id="151" xr3:uid="{4ABA0971-381C-474D-851B-1E531D41200F}" name="TRAFFIC_DIRECTION_102" dataDxfId="2426"/>
    <tableColumn id="152" xr3:uid="{6D7BF747-1E9E-4140-BCBE-49ECE0430651}" name="TEMP_STRUCTURE_103" dataDxfId="2425"/>
    <tableColumn id="153" xr3:uid="{F7B518B1-E0EB-4FA0-A14B-C5789DFCC90F}" name="HIGHWAY_SYSTEM_104" dataDxfId="2424"/>
    <tableColumn id="154" xr3:uid="{70D48746-E382-4B8A-B476-A6C35A8BF381}" name="FEDERAL_LANDS_105" dataDxfId="2423"/>
    <tableColumn id="155" xr3:uid="{229B853B-554D-4E19-964D-C6479585D6EA}" name="YEAR_RECONSTRUCTED_106" dataDxfId="2422"/>
    <tableColumn id="156" xr3:uid="{0DF39A4C-7DB0-4F4A-A92A-BB2B698A9181}" name="DECK_STRUCTURE_TYPE_107" dataDxfId="2421"/>
    <tableColumn id="157" xr3:uid="{2D7E3B94-2557-4BC5-BF00-FF6F4D3E4CA7}" name="SURFACE_TYPE_108A" dataDxfId="2420"/>
    <tableColumn id="158" xr3:uid="{02B8A236-7FAA-41B3-9090-A3019D52CDE6}" name="MEMBRANE_TYPE_108B" dataDxfId="2419"/>
    <tableColumn id="159" xr3:uid="{8F1149D9-5100-4799-AF1E-0B2EDFFC1427}" name="DECK_PROTECTION_108C" dataDxfId="2418"/>
    <tableColumn id="160" xr3:uid="{74DCBE6A-414A-4B15-8280-934D255CB4AC}" name="PERCENT_ADT_TRUCK_109" dataDxfId="2417"/>
    <tableColumn id="161" xr3:uid="{A43A8C81-609B-4210-B945-862A70092892}" name="NATIONAL_NETWORK_110" dataDxfId="2416"/>
    <tableColumn id="162" xr3:uid="{2D0E075B-EC88-4A2A-8A08-E4D7CC883E8A}" name="PIER_PROTECTION_111" dataDxfId="2415"/>
    <tableColumn id="163" xr3:uid="{AF95740A-4FE1-450F-9420-CFFCB5FAF431}" name="BRIDGE_LEN_IND_112" dataDxfId="2414"/>
    <tableColumn id="164" xr3:uid="{11FF40CD-0CC0-41FF-ABDE-490FD8A180B2}" name="SCOUR_CRITICAL_113" dataDxfId="2413"/>
    <tableColumn id="165" xr3:uid="{875CAADA-29A0-44B0-8AD7-489816479342}" name="FUTURE_ADT_114" dataDxfId="2412"/>
    <tableColumn id="166" xr3:uid="{1FABADBA-00D3-4B76-A888-A7CC5636D174}" name="YEAR_OF_FUTURE_ADT_115" dataDxfId="2411"/>
    <tableColumn id="167" xr3:uid="{56D971DA-F2B1-4832-81ED-90698EB557A1}" name="MIN_NAV_CLR_MT_116" dataDxfId="2410"/>
    <tableColumn id="168" xr3:uid="{48F36C9C-7EA8-475B-AAC9-A259DED2E5AB}" name="FED_AGENCY" dataDxfId="2409"/>
    <tableColumn id="169" xr3:uid="{8D7A5A40-7337-499C-85AF-048F59AB8F3D}" name="SUBMITTED_BY" dataDxfId="2408"/>
    <tableColumn id="170" xr3:uid="{5051210B-4033-4489-AF41-3C735DFD8798}" name="BRIDGE_CONDITION" dataDxfId="2407"/>
    <tableColumn id="171" xr3:uid="{6FDBEC77-D38A-477B-AC46-FE4E72FABF68}" name="LOWEST_RATING" dataDxfId="2406"/>
    <tableColumn id="172" xr3:uid="{3E72558C-A907-4FBA-9FC4-CD33E87A4ABB}" name="DECK_AREA" dataDxfId="2405"/>
    <tableColumn id="173" xr3:uid="{FA87BE78-DEBA-403E-8956-726035D7DCFA}" name="Detour_Duration" dataDxfId="2404"/>
    <tableColumn id="174" xr3:uid="{953DDBE0-8889-472D-9173-8798246450BC}" name="Min_Unit_Rebuilding_Cost($/ft2)" dataDxfId="2403"/>
    <tableColumn id="175" xr3:uid="{D1791461-E97F-425A-9D7A-AA4881FE6228}" name="Max_Unit_Rebuilding_Cost($/ft2)2" dataDxfId="2402"/>
    <tableColumn id="176" xr3:uid="{CAD10881-067A-42E6-AAE8-55E2E0F5140E}" name="Cost_Multiplier_for_Early_Replacement" dataDxfId="2401"/>
    <tableColumn id="177" xr3:uid="{D404CE38-D17D-4E22-9E63-367F198D7195}" name="Assumed_Number_of_Lives_Lost_in_Bridge_Failure" dataDxfId="2400"/>
    <tableColumn id="178" xr3:uid="{E9452C8C-A395-434A-80A9-3AA0C8069F13}" name="HYRISK_Cost_of_Faliure_term1" dataDxfId="2399"/>
    <tableColumn id="179" xr3:uid="{D4E62701-3B37-4B2A-9EF5-3ADB80020028}" name="HYRISK_Cost_of_Faliure_term2" dataDxfId="2398"/>
    <tableColumn id="180" xr3:uid="{3C31DAA9-5E72-42FF-AA9C-C60E8FB1028D}" name="HYRISK_Cost_of_Faliure_term3" dataDxfId="2397"/>
    <tableColumn id="181" xr3:uid="{CB8A2849-44F1-4D65-8519-DFE22557514C}" name="HYRISK_Cost_of_Faliure_term4" dataDxfId="2396"/>
    <tableColumn id="285" xr3:uid="{2C298422-E34F-40B6-B368-2AD65173FF76}" name="HYRISK_Cost_of_Faliure_term5" dataDxfId="2395"/>
    <tableColumn id="286" xr3:uid="{44310F05-4C02-431F-85D8-3007C0E3591D}" name="Rating_decay" dataDxfId="2394">
      <calculatedColumnFormula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calculatedColumnFormula>
    </tableColumn>
    <tableColumn id="182" xr3:uid="{7CF3386C-9D7C-4362-BE12-F4D966E805D5}" name="Total_Cost_MUSD" dataDxfId="2393"/>
    <tableColumn id="186" xr3:uid="{0D50DD71-8F34-41AB-83FE-75C0B282CCC4}" name="Hazus_Failure_Prob_10" dataDxfId="2392"/>
    <tableColumn id="185" xr3:uid="{EF9925AA-210C-48D4-AB63-0151C2A009D2}" name="Hazus_Failure_Prob_50" dataDxfId="2391"/>
    <tableColumn id="184" xr3:uid="{8FFB45D4-50A0-4DF9-82CC-ECF90ACA35A9}" name="Hazus_Failure_Prob_100" dataDxfId="2390"/>
    <tableColumn id="183" xr3:uid="{DEC4B860-8A0E-4A7E-A1D4-DA1B789E3A3E}" name="Hazus_Failure_Prob_500" dataDxfId="2389"/>
    <tableColumn id="187" xr3:uid="{CC5FADBE-BE55-4A24-A91F-598A695F79DF}" name="Current_rating" dataDxfId="2388"/>
    <tableColumn id="283" xr3:uid="{C05F05FB-6DD3-4638-AD63-21CDF54E5052}" name="cost_repair_rating0" dataDxfId="2387"/>
    <tableColumn id="192" xr3:uid="{CE51CAD4-2847-4860-9544-8B68ED0B0A53}" name="cost_repair_rating1" dataDxfId="2386"/>
    <tableColumn id="193" xr3:uid="{5F118D31-54BE-484A-BAC6-42C6AE6F5DDF}" name="cost_repair_rating2" dataDxfId="2385"/>
    <tableColumn id="194" xr3:uid="{EA6A853A-B109-405D-AD99-0F60A20D4EB4}" name="cost_repair_rating3" dataDxfId="2384"/>
    <tableColumn id="195" xr3:uid="{FC3D077D-67EE-48EF-83BA-AA5EBD97BB6F}" name="cost_repair_rating4" dataDxfId="2383"/>
    <tableColumn id="196" xr3:uid="{1B6C0BFB-89FD-4930-B13D-FB2DD980E13C}" name="cost_repair_rating5" dataDxfId="2382"/>
    <tableColumn id="197" xr3:uid="{A5E5CFEF-31EF-4126-A9FA-184033BC6183}" name="cost_repair_rating6" dataDxfId="2381"/>
    <tableColumn id="198" xr3:uid="{E1BD83D7-097C-4437-A301-91EED5BD829D}" name="cost_repair_rating7" dataDxfId="2380"/>
    <tableColumn id="199" xr3:uid="{5FC6E43B-563F-43CC-B6B8-63C5582ED31A}" name="cost_repair_rating8" dataDxfId="2379"/>
    <tableColumn id="200" xr3:uid="{AF46553D-62E0-4DDB-BDD9-B4A1DA6D4016}" name="cost_repair_rating9" dataDxfId="2378"/>
    <tableColumn id="201" xr3:uid="{43F6E639-5457-42E7-B572-33850281163D}" name="prob500-failure_rating1" dataDxfId="2377">
      <calculatedColumnFormula>2.5/100</calculatedColumnFormula>
    </tableColumn>
    <tableColumn id="202" xr3:uid="{A9DE2CA6-83CC-4B2E-9366-D5B3DA2A96CE}" name="prob500-failure_rating2" dataDxfId="2376"/>
    <tableColumn id="203" xr3:uid="{CBAD79B0-7181-4300-A203-78F76A4D0436}" name="prob500-failure_rating3" dataDxfId="2375"/>
    <tableColumn id="204" xr3:uid="{E216FCA8-0E69-42DF-B227-3BE67940B10B}" name="prob500-failure_rating4" dataDxfId="2374"/>
    <tableColumn id="205" xr3:uid="{1453D5DD-96BC-4CCA-BFD8-151BB0C16B12}" name="prob500-failure_rating5" dataDxfId="2373"/>
    <tableColumn id="206" xr3:uid="{3AEC3BBA-B2FB-4210-B8AF-08B2EDB3F3A1}" name="prob500-failure_rating6" dataDxfId="2372"/>
    <tableColumn id="207" xr3:uid="{1B7DAF1E-81D9-47F2-86FD-10CDA28492BD}" name="prob500-failure_rating7" dataDxfId="2371"/>
    <tableColumn id="208" xr3:uid="{0C29DBAA-DD8C-4B0B-AC33-9DB7BD2360F3}" name="prob500-failure_rating8" dataDxfId="2370"/>
    <tableColumn id="209" xr3:uid="{15DEA564-9B30-4663-A62B-97C7BE1B48D6}" name="prob500-failure_rating9" dataDxfId="2369"/>
    <tableColumn id="210" xr3:uid="{A0B84BE4-698E-47F7-93EB-A08F5CD6140D}" name="prob100-failure_rating1" dataDxfId="2368">
      <calculatedColumnFormula>1.25/100</calculatedColumnFormula>
    </tableColumn>
    <tableColumn id="211" xr3:uid="{B65CD76F-3FB5-4BB3-B740-82EF4DF67460}" name="prob100-failure_rating2" dataDxfId="2367"/>
    <tableColumn id="212" xr3:uid="{560BAE34-3FB6-4F70-81E2-AA6D33A34558}" name="prob100-failure_rating3" dataDxfId="2366"/>
    <tableColumn id="213" xr3:uid="{1CF4DE08-D7E0-49DA-9EA9-8E7D9E5EAF2F}" name="prob100-failure_rating4" dataDxfId="2365"/>
    <tableColumn id="214" xr3:uid="{5A03C927-E236-445C-BC76-B39C2E6F7974}" name="prob100-failure_rating5" dataDxfId="2364"/>
    <tableColumn id="215" xr3:uid="{4B2973E3-A75C-4A68-9EDE-D702D0B5D049}" name="prob100-failure_rating6" dataDxfId="2363"/>
    <tableColumn id="216" xr3:uid="{D6195E6E-664C-4925-BD31-F0D45B444F0D}" name="prob100-failure_rating7" dataDxfId="2362"/>
    <tableColumn id="217" xr3:uid="{F5930914-F4E1-4813-B195-9C07530515F8}" name="prob100-failure_rating8" dataDxfId="2361"/>
    <tableColumn id="218" xr3:uid="{469AC8BA-E343-4B8D-9C05-5A1BB4BD3A1B}" name="prob100-failure_rating9" dataDxfId="2360"/>
    <tableColumn id="219" xr3:uid="{EB5867ED-9847-4399-AA45-E404C4E6D6BF}" name="prob50-failure_rating1" dataDxfId="2359"/>
    <tableColumn id="220" xr3:uid="{C3111CE2-753B-43BF-B105-151A3DA5342A}" name="prob50-failure_rating2" dataDxfId="2358"/>
    <tableColumn id="221" xr3:uid="{C57D6F32-AAF0-49CD-900D-16D9F0B4B29B}" name="prob50-failure_rating3" dataDxfId="2357"/>
    <tableColumn id="222" xr3:uid="{4F447560-3D44-4656-BD90-DF57D9888BBF}" name="prob50-failure_rating4" dataDxfId="2356"/>
    <tableColumn id="223" xr3:uid="{A90269F8-CF19-41F3-B80D-BFCFD3A5B29F}" name="prob50-failure_rating5" dataDxfId="2355"/>
    <tableColumn id="224" xr3:uid="{ACF8D00F-20EE-47E4-AE8F-97F7C279492C}" name="prob50-failure_rating6" dataDxfId="2354"/>
    <tableColumn id="225" xr3:uid="{151349CD-4C5C-419C-A7EB-789270F119A4}" name="prob50-failure_rating7" dataDxfId="2353"/>
    <tableColumn id="226" xr3:uid="{F92FA0B4-29AA-4AFD-AA9D-C42BB56F7D9D}" name="prob50-failure_rating8" dataDxfId="2352"/>
    <tableColumn id="227" xr3:uid="{A5EFE5F5-AF23-4A78-B9D6-6D3E6D684592}" name="prob50-failure_rating9" dataDxfId="2351"/>
    <tableColumn id="228" xr3:uid="{4EA027D3-26DB-459B-A90D-B406D53611CE}" name="prob10-failure_rating1" dataDxfId="2350"/>
    <tableColumn id="229" xr3:uid="{9100DB0C-E6F2-4816-AE36-C63C7C5FBE1B}" name="prob10-failure_rating2" dataDxfId="2349"/>
    <tableColumn id="230" xr3:uid="{CFF83C5E-8B03-46D8-BC79-EFFD80894CC5}" name="prob10-failure_rating3" dataDxfId="2348"/>
    <tableColumn id="231" xr3:uid="{0716FC0C-30E7-45C6-83D2-AAC5FD66C799}" name="prob10-failure_rating4" dataDxfId="2347"/>
    <tableColumn id="232" xr3:uid="{08F549DB-6AA1-44BD-9A9F-E83D1E502197}" name="prob10-failure_rating5" dataDxfId="2346"/>
    <tableColumn id="233" xr3:uid="{EA818215-6F17-4498-8D4E-0A19288C55AA}" name="prob10-failure_rating6" dataDxfId="2345"/>
    <tableColumn id="234" xr3:uid="{6B4009B2-8A19-470A-8157-D90128B25A1E}" name="prob10-failure_rating7" dataDxfId="2344"/>
    <tableColumn id="235" xr3:uid="{CB877219-02DC-4D9D-9ABD-147A983F6F22}" name="prob10-failure_rating8" dataDxfId="2343"/>
    <tableColumn id="236" xr3:uid="{37648E1C-DE69-4560-9A1A-215CE66B2919}" name="prob10-failure_rating9" dataDxfId="2342"/>
    <tableColumn id="237" xr3:uid="{D08AD5E1-B1A1-4A3A-9615-72810CA11162}" name="failurecost500_rating1" dataDxfId="2341">
      <calculatedColumnFormula>Table1567[[#This Row],[Total_Cost_MUSD]]*Table1567[[#This Row],[prob500-failure_rating1]]/500</calculatedColumnFormula>
    </tableColumn>
    <tableColumn id="238" xr3:uid="{7EE52798-6E56-4F39-9EC3-A67AC28602E1}" name="failurecost500_rating2" dataDxfId="2340">
      <calculatedColumnFormula>Table1567[[#This Row],[Total_Cost_MUSD]]*Table1567[[#This Row],[prob500-failure_rating2]]/500</calculatedColumnFormula>
    </tableColumn>
    <tableColumn id="239" xr3:uid="{BAEBD8EA-CE38-4531-BBEA-C5051D857B38}" name="failurecost500_rating3" dataDxfId="2339">
      <calculatedColumnFormula>Table1567[[#This Row],[Total_Cost_MUSD]]*Table1567[[#This Row],[prob500-failure_rating3]]/500</calculatedColumnFormula>
    </tableColumn>
    <tableColumn id="240" xr3:uid="{FFCB6099-551A-4815-B4E2-FCF2C0402FED}" name="failurecost500_rating4" dataDxfId="2338">
      <calculatedColumnFormula>Table1567[[#This Row],[Total_Cost_MUSD]]*Table1567[[#This Row],[prob500-failure_rating4]]/500</calculatedColumnFormula>
    </tableColumn>
    <tableColumn id="241" xr3:uid="{5EF05FD5-B3EE-49BC-9468-B958EA905766}" name="failurecost500_rating5" dataDxfId="2337">
      <calculatedColumnFormula>Table1567[[#This Row],[Total_Cost_MUSD]]*Table1567[[#This Row],[prob500-failure_rating5]]/500</calculatedColumnFormula>
    </tableColumn>
    <tableColumn id="242" xr3:uid="{8547A1BB-A1DF-4B2F-B872-08D6A14FBD77}" name="failurecost500_rating6" dataDxfId="2336">
      <calculatedColumnFormula>Table1567[[#This Row],[Total_Cost_MUSD]]*Table1567[[#This Row],[prob500-failure_rating6]]/500</calculatedColumnFormula>
    </tableColumn>
    <tableColumn id="243" xr3:uid="{2E73624F-7B2C-4C69-B79F-E701CB0AA385}" name="failurecost500_rating7" dataDxfId="2335">
      <calculatedColumnFormula>Table1567[[#This Row],[Total_Cost_MUSD]]*Table1567[[#This Row],[prob500-failure_rating7]]/500</calculatedColumnFormula>
    </tableColumn>
    <tableColumn id="244" xr3:uid="{42E117FA-20FB-4B5A-A280-F1D34D989B33}" name="failurecost500_rating8" dataDxfId="2334">
      <calculatedColumnFormula>Table1567[[#This Row],[Total_Cost_MUSD]]*Table1567[[#This Row],[prob500-failure_rating8]]/500</calculatedColumnFormula>
    </tableColumn>
    <tableColumn id="245" xr3:uid="{D453726E-B4CA-48A4-ACE8-1D3A3969655A}" name="failurecost500_rating9" dataDxfId="2333">
      <calculatedColumnFormula>Table1567[[#This Row],[Total_Cost_MUSD]]*Table1567[[#This Row],[prob500-failure_rating9]]/500</calculatedColumnFormula>
    </tableColumn>
    <tableColumn id="246" xr3:uid="{ED61B012-AF4D-4901-90AD-3804A682A39E}" name="failurecost100_rating1" dataDxfId="2332">
      <calculatedColumnFormula>Table1567[[#This Row],[Total_Cost_MUSD]]*Table1567[[#This Row],[prob100-failure_rating1]]/100</calculatedColumnFormula>
    </tableColumn>
    <tableColumn id="247" xr3:uid="{ADDC24EE-0787-4E0E-9C21-5EBE59D00D5E}" name="failurecost100_rating2" dataDxfId="2331">
      <calculatedColumnFormula>Table1567[[#This Row],[Total_Cost_MUSD]]*Table1567[[#This Row],[prob100-failure_rating2]]/100</calculatedColumnFormula>
    </tableColumn>
    <tableColumn id="248" xr3:uid="{803D93C6-B988-403C-8067-0E68F01DF596}" name="failurecost100_rating3" dataDxfId="2330">
      <calculatedColumnFormula>Table1567[[#This Row],[Total_Cost_MUSD]]*Table1567[[#This Row],[prob100-failure_rating3]]/100</calculatedColumnFormula>
    </tableColumn>
    <tableColumn id="249" xr3:uid="{A7742C9C-5E77-4A3A-9D91-BA1BE020BABE}" name="failurecost100_rating4" dataDxfId="2329">
      <calculatedColumnFormula>Table1567[[#This Row],[Total_Cost_MUSD]]*Table1567[[#This Row],[prob100-failure_rating4]]/100</calculatedColumnFormula>
    </tableColumn>
    <tableColumn id="250" xr3:uid="{57A3AFCC-FE4B-4FFA-BCFA-2515ED030FCE}" name="failurecost100_rating5" dataDxfId="2328">
      <calculatedColumnFormula>Table1567[[#This Row],[Total_Cost_MUSD]]*Table1567[[#This Row],[prob100-failure_rating5]]/100</calculatedColumnFormula>
    </tableColumn>
    <tableColumn id="251" xr3:uid="{21B6174B-C688-4714-B81B-531EEF571166}" name="failurecost100_rating6" dataDxfId="2327">
      <calculatedColumnFormula>Table1567[[#This Row],[Total_Cost_MUSD]]*Table1567[[#This Row],[prob100-failure_rating6]]/100</calculatedColumnFormula>
    </tableColumn>
    <tableColumn id="252" xr3:uid="{FE8BCCAB-BF59-478E-8D41-1D5B4DF5B0BD}" name="failurecost100_rating7" dataDxfId="2326">
      <calculatedColumnFormula>Table1567[[#This Row],[Total_Cost_MUSD]]*Table1567[[#This Row],[prob100-failure_rating7]]/100</calculatedColumnFormula>
    </tableColumn>
    <tableColumn id="253" xr3:uid="{DBD18AB2-A2CF-4994-BC60-DD7FB14E6541}" name="failurecost100_rating8" dataDxfId="2325">
      <calculatedColumnFormula>Table1567[[#This Row],[Total_Cost_MUSD]]*Table1567[[#This Row],[prob100-failure_rating8]]/100</calculatedColumnFormula>
    </tableColumn>
    <tableColumn id="254" xr3:uid="{C015E1CE-D1EA-4348-AB0A-331CBC46F650}" name="failurecost100_rating9" dataDxfId="2324">
      <calculatedColumnFormula>Table1567[[#This Row],[Total_Cost_MUSD]]*Table1567[[#This Row],[prob100-failure_rating9]]/100</calculatedColumnFormula>
    </tableColumn>
    <tableColumn id="255" xr3:uid="{B9A77EFB-C216-47C4-AAA8-D951A721D5FA}" name="failurecost50_rating1" dataDxfId="2323">
      <calculatedColumnFormula>Table1567[[#This Row],[Total_Cost_MUSD]]*Table1567[[#This Row],[prob50-failure_rating1]]/50</calculatedColumnFormula>
    </tableColumn>
    <tableColumn id="256" xr3:uid="{D42E8E4A-47F4-40D9-B202-3B8AC5E389D0}" name="failurecost50_rating2" dataDxfId="2322">
      <calculatedColumnFormula>Table1567[[#This Row],[Total_Cost_MUSD]]*Table1567[[#This Row],[prob50-failure_rating2]]/50</calculatedColumnFormula>
    </tableColumn>
    <tableColumn id="257" xr3:uid="{CD731284-3305-4840-A1EF-8C80413C4A18}" name="failurecost50_rating3" dataDxfId="2321">
      <calculatedColumnFormula>Table1567[[#This Row],[Total_Cost_MUSD]]*Table1567[[#This Row],[prob50-failure_rating3]]/50</calculatedColumnFormula>
    </tableColumn>
    <tableColumn id="258" xr3:uid="{F6064B9E-749D-4D22-BE4C-BF0F3E617006}" name="failurecost50_rating4" dataDxfId="2320">
      <calculatedColumnFormula>Table1567[[#This Row],[Total_Cost_MUSD]]*Table1567[[#This Row],[prob50-failure_rating4]]/50</calculatedColumnFormula>
    </tableColumn>
    <tableColumn id="259" xr3:uid="{02485C95-9D9B-49BF-BA0A-198B4A77F46B}" name="failurecost50_rating5" dataDxfId="2319">
      <calculatedColumnFormula>Table1567[[#This Row],[Total_Cost_MUSD]]*Table1567[[#This Row],[prob50-failure_rating5]]/50</calculatedColumnFormula>
    </tableColumn>
    <tableColumn id="260" xr3:uid="{D1A00754-9C32-4966-A77A-A6033F013D26}" name="failurecost50_rating6" dataDxfId="2318">
      <calculatedColumnFormula>Table1567[[#This Row],[Total_Cost_MUSD]]*Table1567[[#This Row],[prob50-failure_rating6]]/50</calculatedColumnFormula>
    </tableColumn>
    <tableColumn id="261" xr3:uid="{B6F0448D-11DD-4435-8DF6-0CC818C2F733}" name="failurecost50_rating7" dataDxfId="2317">
      <calculatedColumnFormula>Table1567[[#This Row],[Total_Cost_MUSD]]*Table1567[[#This Row],[prob50-failure_rating7]]/50</calculatedColumnFormula>
    </tableColumn>
    <tableColumn id="262" xr3:uid="{A037A149-CDF4-476E-995F-4BB95A339924}" name="failurecost50_rating8" dataDxfId="2316">
      <calculatedColumnFormula>Table1567[[#This Row],[Total_Cost_MUSD]]*Table1567[[#This Row],[prob50-failure_rating8]]/50</calculatedColumnFormula>
    </tableColumn>
    <tableColumn id="263" xr3:uid="{50E5E695-307C-4C34-A289-1E67D637713B}" name="failurecost50_rating9" dataDxfId="2315">
      <calculatedColumnFormula>Table1567[[#This Row],[Total_Cost_MUSD]]*Table1567[[#This Row],[prob50-failure_rating9]]/50</calculatedColumnFormula>
    </tableColumn>
    <tableColumn id="273" xr3:uid="{BCD8AFE5-8AFC-451A-9BBD-2BA38719C67E}" name="failurecost10_rating1" dataDxfId="2314">
      <calculatedColumnFormula>Table1567[[#This Row],[Total_Cost_MUSD]]*Table1567[[#This Row],[prob10-failure_rating1]]/10</calculatedColumnFormula>
    </tableColumn>
    <tableColumn id="274" xr3:uid="{6D3A54B1-C308-4B8C-A574-E728C30A850C}" name="failurecost10_rating2" dataDxfId="2313">
      <calculatedColumnFormula>Table1567[[#This Row],[Total_Cost_MUSD]]*Table1567[[#This Row],[prob10-failure_rating2]]/10</calculatedColumnFormula>
    </tableColumn>
    <tableColumn id="275" xr3:uid="{8D180BCF-0251-4BA5-A59E-40E5263B2585}" name="failurecost10_rating3" dataDxfId="2312">
      <calculatedColumnFormula>Table1567[[#This Row],[Total_Cost_MUSD]]*Table1567[[#This Row],[prob10-failure_rating3]]/10</calculatedColumnFormula>
    </tableColumn>
    <tableColumn id="276" xr3:uid="{971D7B16-0B5D-4922-BACC-6BF001671A97}" name="failurecost10_rating4" dataDxfId="2311">
      <calculatedColumnFormula>Table1567[[#This Row],[Total_Cost_MUSD]]*Table1567[[#This Row],[prob10-failure_rating4]]/10</calculatedColumnFormula>
    </tableColumn>
    <tableColumn id="277" xr3:uid="{B14B32CB-686C-4A83-B09E-40405A35250A}" name="failurecost10_rating5" dataDxfId="2310">
      <calculatedColumnFormula>Table1567[[#This Row],[Total_Cost_MUSD]]*Table1567[[#This Row],[prob10-failure_rating5]]/10</calculatedColumnFormula>
    </tableColumn>
    <tableColumn id="278" xr3:uid="{B2C4A775-CCB5-417C-B276-1A134C8AFA64}" name="failurecost10_rating6" dataDxfId="2309">
      <calculatedColumnFormula>Table1567[[#This Row],[Total_Cost_MUSD]]*Table1567[[#This Row],[prob10-failure_rating6]]/10</calculatedColumnFormula>
    </tableColumn>
    <tableColumn id="279" xr3:uid="{E2FBCDBA-8AD4-4030-B22E-CC1D97DCEE0A}" name="failurecost10_rating7" dataDxfId="2308">
      <calculatedColumnFormula>Table1567[[#This Row],[Total_Cost_MUSD]]*Table1567[[#This Row],[prob10-failure_rating7]]/10</calculatedColumnFormula>
    </tableColumn>
    <tableColumn id="280" xr3:uid="{A2300869-E18B-4331-9EC0-20CE998DA033}" name="failurecost10_rating8" dataDxfId="2307">
      <calculatedColumnFormula>Table1567[[#This Row],[Total_Cost_MUSD]]*Table1567[[#This Row],[prob10-failure_rating8]]/10</calculatedColumnFormula>
    </tableColumn>
    <tableColumn id="281" xr3:uid="{78A2B6C9-B95A-480D-AADE-CF66EC4AA798}" name="failurecost10_rating9" dataDxfId="2306">
      <calculatedColumnFormula>Table1567[[#This Row],[Total_Cost_MUSD]]*Table1567[[#This Row],[prob10-failure_rating9]]/10</calculatedColumnFormula>
    </tableColumn>
    <tableColumn id="282" xr3:uid="{F7E89698-8428-4D1F-91E8-F2EA1281C91E}" name="FailureCost_Rating0" dataDxfId="2305">
      <calculatedColumnFormula>Table1567[[#This Row],[FailureCost_Rating1]]</calculatedColumnFormula>
    </tableColumn>
    <tableColumn id="264" xr3:uid="{D7BC3B20-6031-4351-BDFC-85BBAA9111EE}" name="FailureCost_Rating1" dataDxfId="2304">
      <calculatedColumnFormula>Table1567[[#This Row],[FailureCost_Rating2]]</calculatedColumnFormula>
    </tableColumn>
    <tableColumn id="265" xr3:uid="{B4586126-ECA5-47BF-9F27-0CB67938375E}" name="FailureCost_Rating2" dataDxfId="2303">
      <calculatedColumnFormula>(Table1567[[#This Row],[failurecost500_rating2]]+Table1567[[#This Row],[failurecost100_rating2]]+Table1567[[#This Row],[failurecost50_rating2]]+Table1567[[#This Row],[failurecost10_rating2]])*1000000</calculatedColumnFormula>
    </tableColumn>
    <tableColumn id="266" xr3:uid="{EE56D08C-E443-4976-92DB-AB23B848BBC8}" name="FailureCost_Rating3" dataDxfId="2302">
      <calculatedColumnFormula>(Table1567[[#This Row],[failurecost500_rating3]]+Table1567[[#This Row],[failurecost100_rating3]]+Table1567[[#This Row],[failurecost50_rating3]]+Table1567[[#This Row],[failurecost10_rating3]])*1000000</calculatedColumnFormula>
    </tableColumn>
    <tableColumn id="267" xr3:uid="{A58356D5-C47F-417B-B475-8ED1781DE47A}" name="FailureCost_Rating4" dataDxfId="2301">
      <calculatedColumnFormula>(Table1567[[#This Row],[failurecost500_rating4]]+Table1567[[#This Row],[failurecost100_rating4]]+Table1567[[#This Row],[failurecost50_rating4]]+Table1567[[#This Row],[failurecost10_rating4]])*1000000</calculatedColumnFormula>
    </tableColumn>
    <tableColumn id="268" xr3:uid="{E713450E-DECB-472E-8D2D-C020EAF16D43}" name="FailureCost_Rating5" dataDxfId="2300">
      <calculatedColumnFormula>(Table1567[[#This Row],[failurecost500_rating5]]+Table1567[[#This Row],[failurecost100_rating5]]+Table1567[[#This Row],[failurecost50_rating5]]+Table1567[[#This Row],[failurecost10_rating5]])*1000000</calculatedColumnFormula>
    </tableColumn>
    <tableColumn id="269" xr3:uid="{A1EF773F-D196-413F-953D-8530E28F578E}" name="FailureCost_Rating6" dataDxfId="2299">
      <calculatedColumnFormula>(Table1567[[#This Row],[failurecost500_rating6]]+Table1567[[#This Row],[failurecost100_rating6]]+Table1567[[#This Row],[failurecost50_rating6]]+Table1567[[#This Row],[failurecost10_rating6]])*1000000</calculatedColumnFormula>
    </tableColumn>
    <tableColumn id="270" xr3:uid="{EFDCD053-38E8-4342-9A00-63FD711E4995}" name="FailureCost_Rating7" dataDxfId="2298">
      <calculatedColumnFormula>(Table1567[[#This Row],[failurecost500_rating7]]+Table1567[[#This Row],[failurecost100_rating7]]+Table1567[[#This Row],[failurecost50_rating7]]+Table1567[[#This Row],[failurecost10_rating7]])*1000000</calculatedColumnFormula>
    </tableColumn>
    <tableColumn id="271" xr3:uid="{669536FF-A11A-4A70-9DD4-EB722756D159}" name="FailureCost_Rating8" dataDxfId="2297">
      <calculatedColumnFormula>(Table1567[[#This Row],[failurecost500_rating8]]+Table1567[[#This Row],[failurecost100_rating8]]+Table1567[[#This Row],[failurecost50_rating8]]+Table1567[[#This Row],[failurecost10_rating8]])*1000000</calculatedColumnFormula>
    </tableColumn>
    <tableColumn id="272" xr3:uid="{129A2B39-0C0F-4B10-ACD5-FD811016AFE9}" name="FailureCost_Rating9" dataDxfId="2296">
      <calculatedColumnFormula>(Table1567[[#This Row],[failurecost500_rating9]]+Table1567[[#This Row],[failurecost100_rating9]]+Table1567[[#This Row],[failurecost50_rating9]]+Table1567[[#This Row],[failurecost10_rating9]])*1000000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44EA69-90A4-4FF3-8EE5-EE5311F1D6DF}" name="Table15678" displayName="Table15678" ref="A1:JY20" totalsRowShown="0" headerRowDxfId="2295" dataDxfId="2294">
  <autoFilter ref="A1:JY20" xr:uid="{1E05EA88-988A-4182-B643-40FC3C5FB242}"/>
  <tableColumns count="285">
    <tableColumn id="1" xr3:uid="{38010D6B-5D42-492A-A515-A98C1C55B26B}" name="Number" dataDxfId="2293"/>
    <tableColumn id="2" xr3:uid="{8C442876-B407-42F7-A3D3-AAAE47C83001}" name="Structure Name" dataDxfId="2292"/>
    <tableColumn id="3" xr3:uid="{87643894-B198-41C2-8756-0037E81C2FE7}" name="Body of water" dataDxfId="2291"/>
    <tableColumn id="4" xr3:uid="{E52FCBDB-AF24-4B7E-A601-6B9D4E299330}" name="Lattitude" dataDxfId="2290"/>
    <tableColumn id="5" xr3:uid="{B5CB7EC0-30F1-4B38-A32B-CAEBE5A05FED}" name="Longitude" dataDxfId="2289"/>
    <tableColumn id="6" xr3:uid="{60AC9909-7589-4800-BD94-31D77B609206}" name="Depth50" dataDxfId="2288"/>
    <tableColumn id="7" xr3:uid="{645CD6AE-D322-418F-B57B-E43CFDA8D6CC}" name="Depth10" dataDxfId="2287"/>
    <tableColumn id="8" xr3:uid="{535742C8-2D3E-40E5-B336-CDE95BF35B8B}" name="Depth100" dataDxfId="2286"/>
    <tableColumn id="9" xr3:uid="{820692C2-0A55-4F26-BF86-17F9CA85B384}" name="Depth500" dataDxfId="2285"/>
    <tableColumn id="10" xr3:uid="{05272A93-3DEE-459E-9CC2-6B7B62BC5D09}" name="Depth0_area" dataDxfId="2284"/>
    <tableColumn id="11" xr3:uid="{5697DBDF-20D6-4907-9E9D-78A59C369ECB}" name="Depth0_wet" dataDxfId="2283"/>
    <tableColumn id="12" xr3:uid="{1C672BB6-A391-4C34-AED6-07D85E547930}" name="Depth10_area" dataDxfId="2282"/>
    <tableColumn id="13" xr3:uid="{C3BA5DF2-9E2B-4C51-958A-3A779E57FAE2}" name="Depth10_wet" dataDxfId="2281"/>
    <tableColumn id="14" xr3:uid="{A87FDF0D-A610-4082-9FD9-8473C43830DF}" name="Depth50_area" dataDxfId="2280"/>
    <tableColumn id="15" xr3:uid="{CB0A6B64-372F-45B5-ADF8-1287D01E7C15}" name="Depth50_wet" dataDxfId="2279"/>
    <tableColumn id="16" xr3:uid="{B592CAB1-2AF4-4A7F-B520-23EC90DF4735}" name="Depth100_area" dataDxfId="2278"/>
    <tableColumn id="17" xr3:uid="{C355C258-6455-4B84-A138-8409AAA6A362}" name="Depth100_wet" dataDxfId="2277"/>
    <tableColumn id="18" xr3:uid="{C3233285-98EF-4E0E-A615-53140ED5506C}" name="Depth500_area" dataDxfId="2276"/>
    <tableColumn id="19" xr3:uid="{2A873DE3-70E7-4F97-A575-70F3A8EBA447}" name="Depth500_wet" dataDxfId="2275"/>
    <tableColumn id="20" xr3:uid="{48CCC928-4BD9-4E54-B09F-48FD2632B665}" name="Depth0_HydraulicRadius" dataDxfId="2274"/>
    <tableColumn id="21" xr3:uid="{52BC778A-E477-4367-BC76-0EB00314F5E2}" name="Depth10_HydraulicRadius" dataDxfId="2273"/>
    <tableColumn id="22" xr3:uid="{51634DA5-CB1C-48C2-8476-B0EB03A6DC33}" name="Depth50_HydraulicRadius" dataDxfId="2272"/>
    <tableColumn id="23" xr3:uid="{DE7EB6DC-7511-4B8D-B263-E59964987A4F}" name="Depth100_HydraulicRadius" dataDxfId="2271"/>
    <tableColumn id="24" xr3:uid="{0E23250E-9007-4A9C-AE8D-CD9083368862}" name="Depth500_HydraulicRadius" dataDxfId="2270"/>
    <tableColumn id="25" xr3:uid="{16E32EAB-E396-4D16-BF0C-EEAE6562C4CD}" name="Slope" dataDxfId="2269"/>
    <tableColumn id="26" xr3:uid="{9CF09267-95A7-425F-BC66-123A368224B2}" name="Foundation_Depth" dataDxfId="2268"/>
    <tableColumn id="27" xr3:uid="{58B6FE9B-B475-4BD2-8BF8-A82E9068E472}" name="Depth10_velocity" dataDxfId="2267"/>
    <tableColumn id="28" xr3:uid="{5E5BB1EE-12C0-4FB4-BB76-4A7504D1A1F6}" name="Depth50_velocity" dataDxfId="2266"/>
    <tableColumn id="29" xr3:uid="{458E8F1B-F1E3-4261-B65B-96908CB2A24C}" name="Depth100_velocity" dataDxfId="2265"/>
    <tableColumn id="30" xr3:uid="{F8EF6174-D9CB-42D8-B605-C88782A3D348}" name="Depth500_velocity" dataDxfId="2264"/>
    <tableColumn id="31" xr3:uid="{67C4ECE6-BCDB-4949-9A2E-58A617DFB0B5}" name="Depth10_Froud" dataDxfId="2263"/>
    <tableColumn id="32" xr3:uid="{6F53B566-E090-4CA1-8DF6-13E837A3305C}" name="Depth50_Froud" dataDxfId="2262"/>
    <tableColumn id="33" xr3:uid="{2BFCA19A-EA03-42FD-AF3D-3B5B707F7BF8}" name="Depth100_Froud" dataDxfId="2261"/>
    <tableColumn id="34" xr3:uid="{3FAFB6F2-FC41-4F3B-B250-9D4E9B34BD1D}" name="Depth500_Froud" dataDxfId="2260"/>
    <tableColumn id="35" xr3:uid="{E428F973-D85D-4168-9AC0-5842E1BDF9B6}" name="Depth10_Scour" dataDxfId="2259"/>
    <tableColumn id="36" xr3:uid="{6D025856-E168-4FF3-B345-5DF8EE94A52F}" name="Depth50_Scour" dataDxfId="2258"/>
    <tableColumn id="37" xr3:uid="{26CE1D62-2E17-4E05-ABAE-2C99BAEA9CCF}" name="Depth100_Scour" dataDxfId="2257"/>
    <tableColumn id="38" xr3:uid="{C1A29C4A-6DD8-4EEF-BCE7-5EEE29E6CFBF}" name="Depth500_Scour" dataDxfId="2256"/>
    <tableColumn id="39" xr3:uid="{F1DB23A0-9C62-4E3F-98D8-0E5706ED3D48}" name="Depth10_Soil_vol" dataDxfId="2255"/>
    <tableColumn id="40" xr3:uid="{62049A69-5F9D-4A47-9B72-B8F4B86E5C4F}" name="Depth50_Soil_vol" dataDxfId="2254"/>
    <tableColumn id="41" xr3:uid="{1274B5C2-536C-4F51-8C46-65C1D1D98D0C}" name="Depth100_Soil_vol" dataDxfId="2253"/>
    <tableColumn id="42" xr3:uid="{67D649A8-F4CD-4AAC-A162-736DD50585AC}" name="Depth500_Soil_vol" dataDxfId="2252"/>
    <tableColumn id="191" xr3:uid="{5174BC7F-A69D-4E4B-9688-BFD949FFA470}" name="Depth10_cost" dataDxfId="2251">
      <calculatedColumnFormula>Table15678[[#This Row],[Depth10_Soil_vol]]*(9.353+9.027)+(Table15678[[#This Row],[Depth10_Soil_vol]]/2.5)*20*1.053+(PI()*Table15678[[#This Row],[Depth10_Scour]])*Table15678[[#This Row],[DECK_WIDTH_MT_052]]*1.062</calculatedColumnFormula>
    </tableColumn>
    <tableColumn id="190" xr3:uid="{B35235B5-B2A9-4D0C-8FB0-00A9E31EED26}" name="Depth50_cost" dataDxfId="2250">
      <calculatedColumnFormula>Table15678[[#This Row],[Depth50_Soil_vol]]*(9.353+9.027)+(Table15678[[#This Row],[Depth50_Soil_vol]]/2.5)*20*1.053+(PI()*Table15678[[#This Row],[Depth50_Scour]])*Table15678[[#This Row],[DECK_WIDTH_MT_052]]*1.062</calculatedColumnFormula>
    </tableColumn>
    <tableColumn id="189" xr3:uid="{61603B12-F2B7-423A-9942-CB356CD16098}" name="Depth100_cost" dataDxfId="2249">
      <calculatedColumnFormula>Table15678[[#This Row],[Depth100_Soil_vol]]*(9.353+9.027)+(Table15678[[#This Row],[Depth100_Soil_vol]]/2.5)*20*1.053+(PI()*Table15678[[#This Row],[Depth100_Scour]])*Table15678[[#This Row],[DECK_WIDTH_MT_052]]*1.062</calculatedColumnFormula>
    </tableColumn>
    <tableColumn id="188" xr3:uid="{9C560DBF-115E-4DD0-8D16-ACA8A6620423}" name="Depth500_cost" dataDxfId="2248">
      <calculatedColumnFormula>Table15678[[#This Row],[Depth500_Soil_vol]]*(9.353+9.027)+(Table15678[[#This Row],[Depth500_Soil_vol]]/2.5)*20*1.053+(PI()*Table15678[[#This Row],[Depth500_Scour]])*Table15678[[#This Row],[DECK_WIDTH_MT_052]]*1.062</calculatedColumnFormula>
    </tableColumn>
    <tableColumn id="43" xr3:uid="{09EF3EA6-7AAB-4437-81AD-AB1683B61A81}" name="Foundation_Width" dataDxfId="2247"/>
    <tableColumn id="44" xr3:uid="{E4C623DC-BAF8-4E57-9CB5-2265581E6F6C}" name="Foundation_length" dataDxfId="2246"/>
    <tableColumn id="45" xr3:uid="{351C6A51-F56E-44CC-8C81-860F44347383}" name="Shape" dataDxfId="2245"/>
    <tableColumn id="46" xr3:uid="{B921D79E-3EC7-46EF-B1A6-989306400BF3}" name="Depth10_Rating" dataDxfId="2244"/>
    <tableColumn id="47" xr3:uid="{A9102D9A-1A5B-4803-A63D-B2E07E70A3A8}" name="Depth50_Rating" dataDxfId="2243"/>
    <tableColumn id="48" xr3:uid="{41181725-3D4D-4E9B-96DF-2E564405D098}" name="Depth100_Rating" dataDxfId="2242"/>
    <tableColumn id="49" xr3:uid="{2E99D430-E6D1-4F56-81BD-28DC768FEC26}" name="Depth500_Rating" dataDxfId="2241"/>
    <tableColumn id="50" xr3:uid="{2D8038A4-992C-4F6E-B635-F7BFDF9CC8EC}" name="STATE_CODE_001" dataDxfId="2240"/>
    <tableColumn id="51" xr3:uid="{60E77552-DDBA-4027-A4CA-C6414666CC7E}" name="STRUCTURE_NUMBER_008" dataDxfId="2239"/>
    <tableColumn id="52" xr3:uid="{58B77A84-2FBA-4577-A3DC-D69EB871197E}" name="LAT_016" dataDxfId="2238"/>
    <tableColumn id="53" xr3:uid="{4C3AEDEB-4850-4471-9E21-2B6E2E580210}" name="LONG_017" dataDxfId="2237"/>
    <tableColumn id="54" xr3:uid="{3228799F-09C7-448E-8DA6-96EE5DC55FCF}" name="RECORD_TYPE_005A" dataDxfId="2236"/>
    <tableColumn id="55" xr3:uid="{D532B41A-D99A-4476-B456-E3B79EF1F41A}" name="ROUTE_PREFIX_005B" dataDxfId="2235"/>
    <tableColumn id="56" xr3:uid="{6734DEA3-051C-47AF-A816-5178E66949F2}" name="SERVICE_LEVEL_005C" dataDxfId="2234"/>
    <tableColumn id="57" xr3:uid="{2FE3D598-2AFF-45CE-8112-63ABE41C13A6}" name="ROUTE_NUMBER_005D" dataDxfId="2233"/>
    <tableColumn id="58" xr3:uid="{3ADFECED-0950-412B-AD7E-9096DD36AFC1}" name="DIRECTION_005E" dataDxfId="2232"/>
    <tableColumn id="59" xr3:uid="{EEFF8700-F9D4-4069-8428-39592B005C81}" name="HIGHWAY_DISTRICT_002" dataDxfId="2231"/>
    <tableColumn id="60" xr3:uid="{AE2D5DA9-CD86-4023-882D-7BD14AA67626}" name="COUNTY_CODE_003" dataDxfId="2230"/>
    <tableColumn id="61" xr3:uid="{C5C8E8B1-3FA6-498F-82FC-8D8A23AE87D6}" name="PLACE_CODE_004" dataDxfId="2229"/>
    <tableColumn id="62" xr3:uid="{7FB719EB-B8D0-4CF6-ABBD-6E11D70F8168}" name="FEATURES_DESC_006A" dataDxfId="2228"/>
    <tableColumn id="63" xr3:uid="{670502B4-D267-4106-904D-0D5DD552BBE8}" name="CRITICAL_FACILITY_006B" dataDxfId="2227"/>
    <tableColumn id="64" xr3:uid="{9E4DC935-CCD1-4C64-AF29-6ACCDFF69740}" name="FACILITY_CARRIED_007" dataDxfId="2226"/>
    <tableColumn id="65" xr3:uid="{9BBB8342-ABA4-4CC1-857A-4FF8366F999A}" name="LOCATION_009" dataDxfId="2225"/>
    <tableColumn id="66" xr3:uid="{F7FBC053-C3DE-4ED0-B565-B4DF1D2DBF01}" name="MIN_VERT_CLR_010" dataDxfId="2224"/>
    <tableColumn id="67" xr3:uid="{65CA950D-DC11-4712-BB72-02BD26FAFA40}" name="KILOPOINT_011" dataDxfId="2223"/>
    <tableColumn id="68" xr3:uid="{E0860989-9EE0-43C8-A7A9-008782154F5A}" name="BASE_HWY_NETWORK_012" dataDxfId="2222"/>
    <tableColumn id="69" xr3:uid="{875BDC7C-CB18-4203-8B4E-1E6A3B0020BE}" name="LRS_INV_ROUTE_013A" dataDxfId="2221"/>
    <tableColumn id="70" xr3:uid="{BE5935B7-29F2-4AA6-981F-B90B068D253D}" name="SUBROUTE_NO_013B" dataDxfId="2220"/>
    <tableColumn id="71" xr3:uid="{977892E2-CE1A-4BC6-AE6F-6D4CBC8B6514}" name="DETOUR_KILOS_019" dataDxfId="2219"/>
    <tableColumn id="72" xr3:uid="{C8748999-F86C-44AA-98EB-5D25F869340E}" name="TOLL_020" dataDxfId="2218"/>
    <tableColumn id="73" xr3:uid="{702794BA-5982-4E63-B9DD-EE15A3BAD7B4}" name="MAINTENANCE_021" dataDxfId="2217"/>
    <tableColumn id="74" xr3:uid="{21003A9E-EF90-4C68-AACC-151D50951E0E}" name="OWNER_022" dataDxfId="2216"/>
    <tableColumn id="75" xr3:uid="{6DF93F3A-BA68-4718-A19A-939C303D7FC7}" name="FUNCTIONAL_CLASS_026" dataDxfId="2215"/>
    <tableColumn id="76" xr3:uid="{52CE1F70-813D-49BA-BD98-AA710CB664E5}" name="YEAR_BUILT_027" dataDxfId="2214"/>
    <tableColumn id="77" xr3:uid="{B6FF02E8-E748-4433-97A0-DD7EC880202E}" name="TRAFFIC_LANES_ON_028A" dataDxfId="2213"/>
    <tableColumn id="78" xr3:uid="{9F467D8C-32BE-4638-A447-3F5F9C1DF3F7}" name="TRAFFIC_LANES_UND_028B" dataDxfId="2212"/>
    <tableColumn id="79" xr3:uid="{96675598-F04A-4DA4-BF36-305C5A13D365}" name="ADT_029" dataDxfId="2211"/>
    <tableColumn id="80" xr3:uid="{EB1777D0-E55B-4C71-8F60-9BC7FB448848}" name="YEAR_ADT_030" dataDxfId="2210"/>
    <tableColumn id="81" xr3:uid="{8E0AB36B-7C23-408A-AA6A-FE0307C9AA6D}" name="DESIGN_LOAD_031" dataDxfId="2209"/>
    <tableColumn id="82" xr3:uid="{380415E5-B12C-46A3-B7FE-AF322124E427}" name="APPR_WIDTH_MT_032" dataDxfId="2208"/>
    <tableColumn id="83" xr3:uid="{B740E310-DA8B-44B1-9100-F58FAD2A3A29}" name="MEDIAN_CODE_033" dataDxfId="2207"/>
    <tableColumn id="84" xr3:uid="{20346AF4-AB80-4246-B6AB-B4ABA0A23154}" name="DEGREES_SKEW_034" dataDxfId="2206"/>
    <tableColumn id="85" xr3:uid="{C764050E-B365-43D7-AF79-0F34AA60F206}" name="STRUCTURE_FLARED_035" dataDxfId="2205"/>
    <tableColumn id="86" xr3:uid="{FDF941F7-E934-4F9A-95D4-8C9F17CEF642}" name="RAILINGS_036A" dataDxfId="2204"/>
    <tableColumn id="87" xr3:uid="{CFFEA4B7-BB98-439F-9695-6333E86E7CC5}" name="TRANSITIONS_036B" dataDxfId="2203"/>
    <tableColumn id="88" xr3:uid="{11393DBC-B8AF-48DB-A500-D016E91371AF}" name="APPR_RAIL_036C" dataDxfId="2202"/>
    <tableColumn id="89" xr3:uid="{0DD353F4-75BA-462F-9560-8414BA1CD08D}" name="APPR_RAIL_END_036D" dataDxfId="2201"/>
    <tableColumn id="90" xr3:uid="{6A9F3B46-AC23-48D7-9A8A-3F0DA8EC2E5D}" name="HISTORY_037" dataDxfId="2200"/>
    <tableColumn id="91" xr3:uid="{3EDA8DCE-7397-4C9C-960F-D14ED77E42A4}" name="NAVIGATION_038" dataDxfId="2199"/>
    <tableColumn id="92" xr3:uid="{0F8A34B1-3AC5-4978-B32F-C30139B0935D}" name="NAV_VERT_CLR_MT_039" dataDxfId="2198"/>
    <tableColumn id="93" xr3:uid="{FE8F7D1A-B0BC-402E-85C9-44B7600FC8AC}" name="NAV_HORR_CLR_MT_040" dataDxfId="2197"/>
    <tableColumn id="94" xr3:uid="{81016D04-3F19-4BB3-A19A-4A7ED41C0621}" name="OPEN_CLOSED_POSTED_041" dataDxfId="2196"/>
    <tableColumn id="95" xr3:uid="{314E8691-EE5E-40CE-8001-1D32063F73DD}" name="SERVICE_ON_042A" dataDxfId="2195"/>
    <tableColumn id="96" xr3:uid="{27025736-0226-4052-9ACF-20B69DC20067}" name="SERVICE_UND_042B" dataDxfId="2194"/>
    <tableColumn id="97" xr3:uid="{24835C92-12DB-41FC-8355-6D4B953875D1}" name="STRUCTURE_KIND_043A" dataDxfId="2193"/>
    <tableColumn id="98" xr3:uid="{E65D1A77-0410-4216-A093-8BB73DC62CE1}" name="STRUCTURE_TYPE_043B" dataDxfId="2192"/>
    <tableColumn id="99" xr3:uid="{AAC22B43-FC15-4FF9-AD31-F8800BA3B2DF}" name="APPR_KIND_044A" dataDxfId="2191"/>
    <tableColumn id="100" xr3:uid="{33BFBFAF-4DDF-4796-917B-434FB5AA482E}" name="APPR_TYPE_044B" dataDxfId="2190"/>
    <tableColumn id="101" xr3:uid="{F22794C0-A70B-431B-B33E-7CD19A15372E}" name="MAIN_UNIT_SPANS_045" dataDxfId="2189"/>
    <tableColumn id="102" xr3:uid="{13CC0858-FF2C-4723-9307-31670CD0843E}" name="APPR_SPANS_046" dataDxfId="2188"/>
    <tableColumn id="103" xr3:uid="{311757B9-2010-452B-BBC7-E07B62CC4AA4}" name="HORR_CLR_MT_047" dataDxfId="2187"/>
    <tableColumn id="104" xr3:uid="{AE835EB7-A76B-4563-BAD5-86F7986F0914}" name="MAX_SPAN_LEN_MT_048" dataDxfId="2186"/>
    <tableColumn id="105" xr3:uid="{DB87640F-42FF-4711-9B22-9211589542F1}" name="STRUCTURE_LEN_MT_049" dataDxfId="2185"/>
    <tableColumn id="106" xr3:uid="{FD1CC57B-A67E-4716-A5CC-7135437DB47F}" name="LEFT_CURB_MT_050A" dataDxfId="2184"/>
    <tableColumn id="107" xr3:uid="{4D45274D-C601-47EC-B16E-07DA59A51D57}" name="RIGHT_CURB_MT_050B" dataDxfId="2183"/>
    <tableColumn id="108" xr3:uid="{F6E2D343-009A-429C-9971-58BD42C034B2}" name="ROADWAY_WIDTH_MT_051" dataDxfId="2182"/>
    <tableColumn id="109" xr3:uid="{9D9A49C3-13ED-49DD-A5F4-6547A4710143}" name="DECK_WIDTH_MT_052" dataDxfId="2181"/>
    <tableColumn id="110" xr3:uid="{3D317882-FED3-4ADB-83FE-9D60D3FE5AC7}" name="VERT_CLR_OVER_MT_053" dataDxfId="2180"/>
    <tableColumn id="111" xr3:uid="{ED2722C7-8ED2-4AB3-ADA5-62DF684D789C}" name="VERT_CLR_UND_REF_054A" dataDxfId="2179"/>
    <tableColumn id="112" xr3:uid="{25BCCF48-8142-483D-82BF-BB6D1DBC4112}" name="VERT_CLR_UND_054B" dataDxfId="2178"/>
    <tableColumn id="113" xr3:uid="{94CE94E9-29D4-4903-8C88-C2F89F70EA42}" name="LAT_UND_REF_055A" dataDxfId="2177"/>
    <tableColumn id="114" xr3:uid="{DA080569-4397-4D66-8F3A-DD0B0D1E6623}" name="LAT_UND_MT_055B" dataDxfId="2176"/>
    <tableColumn id="115" xr3:uid="{E837BC33-EDEA-4C82-AA95-44D36E49DEC6}" name="LEFT_LAT_UND_MT_056" dataDxfId="2175"/>
    <tableColumn id="116" xr3:uid="{35C8DE77-3410-4924-925A-CA8123FBBD89}" name="DECK_COND_058" dataDxfId="2174"/>
    <tableColumn id="117" xr3:uid="{B681A66D-EAB6-49ED-A3B7-57466CA84907}" name="SUPERSTRUCTURE_COND_059" dataDxfId="2173"/>
    <tableColumn id="118" xr3:uid="{6DCFE424-5C69-466C-B434-ED118819EA7C}" name="SUBSTRUCTURE_COND_060" dataDxfId="2172"/>
    <tableColumn id="119" xr3:uid="{AD47D7E8-025D-4EE5-ABEF-60DCE7E214A5}" name="CHANNEL_COND_061" dataDxfId="2171"/>
    <tableColumn id="120" xr3:uid="{5F42B56F-D3D5-4E51-9998-A19F752ED7C2}" name="CULVERT_COND_062" dataDxfId="2170"/>
    <tableColumn id="121" xr3:uid="{838E6F7D-92F7-45E9-BAB3-C84C54A9D2E3}" name="OPR_RATING_METH_063" dataDxfId="2169"/>
    <tableColumn id="122" xr3:uid="{198B86FB-87F2-4CCD-AD50-869E9A31B74E}" name="OPERATING_RATING_064" dataDxfId="2168"/>
    <tableColumn id="123" xr3:uid="{702BDED5-8466-48F1-8C46-502D4E6553C0}" name="INV_RATING_METH_065" dataDxfId="2167"/>
    <tableColumn id="124" xr3:uid="{6BBCF284-2644-4245-B25B-319A6DC678D0}" name="INVENTORY_RATING_066" dataDxfId="2166"/>
    <tableColumn id="125" xr3:uid="{CB5FD348-20AE-41B3-9FF3-4F4B026CB9EF}" name="STRUCTURAL_EVAL_067" dataDxfId="2165"/>
    <tableColumn id="126" xr3:uid="{DAC10291-559B-4BF3-9A73-7D01D3F3B591}" name="DECK_GEOMETRY_EVAL_068" dataDxfId="2164"/>
    <tableColumn id="127" xr3:uid="{2AB6E7F1-9ED6-4F4F-935C-EDD2D22A2EF5}" name="UNDCLRENCE_EVAL_069" dataDxfId="2163"/>
    <tableColumn id="128" xr3:uid="{190E4E04-EFC4-42A9-9E33-67E190F64D7A}" name="POSTING_EVAL_070" dataDxfId="2162"/>
    <tableColumn id="129" xr3:uid="{3E12FE01-DA3A-43C2-9FC7-AF57DE820595}" name="WATERWAY_EVAL_071" dataDxfId="2161"/>
    <tableColumn id="130" xr3:uid="{1BC67A41-A40F-4094-B8CF-720B95C5198E}" name="APPR_ROAD_EVAL_072" dataDxfId="2160"/>
    <tableColumn id="131" xr3:uid="{6B22F96A-F419-4593-8AA4-0E8DCECE8233}" name="WORK_PROPOSED_075A" dataDxfId="2159"/>
    <tableColumn id="132" xr3:uid="{22FEB425-79ED-4465-8A0C-A68D1467A630}" name="WORK_DONE_BY_075B" dataDxfId="2158"/>
    <tableColumn id="133" xr3:uid="{76E531ED-6E39-4331-AD2F-FA50AC7F0016}" name="IMP_LEN_MT_076" dataDxfId="2157"/>
    <tableColumn id="134" xr3:uid="{0B1E220F-F19E-4429-AD19-A720C048B0AC}" name="DATE_OF_INSPECT_090" dataDxfId="2156"/>
    <tableColumn id="135" xr3:uid="{EF7DAEFE-CF57-4C76-A381-DCDC2E6D52D1}" name="INSPECT_FREQ_MONTHS_091" dataDxfId="2155"/>
    <tableColumn id="136" xr3:uid="{75B40D63-3CF0-4031-ABB1-1288DB5F5AA7}" name="FRACTURE_092A" dataDxfId="2154"/>
    <tableColumn id="137" xr3:uid="{85D786F5-0336-4BB2-87BF-AFB23CC74741}" name="UNDWATER_LOOK_SEE_092B" dataDxfId="2153"/>
    <tableColumn id="138" xr3:uid="{A962473F-71C6-4746-9E13-5804FBFD52EB}" name="SPEC_INSPECT_092C" dataDxfId="2152"/>
    <tableColumn id="139" xr3:uid="{557D2642-AC9B-4A06-B416-5DF237CABE6B}" name="FRACTURE_LAST_DATE_093A" dataDxfId="2151"/>
    <tableColumn id="140" xr3:uid="{CBA21DA5-1920-4B62-8234-83F300527884}" name="UNDWATER_LAST_DATE_093B" dataDxfId="2150"/>
    <tableColumn id="141" xr3:uid="{5DAD4922-F411-42D6-BEBB-663559F02FA3}" name="SPEC_LAST_DATE_093C" dataDxfId="2149"/>
    <tableColumn id="142" xr3:uid="{94CD486F-145E-45CD-B856-766970279F69}" name="BRIDGE_IMP_COST_094" dataDxfId="2148"/>
    <tableColumn id="143" xr3:uid="{911A9523-1783-4858-9D44-F01A73C6F2E9}" name="ROADWAY_IMP_COST_095" dataDxfId="2147"/>
    <tableColumn id="144" xr3:uid="{BFBD5F66-E654-41D1-8069-AA189DC971CB}" name="TOTAL_IMP_COST_096" dataDxfId="2146"/>
    <tableColumn id="145" xr3:uid="{93E18AAE-9510-4A5E-962E-57F896F0094C}" name="YEAR_OF_IMP_097" dataDxfId="2145"/>
    <tableColumn id="146" xr3:uid="{A7E5F9A8-A853-425F-AD1E-F99C1A213BC0}" name="OTHER_STATE_CODE_098A" dataDxfId="2144"/>
    <tableColumn id="147" xr3:uid="{7AD4AE4C-9B95-4CF5-B056-4A0322601AFC}" name="OTHER_STATE_PCNT_098B" dataDxfId="2143"/>
    <tableColumn id="148" xr3:uid="{9B3374DF-A1F0-4A80-91F9-156604FB72B6}" name="OTHR_STATE_STRUC_NO_099" dataDxfId="2142"/>
    <tableColumn id="149" xr3:uid="{A26AD1F7-0D1A-4BB7-AF8B-78FC25925E31}" name="STRAHNET_HIGHWAY_100" dataDxfId="2141"/>
    <tableColumn id="150" xr3:uid="{1797CC26-7B6F-4A7A-9A6A-684BCAC99BB4}" name="PARALLEL_STRUCTURE_101" dataDxfId="2140"/>
    <tableColumn id="151" xr3:uid="{D66BF309-4E8F-4CA5-B4A5-7F35F7D0574E}" name="TRAFFIC_DIRECTION_102" dataDxfId="2139"/>
    <tableColumn id="152" xr3:uid="{99C25052-F261-41BD-AC98-3E5B8916CB0F}" name="TEMP_STRUCTURE_103" dataDxfId="2138"/>
    <tableColumn id="153" xr3:uid="{58CD6ADF-2D92-470A-A945-7D45B8D9933E}" name="HIGHWAY_SYSTEM_104" dataDxfId="2137"/>
    <tableColumn id="154" xr3:uid="{218FC1CB-687D-4E2C-A481-70D780862B57}" name="FEDERAL_LANDS_105" dataDxfId="2136"/>
    <tableColumn id="155" xr3:uid="{E6DC33B0-C1A7-40F2-A9FF-E7A90779EE54}" name="YEAR_RECONSTRUCTED_106" dataDxfId="2135"/>
    <tableColumn id="156" xr3:uid="{8925B96C-388F-4C1F-86A8-01BBFF113D70}" name="DECK_STRUCTURE_TYPE_107" dataDxfId="2134"/>
    <tableColumn id="157" xr3:uid="{868BAEF8-E600-448E-9DD3-85AFC385B869}" name="SURFACE_TYPE_108A" dataDxfId="2133"/>
    <tableColumn id="158" xr3:uid="{8100C0D8-641C-408B-BEEB-648F85EDBF2B}" name="MEMBRANE_TYPE_108B" dataDxfId="2132"/>
    <tableColumn id="159" xr3:uid="{0D002974-E46E-4AFF-B30D-E47FFBA4A6E5}" name="DECK_PROTECTION_108C" dataDxfId="2131"/>
    <tableColumn id="160" xr3:uid="{4E69C795-7221-4C07-B734-995F1179C5FC}" name="PERCENT_ADT_TRUCK_109" dataDxfId="2130"/>
    <tableColumn id="161" xr3:uid="{439C1A57-D5ED-448E-AD9E-EC67EF4639E2}" name="NATIONAL_NETWORK_110" dataDxfId="2129"/>
    <tableColumn id="162" xr3:uid="{2E6D9EC6-2E97-41B2-9F62-6F4BD9FE5016}" name="PIER_PROTECTION_111" dataDxfId="2128"/>
    <tableColumn id="163" xr3:uid="{313043B5-E6F5-4228-AE4C-E4AD86C52FC5}" name="BRIDGE_LEN_IND_112" dataDxfId="2127"/>
    <tableColumn id="164" xr3:uid="{40DAE164-206D-43E3-B53A-A613A61B4175}" name="SCOUR_CRITICAL_113" dataDxfId="2126"/>
    <tableColumn id="165" xr3:uid="{0F330EAF-C7A6-4A1C-82BD-1C079FD5B347}" name="FUTURE_ADT_114" dataDxfId="2125"/>
    <tableColumn id="166" xr3:uid="{8BF08E24-2D14-4712-8D35-65DB766BA057}" name="YEAR_OF_FUTURE_ADT_115" dataDxfId="2124"/>
    <tableColumn id="167" xr3:uid="{ACC5D01B-2F2C-42E0-BBD3-7DF37E8DACEB}" name="MIN_NAV_CLR_MT_116" dataDxfId="2123"/>
    <tableColumn id="168" xr3:uid="{D27E4956-40C3-45C6-B42B-1B9603DEACAD}" name="FED_AGENCY" dataDxfId="2122"/>
    <tableColumn id="169" xr3:uid="{28D6882D-9C93-45A6-BD8C-24AE33915889}" name="SUBMITTED_BY" dataDxfId="2121"/>
    <tableColumn id="170" xr3:uid="{70DE0109-B58F-4A0A-9FF2-4705C44E3E56}" name="BRIDGE_CONDITION" dataDxfId="2120"/>
    <tableColumn id="171" xr3:uid="{F93AD08E-9E7E-41BF-8BB8-FB3A52EDCAF7}" name="LOWEST_RATING" dataDxfId="2119"/>
    <tableColumn id="172" xr3:uid="{04EC26B8-5525-47E0-9460-2D53B13D2A95}" name="DECK_AREA" dataDxfId="2118"/>
    <tableColumn id="173" xr3:uid="{4737910E-74EC-41C3-9AA4-424F8B7AAF85}" name="Detour_Duration" dataDxfId="2117"/>
    <tableColumn id="174" xr3:uid="{5DBCC669-B449-4B51-BFCB-6D1A3E6CAC34}" name="Min_Unit_Rebuilding_Cost($/ft2)" dataDxfId="2116"/>
    <tableColumn id="175" xr3:uid="{ECEABF0C-BA06-4378-B901-A8143F01792B}" name="Max_Unit_Rebuilding_Cost($/ft2)2" dataDxfId="2115"/>
    <tableColumn id="176" xr3:uid="{D106CD16-90F7-4A81-9C92-72B9CD7A65C7}" name="Cost_Multiplier_for_Early_Replacement" dataDxfId="2114"/>
    <tableColumn id="177" xr3:uid="{D4960C34-9C6C-476B-9684-2DF52BC40399}" name="Assumed_Number_of_Lives_Lost_in_Bridge_Failure" dataDxfId="2113"/>
    <tableColumn id="178" xr3:uid="{B0DCA2DD-2FF7-4D55-B62A-E95B30278351}" name="HYRISK_Cost_of_Faliure_term1" dataDxfId="2112"/>
    <tableColumn id="179" xr3:uid="{61462DAF-3AC9-4389-B811-857FCA43E8F4}" name="HYRISK_Cost_of_Faliure_term2" dataDxfId="2111"/>
    <tableColumn id="180" xr3:uid="{2DA72504-6E28-4634-B705-CFE6DF3B2F32}" name="HYRISK_Cost_of_Faliure_term3" dataDxfId="2110"/>
    <tableColumn id="181" xr3:uid="{F10F8C0B-6DC3-4B22-B591-A9E31245AC23}" name="HYRISK_Cost_of_Faliure_term4" dataDxfId="2109"/>
    <tableColumn id="285" xr3:uid="{AA7F5976-040B-4FFA-AC11-146DD428EB2F}" name="HYRISK_Cost_of_Faliure_term5" dataDxfId="2108"/>
    <tableColumn id="286" xr3:uid="{0DB71446-F892-4292-AA75-9F69A1027F97}" name="Rating_decay" dataDxfId="2107">
      <calculatedColumnFormula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calculatedColumnFormula>
    </tableColumn>
    <tableColumn id="182" xr3:uid="{BFD98ABA-3C48-4539-8C40-6786E6D32D8B}" name="Total_Cost_MUSD" dataDxfId="2106"/>
    <tableColumn id="186" xr3:uid="{0F262FDD-37BB-45FB-9F04-D72E921929D2}" name="Hazus_Failure_Prob_10" dataDxfId="2105"/>
    <tableColumn id="185" xr3:uid="{8F75CA01-34B5-4FE3-9D0F-9ED4CA1DE4FA}" name="Hazus_Failure_Prob_50" dataDxfId="2104"/>
    <tableColumn id="184" xr3:uid="{0D7C9466-7B15-4B69-A4FB-DAF0D8356EA1}" name="Hazus_Failure_Prob_100" dataDxfId="2103"/>
    <tableColumn id="183" xr3:uid="{DE913E12-42F7-4002-BE5C-BF352520CCCD}" name="Hazus_Failure_Prob_500" dataDxfId="2102"/>
    <tableColumn id="187" xr3:uid="{549759D1-113E-4D2C-86B5-14EE8E425622}" name="Current_rating" dataDxfId="2101"/>
    <tableColumn id="283" xr3:uid="{7B071C27-B21D-4291-BCFA-B8E0C7B5833B}" name="cost_repair_rating0" dataDxfId="2100"/>
    <tableColumn id="192" xr3:uid="{C4A40BA3-9CA0-41AC-B1B1-CACAEEF861D7}" name="cost_repair_rating1" dataDxfId="2099"/>
    <tableColumn id="193" xr3:uid="{0508EA4D-0309-41DB-8BBD-091322D2D2F2}" name="cost_repair_rating2" dataDxfId="2098"/>
    <tableColumn id="194" xr3:uid="{21BAC997-BAD3-4E85-B06F-78D1DE5F0DD5}" name="cost_repair_rating3" dataDxfId="2097"/>
    <tableColumn id="195" xr3:uid="{EEF08CEC-FBBA-4BFC-86FC-030F6D5BC368}" name="cost_repair_rating4" dataDxfId="2096"/>
    <tableColumn id="196" xr3:uid="{F190F161-BF48-4CA5-9D58-2C803241F786}" name="cost_repair_rating5" dataDxfId="2095"/>
    <tableColumn id="197" xr3:uid="{2F7FB541-3564-427B-B319-10B35945C5FD}" name="cost_repair_rating6" dataDxfId="2094"/>
    <tableColumn id="198" xr3:uid="{144E74B0-29AC-4B97-A8DA-19E34E146EFB}" name="cost_repair_rating7" dataDxfId="2093"/>
    <tableColumn id="199" xr3:uid="{2E37F39D-A879-4B62-BE7D-5EA5A06868C7}" name="cost_repair_rating8" dataDxfId="2092"/>
    <tableColumn id="200" xr3:uid="{AAFE12E9-CE73-4171-AA90-C17A053F5925}" name="cost_repair_rating9" dataDxfId="2091"/>
    <tableColumn id="201" xr3:uid="{499A051A-DD55-4667-BC7C-E4470A360996}" name="prob500-failure_rating1" dataDxfId="2090">
      <calculatedColumnFormula>2.5/100</calculatedColumnFormula>
    </tableColumn>
    <tableColumn id="202" xr3:uid="{315BF956-04F3-44AE-87B4-2E7E9778A279}" name="prob500-failure_rating2" dataDxfId="2089"/>
    <tableColumn id="203" xr3:uid="{CBF6508D-8608-4EFF-A156-B5CEC105BF18}" name="prob500-failure_rating3" dataDxfId="2088"/>
    <tableColumn id="204" xr3:uid="{06EFA140-F372-4505-9EEE-459DB2E56DCC}" name="prob500-failure_rating4" dataDxfId="2087"/>
    <tableColumn id="205" xr3:uid="{2E7593BD-8D42-40FF-B93F-D3B6D9C1B5DA}" name="prob500-failure_rating5" dataDxfId="2086"/>
    <tableColumn id="206" xr3:uid="{D166FD8E-FE7E-4014-8C5C-9EBC318CA21E}" name="prob500-failure_rating6" dataDxfId="2085"/>
    <tableColumn id="207" xr3:uid="{E03FA48F-E974-4A8A-944C-2F26ED6461BC}" name="prob500-failure_rating7" dataDxfId="2084"/>
    <tableColumn id="208" xr3:uid="{F6EE7420-2265-4CAA-9D49-3B46C8DA1B0A}" name="prob500-failure_rating8" dataDxfId="2083"/>
    <tableColumn id="209" xr3:uid="{172AEC7D-6F89-45EC-9A50-2799F09C1822}" name="prob500-failure_rating9" dataDxfId="2082"/>
    <tableColumn id="210" xr3:uid="{F4E8E8FE-860F-4397-8C04-8AD5B2FE771C}" name="prob100-failure_rating1" dataDxfId="2081">
      <calculatedColumnFormula>1.25/100</calculatedColumnFormula>
    </tableColumn>
    <tableColumn id="211" xr3:uid="{81AE2B90-61B7-4988-A20A-B694175FBFF0}" name="prob100-failure_rating2" dataDxfId="2080"/>
    <tableColumn id="212" xr3:uid="{DC81519B-0301-444E-989E-9122B914145B}" name="prob100-failure_rating3" dataDxfId="2079"/>
    <tableColumn id="213" xr3:uid="{2C82D60C-A7F9-43F0-BA88-EF4835E019DB}" name="prob100-failure_rating4" dataDxfId="2078"/>
    <tableColumn id="214" xr3:uid="{5BB97448-84B8-42CE-8573-C28C3CCA9C98}" name="prob100-failure_rating5" dataDxfId="2077"/>
    <tableColumn id="215" xr3:uid="{81FAF926-C1AB-4D62-9CF1-5C02C1898BD9}" name="prob100-failure_rating6" dataDxfId="2076"/>
    <tableColumn id="216" xr3:uid="{79632588-8FBC-4512-AA1D-1C43B6D716F4}" name="prob100-failure_rating7" dataDxfId="2075"/>
    <tableColumn id="217" xr3:uid="{236B544B-44B5-4A6C-AE55-FC85BF1ED75B}" name="prob100-failure_rating8" dataDxfId="2074"/>
    <tableColumn id="218" xr3:uid="{C188C124-3CA2-477A-AE0F-806F63259540}" name="prob100-failure_rating9" dataDxfId="2073"/>
    <tableColumn id="219" xr3:uid="{F0B25311-EC98-4FBC-9EC3-EF2750A81DB2}" name="prob50-failure_rating1" dataDxfId="2072"/>
    <tableColumn id="220" xr3:uid="{A68AB8BA-A3FF-46A4-A603-DE3DC99C5011}" name="prob50-failure_rating2" dataDxfId="2071"/>
    <tableColumn id="221" xr3:uid="{2D9320DF-7B61-4F58-B18E-E0B6B2C6DDFB}" name="prob50-failure_rating3" dataDxfId="2070"/>
    <tableColumn id="222" xr3:uid="{796CED44-7AF1-49FB-944B-4FBDB25EDAA0}" name="prob50-failure_rating4" dataDxfId="2069"/>
    <tableColumn id="223" xr3:uid="{44474661-D431-454F-A1B0-C348F5EE6009}" name="prob50-failure_rating5" dataDxfId="2068"/>
    <tableColumn id="224" xr3:uid="{EFDA0A83-1C79-40F5-874A-9AA8CE74C6E1}" name="prob50-failure_rating6" dataDxfId="2067"/>
    <tableColumn id="225" xr3:uid="{ADFB24D6-50C7-43DE-AE42-F508285DCCE8}" name="prob50-failure_rating7" dataDxfId="2066"/>
    <tableColumn id="226" xr3:uid="{80BAC96E-8C97-42E9-87F8-1B362974BD84}" name="prob50-failure_rating8" dataDxfId="2065"/>
    <tableColumn id="227" xr3:uid="{FC5BCDA3-19DA-437B-A260-B94854CFBB01}" name="prob50-failure_rating9" dataDxfId="2064"/>
    <tableColumn id="228" xr3:uid="{8231A8FA-2E3B-4B25-90C3-CFD73F6B1485}" name="prob10-failure_rating1" dataDxfId="2063"/>
    <tableColumn id="229" xr3:uid="{CF2CF975-7F9F-4A8D-92B6-478AC8CCB339}" name="prob10-failure_rating2" dataDxfId="2062"/>
    <tableColumn id="230" xr3:uid="{B8BDA06E-1501-4F6F-B31F-3972E889D3C8}" name="prob10-failure_rating3" dataDxfId="2061"/>
    <tableColumn id="231" xr3:uid="{890EF80E-396D-4681-9A7C-8C911F1FAD6E}" name="prob10-failure_rating4" dataDxfId="2060"/>
    <tableColumn id="232" xr3:uid="{8A16313E-560C-40FA-920E-B70A31B79D31}" name="prob10-failure_rating5" dataDxfId="2059"/>
    <tableColumn id="233" xr3:uid="{9BDDEB67-D8F7-4643-BC99-207084DEA765}" name="prob10-failure_rating6" dataDxfId="2058"/>
    <tableColumn id="234" xr3:uid="{3B3E9426-B9EB-4F84-A54C-A0120A97E0ED}" name="prob10-failure_rating7" dataDxfId="2057"/>
    <tableColumn id="235" xr3:uid="{0AF9C2DF-0187-43EC-B5C1-D352E227AA9D}" name="prob10-failure_rating8" dataDxfId="2056"/>
    <tableColumn id="236" xr3:uid="{CEC12C9F-FB39-4474-8FDD-129B399A70C7}" name="prob10-failure_rating9" dataDxfId="2055"/>
    <tableColumn id="237" xr3:uid="{F64673B4-E111-4B53-8CCE-3972A83EA230}" name="failurecost500_rating1" dataDxfId="2054">
      <calculatedColumnFormula>Table15678[[#This Row],[Total_Cost_MUSD]]*Table15678[[#This Row],[prob500-failure_rating1]]/500</calculatedColumnFormula>
    </tableColumn>
    <tableColumn id="238" xr3:uid="{900F4B1D-54A2-4AC7-9B80-922607B90F63}" name="failurecost500_rating2" dataDxfId="2053">
      <calculatedColumnFormula>Table15678[[#This Row],[Total_Cost_MUSD]]*Table15678[[#This Row],[prob500-failure_rating2]]/500</calculatedColumnFormula>
    </tableColumn>
    <tableColumn id="239" xr3:uid="{BC7A687D-5D89-4BF2-B0B9-ED80FFE000EF}" name="failurecost500_rating3" dataDxfId="2052">
      <calculatedColumnFormula>Table15678[[#This Row],[Total_Cost_MUSD]]*Table15678[[#This Row],[prob500-failure_rating3]]/500</calculatedColumnFormula>
    </tableColumn>
    <tableColumn id="240" xr3:uid="{CA504952-4F3B-41FA-A8F0-684EBFD485ED}" name="failurecost500_rating4" dataDxfId="2051">
      <calculatedColumnFormula>Table15678[[#This Row],[Total_Cost_MUSD]]*Table15678[[#This Row],[prob500-failure_rating4]]/500</calculatedColumnFormula>
    </tableColumn>
    <tableColumn id="241" xr3:uid="{C30D775C-FE81-43FE-86ED-8906D3F46DB3}" name="failurecost500_rating5" dataDxfId="2050">
      <calculatedColumnFormula>Table15678[[#This Row],[Total_Cost_MUSD]]*Table15678[[#This Row],[prob500-failure_rating5]]/500</calculatedColumnFormula>
    </tableColumn>
    <tableColumn id="242" xr3:uid="{7D61B7F2-5C7D-43AE-9E3D-72FC4F25E0B6}" name="failurecost500_rating6" dataDxfId="2049">
      <calculatedColumnFormula>Table15678[[#This Row],[Total_Cost_MUSD]]*Table15678[[#This Row],[prob500-failure_rating6]]/500</calculatedColumnFormula>
    </tableColumn>
    <tableColumn id="243" xr3:uid="{3542DF29-3416-45E6-A61A-2765EEA4A89B}" name="failurecost500_rating7" dataDxfId="2048">
      <calculatedColumnFormula>Table15678[[#This Row],[Total_Cost_MUSD]]*Table15678[[#This Row],[prob500-failure_rating7]]/500</calculatedColumnFormula>
    </tableColumn>
    <tableColumn id="244" xr3:uid="{A3C35AA7-7E00-4214-9FF6-6BED50943184}" name="failurecost500_rating8" dataDxfId="2047">
      <calculatedColumnFormula>Table15678[[#This Row],[Total_Cost_MUSD]]*Table15678[[#This Row],[prob500-failure_rating8]]/500</calculatedColumnFormula>
    </tableColumn>
    <tableColumn id="245" xr3:uid="{B7D54961-0B85-4AA7-A8FD-7F01CF17E6A4}" name="failurecost500_rating9" dataDxfId="2046">
      <calculatedColumnFormula>Table15678[[#This Row],[Total_Cost_MUSD]]*Table15678[[#This Row],[prob500-failure_rating9]]/500</calculatedColumnFormula>
    </tableColumn>
    <tableColumn id="246" xr3:uid="{D477B3E9-5043-42A3-9A28-FF868E703825}" name="failurecost100_rating1" dataDxfId="2045">
      <calculatedColumnFormula>Table15678[[#This Row],[Total_Cost_MUSD]]*Table15678[[#This Row],[prob100-failure_rating1]]/100</calculatedColumnFormula>
    </tableColumn>
    <tableColumn id="247" xr3:uid="{B4D388E1-150B-4EC5-A9CA-BBBFE83424F5}" name="failurecost100_rating2" dataDxfId="2044">
      <calculatedColumnFormula>Table15678[[#This Row],[Total_Cost_MUSD]]*Table15678[[#This Row],[prob100-failure_rating2]]/100</calculatedColumnFormula>
    </tableColumn>
    <tableColumn id="248" xr3:uid="{B497B8BE-5A37-4CC6-A867-6AB7DAD80476}" name="failurecost100_rating3" dataDxfId="2043">
      <calculatedColumnFormula>Table15678[[#This Row],[Total_Cost_MUSD]]*Table15678[[#This Row],[prob100-failure_rating3]]/100</calculatedColumnFormula>
    </tableColumn>
    <tableColumn id="249" xr3:uid="{6AA92303-5CFD-4903-BD81-90D4BFB66976}" name="failurecost100_rating4" dataDxfId="2042">
      <calculatedColumnFormula>Table15678[[#This Row],[Total_Cost_MUSD]]*Table15678[[#This Row],[prob100-failure_rating4]]/100</calculatedColumnFormula>
    </tableColumn>
    <tableColumn id="250" xr3:uid="{57933D25-F8F5-436A-A7A0-03CFAF1A92DF}" name="failurecost100_rating5" dataDxfId="2041">
      <calculatedColumnFormula>Table15678[[#This Row],[Total_Cost_MUSD]]*Table15678[[#This Row],[prob100-failure_rating5]]/100</calculatedColumnFormula>
    </tableColumn>
    <tableColumn id="251" xr3:uid="{E674A46C-EA86-4B5F-861B-E89F239F9BDE}" name="failurecost100_rating6" dataDxfId="2040">
      <calculatedColumnFormula>Table15678[[#This Row],[Total_Cost_MUSD]]*Table15678[[#This Row],[prob100-failure_rating6]]/100</calculatedColumnFormula>
    </tableColumn>
    <tableColumn id="252" xr3:uid="{83681E12-29BE-4685-9200-57920EEE0B95}" name="failurecost100_rating7" dataDxfId="2039">
      <calculatedColumnFormula>Table15678[[#This Row],[Total_Cost_MUSD]]*Table15678[[#This Row],[prob100-failure_rating7]]/100</calculatedColumnFormula>
    </tableColumn>
    <tableColumn id="253" xr3:uid="{D3DFE4D3-EA2F-41C4-A6E0-1BFE1F00AF3D}" name="failurecost100_rating8" dataDxfId="2038">
      <calculatedColumnFormula>Table15678[[#This Row],[Total_Cost_MUSD]]*Table15678[[#This Row],[prob100-failure_rating8]]/100</calculatedColumnFormula>
    </tableColumn>
    <tableColumn id="254" xr3:uid="{66824FA9-9BFD-472A-8D77-689FBA44054A}" name="failurecost100_rating9" dataDxfId="2037">
      <calculatedColumnFormula>Table15678[[#This Row],[Total_Cost_MUSD]]*Table15678[[#This Row],[prob100-failure_rating9]]/100</calculatedColumnFormula>
    </tableColumn>
    <tableColumn id="255" xr3:uid="{0C57743E-DE34-4384-8CCB-8D0362DBECA2}" name="failurecost50_rating1" dataDxfId="2036">
      <calculatedColumnFormula>Table15678[[#This Row],[Total_Cost_MUSD]]*Table15678[[#This Row],[prob50-failure_rating1]]/50</calculatedColumnFormula>
    </tableColumn>
    <tableColumn id="256" xr3:uid="{58FE4A5F-9316-460B-B359-E567B34480DF}" name="failurecost50_rating2" dataDxfId="2035">
      <calculatedColumnFormula>Table15678[[#This Row],[Total_Cost_MUSD]]*Table15678[[#This Row],[prob50-failure_rating2]]/50</calculatedColumnFormula>
    </tableColumn>
    <tableColumn id="257" xr3:uid="{B459A8B7-7822-4394-81A3-6363007B903A}" name="failurecost50_rating3" dataDxfId="2034">
      <calculatedColumnFormula>Table15678[[#This Row],[Total_Cost_MUSD]]*Table15678[[#This Row],[prob50-failure_rating3]]/50</calculatedColumnFormula>
    </tableColumn>
    <tableColumn id="258" xr3:uid="{45FDF30E-CF3A-4204-A403-D18A3ABC9653}" name="failurecost50_rating4" dataDxfId="2033">
      <calculatedColumnFormula>Table15678[[#This Row],[Total_Cost_MUSD]]*Table15678[[#This Row],[prob50-failure_rating4]]/50</calculatedColumnFormula>
    </tableColumn>
    <tableColumn id="259" xr3:uid="{DB986116-E361-4384-B6AA-43574C182EDB}" name="failurecost50_rating5" dataDxfId="2032">
      <calculatedColumnFormula>Table15678[[#This Row],[Total_Cost_MUSD]]*Table15678[[#This Row],[prob50-failure_rating5]]/50</calculatedColumnFormula>
    </tableColumn>
    <tableColumn id="260" xr3:uid="{E2E5FE16-E8CE-4A31-9581-7608DDD9C6A9}" name="failurecost50_rating6" dataDxfId="2031">
      <calculatedColumnFormula>Table15678[[#This Row],[Total_Cost_MUSD]]*Table15678[[#This Row],[prob50-failure_rating6]]/50</calculatedColumnFormula>
    </tableColumn>
    <tableColumn id="261" xr3:uid="{6067ED89-0C5E-47DE-ADC8-7059A1230E00}" name="failurecost50_rating7" dataDxfId="2030">
      <calculatedColumnFormula>Table15678[[#This Row],[Total_Cost_MUSD]]*Table15678[[#This Row],[prob50-failure_rating7]]/50</calculatedColumnFormula>
    </tableColumn>
    <tableColumn id="262" xr3:uid="{3EB363BB-147B-47F5-A9F4-7F39F4B4E908}" name="failurecost50_rating8" dataDxfId="2029">
      <calculatedColumnFormula>Table15678[[#This Row],[Total_Cost_MUSD]]*Table15678[[#This Row],[prob50-failure_rating8]]/50</calculatedColumnFormula>
    </tableColumn>
    <tableColumn id="263" xr3:uid="{DB6E8068-44A0-48C9-88A8-5DCDC7D72D3D}" name="failurecost50_rating9" dataDxfId="2028">
      <calculatedColumnFormula>Table15678[[#This Row],[Total_Cost_MUSD]]*Table15678[[#This Row],[prob50-failure_rating9]]/50</calculatedColumnFormula>
    </tableColumn>
    <tableColumn id="273" xr3:uid="{085C056A-13DA-4C64-B139-FCE4A1D8CD9D}" name="failurecost10_rating1" dataDxfId="2027">
      <calculatedColumnFormula>Table15678[[#This Row],[Total_Cost_MUSD]]*Table15678[[#This Row],[prob10-failure_rating1]]/10</calculatedColumnFormula>
    </tableColumn>
    <tableColumn id="274" xr3:uid="{9D058397-43FB-430E-8644-EA790F3D423F}" name="failurecost10_rating2" dataDxfId="2026">
      <calculatedColumnFormula>Table15678[[#This Row],[Total_Cost_MUSD]]*Table15678[[#This Row],[prob10-failure_rating2]]/10</calculatedColumnFormula>
    </tableColumn>
    <tableColumn id="275" xr3:uid="{812E7DB4-E8ED-4DC1-9AC9-490A70F5A0CD}" name="failurecost10_rating3" dataDxfId="2025">
      <calculatedColumnFormula>Table15678[[#This Row],[Total_Cost_MUSD]]*Table15678[[#This Row],[prob10-failure_rating3]]/10</calculatedColumnFormula>
    </tableColumn>
    <tableColumn id="276" xr3:uid="{4CD6FFC5-78D7-4AEE-895B-4BD5B3CB40AA}" name="failurecost10_rating4" dataDxfId="2024">
      <calculatedColumnFormula>Table15678[[#This Row],[Total_Cost_MUSD]]*Table15678[[#This Row],[prob10-failure_rating4]]/10</calculatedColumnFormula>
    </tableColumn>
    <tableColumn id="277" xr3:uid="{463E07AE-6569-454C-A9E3-40E14E484CD5}" name="failurecost10_rating5" dataDxfId="2023">
      <calculatedColumnFormula>Table15678[[#This Row],[Total_Cost_MUSD]]*Table15678[[#This Row],[prob10-failure_rating5]]/10</calculatedColumnFormula>
    </tableColumn>
    <tableColumn id="278" xr3:uid="{8308C95A-66ED-4D23-A3CC-62A7752AF8E8}" name="failurecost10_rating6" dataDxfId="2022">
      <calculatedColumnFormula>Table15678[[#This Row],[Total_Cost_MUSD]]*Table15678[[#This Row],[prob10-failure_rating6]]/10</calculatedColumnFormula>
    </tableColumn>
    <tableColumn id="279" xr3:uid="{9677169A-D640-40EF-AEB1-FA4774F2D0EC}" name="failurecost10_rating7" dataDxfId="2021">
      <calculatedColumnFormula>Table15678[[#This Row],[Total_Cost_MUSD]]*Table15678[[#This Row],[prob10-failure_rating7]]/10</calculatedColumnFormula>
    </tableColumn>
    <tableColumn id="280" xr3:uid="{8F76A0A2-651E-43EA-A3D5-46C467EF7D93}" name="failurecost10_rating8" dataDxfId="2020">
      <calculatedColumnFormula>Table15678[[#This Row],[Total_Cost_MUSD]]*Table15678[[#This Row],[prob10-failure_rating8]]/10</calculatedColumnFormula>
    </tableColumn>
    <tableColumn id="281" xr3:uid="{AB73BD60-FC64-44B5-AD38-34EF3BD9A37B}" name="failurecost10_rating9" dataDxfId="2019">
      <calculatedColumnFormula>Table15678[[#This Row],[Total_Cost_MUSD]]*Table15678[[#This Row],[prob10-failure_rating9]]/10</calculatedColumnFormula>
    </tableColumn>
    <tableColumn id="282" xr3:uid="{ECCF947A-EF01-40C4-9FC7-5287F3C9C304}" name="FailureCost_Rating0" dataDxfId="2018">
      <calculatedColumnFormula>Table15678[[#This Row],[FailureCost_Rating1]]</calculatedColumnFormula>
    </tableColumn>
    <tableColumn id="264" xr3:uid="{B06E1FF8-7351-4677-AC85-8B2E4E05FCF9}" name="FailureCost_Rating1" dataDxfId="2017">
      <calculatedColumnFormula>Table15678[[#This Row],[FailureCost_Rating2]]</calculatedColumnFormula>
    </tableColumn>
    <tableColumn id="265" xr3:uid="{970DF452-D979-4938-AB4F-44E6B54E5060}" name="FailureCost_Rating2" dataDxfId="2016">
      <calculatedColumnFormula>(Table15678[[#This Row],[failurecost500_rating2]]+Table15678[[#This Row],[failurecost100_rating2]]+Table15678[[#This Row],[failurecost50_rating2]]+Table15678[[#This Row],[failurecost10_rating2]])*1000000</calculatedColumnFormula>
    </tableColumn>
    <tableColumn id="266" xr3:uid="{8FAA7073-1F5E-4A53-AE66-29EA6ACF6CE4}" name="FailureCost_Rating3" dataDxfId="2015">
      <calculatedColumnFormula>(Table15678[[#This Row],[failurecost500_rating3]]+Table15678[[#This Row],[failurecost100_rating3]]+Table15678[[#This Row],[failurecost50_rating3]]+Table15678[[#This Row],[failurecost10_rating3]])*1000000</calculatedColumnFormula>
    </tableColumn>
    <tableColumn id="267" xr3:uid="{B794E656-75F2-4E0D-8096-546FBDC2C171}" name="FailureCost_Rating4" dataDxfId="2014">
      <calculatedColumnFormula>(Table15678[[#This Row],[failurecost500_rating4]]+Table15678[[#This Row],[failurecost100_rating4]]+Table15678[[#This Row],[failurecost50_rating4]]+Table15678[[#This Row],[failurecost10_rating4]])*1000000</calculatedColumnFormula>
    </tableColumn>
    <tableColumn id="268" xr3:uid="{6904BE45-5E68-4AFE-B2D2-EF6872A12C82}" name="FailureCost_Rating5" dataDxfId="2013">
      <calculatedColumnFormula>(Table15678[[#This Row],[failurecost500_rating5]]+Table15678[[#This Row],[failurecost100_rating5]]+Table15678[[#This Row],[failurecost50_rating5]]+Table15678[[#This Row],[failurecost10_rating5]])*1000000</calculatedColumnFormula>
    </tableColumn>
    <tableColumn id="269" xr3:uid="{5EC21864-3F72-4E9E-8EA6-ED9EFDC92265}" name="FailureCost_Rating6" dataDxfId="2012">
      <calculatedColumnFormula>(Table15678[[#This Row],[failurecost500_rating6]]+Table15678[[#This Row],[failurecost100_rating6]]+Table15678[[#This Row],[failurecost50_rating6]]+Table15678[[#This Row],[failurecost10_rating6]])*1000000</calculatedColumnFormula>
    </tableColumn>
    <tableColumn id="270" xr3:uid="{A869F9AF-3DE9-4D8A-8A35-F983C971EE12}" name="FailureCost_Rating7" dataDxfId="2011">
      <calculatedColumnFormula>(Table15678[[#This Row],[failurecost500_rating7]]+Table15678[[#This Row],[failurecost100_rating7]]+Table15678[[#This Row],[failurecost50_rating7]]+Table15678[[#This Row],[failurecost10_rating7]])*1000000</calculatedColumnFormula>
    </tableColumn>
    <tableColumn id="271" xr3:uid="{C3F6AFB3-C978-4D84-9BC9-02B478ADA002}" name="FailureCost_Rating8" dataDxfId="2010">
      <calculatedColumnFormula>(Table15678[[#This Row],[failurecost500_rating8]]+Table15678[[#This Row],[failurecost100_rating8]]+Table15678[[#This Row],[failurecost50_rating8]]+Table15678[[#This Row],[failurecost10_rating8]])*1000000</calculatedColumnFormula>
    </tableColumn>
    <tableColumn id="272" xr3:uid="{76C7E994-BEB2-40C8-AA6A-8AE0F2D7D59F}" name="FailureCost_Rating9" dataDxfId="2009">
      <calculatedColumnFormula>(Table15678[[#This Row],[failurecost500_rating9]]+Table15678[[#This Row],[failurecost100_rating9]]+Table15678[[#This Row],[failurecost50_rating9]]+Table15678[[#This Row],[failurecost10_rating9]])*1000000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9EC290-8203-4DA1-B077-1077A4D029E4}" name="Table156789" displayName="Table156789" ref="A1:JY20" totalsRowShown="0" headerRowDxfId="2008" dataDxfId="2007">
  <autoFilter ref="A1:JY20" xr:uid="{1E05EA88-988A-4182-B643-40FC3C5FB242}"/>
  <tableColumns count="285">
    <tableColumn id="1" xr3:uid="{7E43AEA9-2E0D-4930-AEB9-640B8E6EDB02}" name="Number" dataDxfId="2006"/>
    <tableColumn id="2" xr3:uid="{19DC2FD2-AF4D-4B3A-B8CD-33D050F56A7D}" name="Structure Name" dataDxfId="2005"/>
    <tableColumn id="3" xr3:uid="{CE257B70-C787-41D1-B35A-A17061BFDD7C}" name="Body of water" dataDxfId="2004"/>
    <tableColumn id="4" xr3:uid="{9861C216-99D0-45C7-B999-DA456623E570}" name="Lattitude" dataDxfId="2003"/>
    <tableColumn id="5" xr3:uid="{390BD80B-EFA4-4930-9F09-8EB45DC2C0B3}" name="Longitude" dataDxfId="2002"/>
    <tableColumn id="6" xr3:uid="{BA7B1C86-A5D1-411E-B773-0D87C32F6C54}" name="Depth50" dataDxfId="2001"/>
    <tableColumn id="7" xr3:uid="{AEC09CC7-134B-4B5B-B8B4-127BD50D680D}" name="Depth10" dataDxfId="2000"/>
    <tableColumn id="8" xr3:uid="{0C4E3063-9242-4B8C-97E6-E8CB4ADFFD18}" name="Depth100" dataDxfId="1999"/>
    <tableColumn id="9" xr3:uid="{D92D0442-377C-40B7-8239-188BAA5CB939}" name="Depth500" dataDxfId="1998"/>
    <tableColumn id="10" xr3:uid="{D2B389C1-2174-428A-B65B-2B77A3C02C72}" name="Depth0_area" dataDxfId="1997"/>
    <tableColumn id="11" xr3:uid="{2A8D620E-0D19-4440-990B-D104875DD587}" name="Depth0_wet" dataDxfId="1996"/>
    <tableColumn id="12" xr3:uid="{4E69EDF2-58A2-4A91-9446-3966E56B7E50}" name="Depth10_area" dataDxfId="1995"/>
    <tableColumn id="13" xr3:uid="{625C1EB9-D020-4BF7-8658-BA554F90C9DD}" name="Depth10_wet" dataDxfId="1994"/>
    <tableColumn id="14" xr3:uid="{DA0A759D-5A1B-4003-BC21-86A2FD408EE9}" name="Depth50_area" dataDxfId="1993"/>
    <tableColumn id="15" xr3:uid="{EF2FA6FD-5E20-472E-BEAF-40387E9CCAE0}" name="Depth50_wet" dataDxfId="1992"/>
    <tableColumn id="16" xr3:uid="{D35E800B-161D-444F-B725-CC03ADE41CFF}" name="Depth100_area" dataDxfId="1991"/>
    <tableColumn id="17" xr3:uid="{F9FC32D0-A0D3-4020-8743-1D4522EC5D98}" name="Depth100_wet" dataDxfId="1990"/>
    <tableColumn id="18" xr3:uid="{3E881171-DA34-4035-BE73-5E101432E487}" name="Depth500_area" dataDxfId="1989"/>
    <tableColumn id="19" xr3:uid="{C32CCAA5-474E-4FA4-A272-F40C5EEE794F}" name="Depth500_wet" dataDxfId="1988"/>
    <tableColumn id="20" xr3:uid="{EDCBD979-6085-4D21-9C9E-4F7CEE191D5F}" name="Depth0_HydraulicRadius" dataDxfId="1987"/>
    <tableColumn id="21" xr3:uid="{702F12CA-43C9-4D8F-ADEA-954B3F4F541D}" name="Depth10_HydraulicRadius" dataDxfId="1986"/>
    <tableColumn id="22" xr3:uid="{567FE643-A19B-46BB-A49E-F395F3781BDE}" name="Depth50_HydraulicRadius" dataDxfId="1985"/>
    <tableColumn id="23" xr3:uid="{71CE6422-FB47-4497-B9EB-0340C0A47AAA}" name="Depth100_HydraulicRadius" dataDxfId="1984"/>
    <tableColumn id="24" xr3:uid="{2492220F-6111-44D3-9C8C-52578B5AF13B}" name="Depth500_HydraulicRadius" dataDxfId="1983"/>
    <tableColumn id="25" xr3:uid="{DE339EE7-E0BD-42D4-A1E1-22A61A79AF88}" name="Slope" dataDxfId="1982"/>
    <tableColumn id="26" xr3:uid="{1458B0B2-31FA-4B3E-AA0E-FFDECAB1B320}" name="Foundation_Depth" dataDxfId="1981"/>
    <tableColumn id="27" xr3:uid="{DB81A051-6C3C-49AA-81EF-D282DC95B68D}" name="Depth10_velocity" dataDxfId="1980"/>
    <tableColumn id="28" xr3:uid="{61E4D5C9-D095-431E-B6F1-127F10165959}" name="Depth50_velocity" dataDxfId="1979"/>
    <tableColumn id="29" xr3:uid="{0DD2E470-87C3-41B8-A699-F78F425E98AC}" name="Depth100_velocity" dataDxfId="1978"/>
    <tableColumn id="30" xr3:uid="{72314E59-D420-4F65-8B17-49082582A46B}" name="Depth500_velocity" dataDxfId="1977"/>
    <tableColumn id="31" xr3:uid="{9F8C28C9-730A-45FA-8D16-346F80376852}" name="Depth10_Froud" dataDxfId="1976"/>
    <tableColumn id="32" xr3:uid="{3513342A-C1A6-44C1-B63B-B5455548FC1C}" name="Depth50_Froud" dataDxfId="1975"/>
    <tableColumn id="33" xr3:uid="{404FBB66-CFCE-44C0-88FF-383104BB9228}" name="Depth100_Froud" dataDxfId="1974"/>
    <tableColumn id="34" xr3:uid="{8173A21C-DD4E-4855-9504-1F10CDE93920}" name="Depth500_Froud" dataDxfId="1973"/>
    <tableColumn id="35" xr3:uid="{F0D42832-42F8-4239-844D-4BB049E872D2}" name="Depth10_Scour" dataDxfId="1972"/>
    <tableColumn id="36" xr3:uid="{EE11F9D2-5141-4539-8AF4-8DDC3A12374A}" name="Depth50_Scour" dataDxfId="1971"/>
    <tableColumn id="37" xr3:uid="{F92E6AAD-E7FF-491F-8F53-5BFE39A8BC21}" name="Depth100_Scour" dataDxfId="1970"/>
    <tableColumn id="38" xr3:uid="{36983C14-BB19-49E5-9EBE-01AD4ECF1765}" name="Depth500_Scour" dataDxfId="1969"/>
    <tableColumn id="39" xr3:uid="{F3CBE0BB-968C-4221-93F2-E17F48AF01AB}" name="Depth10_Soil_vol" dataDxfId="1968"/>
    <tableColumn id="40" xr3:uid="{4B2C6178-19E2-46A5-BA90-C66242137D43}" name="Depth50_Soil_vol" dataDxfId="1967"/>
    <tableColumn id="41" xr3:uid="{900679D4-3F85-4B83-9AAF-248A52ED2232}" name="Depth100_Soil_vol" dataDxfId="1966"/>
    <tableColumn id="42" xr3:uid="{49769EE1-693D-4B0B-B430-9D681990358F}" name="Depth500_Soil_vol" dataDxfId="1965"/>
    <tableColumn id="191" xr3:uid="{76A09BC7-A615-4EFA-86BF-21F3F41131C3}" name="Depth10_cost" dataDxfId="1964">
      <calculatedColumnFormula>Table156789[[#This Row],[Depth10_Soil_vol]]*(9.353+9.027)+(Table156789[[#This Row],[Depth10_Soil_vol]]/2.5)*20*1.053+(PI()*Table156789[[#This Row],[Depth10_Scour]])*Table156789[[#This Row],[DECK_WIDTH_MT_052]]*1.062</calculatedColumnFormula>
    </tableColumn>
    <tableColumn id="190" xr3:uid="{7B364D45-24CC-48B2-B09F-74A730214B6A}" name="Depth50_cost" dataDxfId="1963">
      <calculatedColumnFormula>Table156789[[#This Row],[Depth50_Soil_vol]]*(9.353+9.027)+(Table156789[[#This Row],[Depth50_Soil_vol]]/2.5)*20*1.053+(PI()*Table156789[[#This Row],[Depth50_Scour]])*Table156789[[#This Row],[DECK_WIDTH_MT_052]]*1.062</calculatedColumnFormula>
    </tableColumn>
    <tableColumn id="189" xr3:uid="{09D28850-E3D1-45D3-895C-DE82F693EA8F}" name="Depth100_cost" dataDxfId="1962">
      <calculatedColumnFormula>Table156789[[#This Row],[Depth100_Soil_vol]]*(9.353+9.027)+(Table156789[[#This Row],[Depth100_Soil_vol]]/2.5)*20*1.053+(PI()*Table156789[[#This Row],[Depth100_Scour]])*Table156789[[#This Row],[DECK_WIDTH_MT_052]]*1.062</calculatedColumnFormula>
    </tableColumn>
    <tableColumn id="188" xr3:uid="{996475C9-F48F-41DC-860B-312465BBC8F3}" name="Depth500_cost" dataDxfId="1961">
      <calculatedColumnFormula>Table156789[[#This Row],[Depth500_Soil_vol]]*(9.353+9.027)+(Table156789[[#This Row],[Depth500_Soil_vol]]/2.5)*20*1.053+(PI()*Table156789[[#This Row],[Depth500_Scour]])*Table156789[[#This Row],[DECK_WIDTH_MT_052]]*1.062</calculatedColumnFormula>
    </tableColumn>
    <tableColumn id="43" xr3:uid="{7A427AD8-BD84-4479-A87E-274E6C8E8F05}" name="Foundation_Width" dataDxfId="1960"/>
    <tableColumn id="44" xr3:uid="{FB35BBEF-D609-4061-9273-898AC26FC7AE}" name="Foundation_length" dataDxfId="1959"/>
    <tableColumn id="45" xr3:uid="{727C310D-8482-468A-BFCE-F20ABA2240AB}" name="Shape" dataDxfId="1958"/>
    <tableColumn id="46" xr3:uid="{3015CA57-123C-409B-925A-CC7D294B0952}" name="Depth10_Rating" dataDxfId="1957"/>
    <tableColumn id="47" xr3:uid="{E70FFC54-8E7A-46DD-80E5-5B9DC41B0646}" name="Depth50_Rating" dataDxfId="1956"/>
    <tableColumn id="48" xr3:uid="{F4CB69F4-1CF5-45D2-903F-2DF8A8E567FC}" name="Depth100_Rating" dataDxfId="1955"/>
    <tableColumn id="49" xr3:uid="{23097DC6-37F1-4E8B-B14D-6F2B08A286B3}" name="Depth500_Rating" dataDxfId="1954"/>
    <tableColumn id="50" xr3:uid="{4400625D-9AC4-426B-A637-7955B1680B11}" name="STATE_CODE_001" dataDxfId="1953"/>
    <tableColumn id="51" xr3:uid="{9DC6796A-1053-4199-A68F-FF338D0B486C}" name="STRUCTURE_NUMBER_008" dataDxfId="1952"/>
    <tableColumn id="52" xr3:uid="{329D19D2-8F7F-431A-9AC4-5DAF1E4169E1}" name="LAT_016" dataDxfId="1951"/>
    <tableColumn id="53" xr3:uid="{C0A6BFDF-4F08-4156-A3BC-64C9EFB7785F}" name="LONG_017" dataDxfId="1950"/>
    <tableColumn id="54" xr3:uid="{D6A4F5A6-EAE2-4F41-A7D3-9A465924248A}" name="RECORD_TYPE_005A" dataDxfId="1949"/>
    <tableColumn id="55" xr3:uid="{002A3D81-FAD0-4038-B34A-49E988E13F0E}" name="ROUTE_PREFIX_005B" dataDxfId="1948"/>
    <tableColumn id="56" xr3:uid="{0B1B30F1-B8B8-442E-8B02-6B2431A1F861}" name="SERVICE_LEVEL_005C" dataDxfId="1947"/>
    <tableColumn id="57" xr3:uid="{7D182ACB-DA98-4BE6-957B-3219A487965E}" name="ROUTE_NUMBER_005D" dataDxfId="1946"/>
    <tableColumn id="58" xr3:uid="{FA4DA9D0-6C38-458F-BAC4-2493D092AAC4}" name="DIRECTION_005E" dataDxfId="1945"/>
    <tableColumn id="59" xr3:uid="{FEC5E1F1-AD47-4151-8A07-65B7CA07E865}" name="HIGHWAY_DISTRICT_002" dataDxfId="1944"/>
    <tableColumn id="60" xr3:uid="{B805BDBB-365A-448D-ABEE-B96D12FBF280}" name="COUNTY_CODE_003" dataDxfId="1943"/>
    <tableColumn id="61" xr3:uid="{A2021ACD-9057-4C40-B486-5BBE571DB9F9}" name="PLACE_CODE_004" dataDxfId="1942"/>
    <tableColumn id="62" xr3:uid="{AFC362F0-1DBE-42A1-8D6F-C8654F1C73AE}" name="FEATURES_DESC_006A" dataDxfId="1941"/>
    <tableColumn id="63" xr3:uid="{D8F5A65C-E8E7-4C0D-B325-AF20B08DA50E}" name="CRITICAL_FACILITY_006B" dataDxfId="1940"/>
    <tableColumn id="64" xr3:uid="{038616EA-92A5-4FEF-A009-1D430FC8B400}" name="FACILITY_CARRIED_007" dataDxfId="1939"/>
    <tableColumn id="65" xr3:uid="{6E413732-A0B5-47DE-A109-FEC83EAD6B2D}" name="LOCATION_009" dataDxfId="1938"/>
    <tableColumn id="66" xr3:uid="{896A1140-FB9C-4BD0-BFAC-5894EE0745D1}" name="MIN_VERT_CLR_010" dataDxfId="1937"/>
    <tableColumn id="67" xr3:uid="{78E7098D-6A17-4866-ABC4-8A3DFE514244}" name="KILOPOINT_011" dataDxfId="1936"/>
    <tableColumn id="68" xr3:uid="{39D9BEBF-C0AC-498A-B414-6C6F2793BDE8}" name="BASE_HWY_NETWORK_012" dataDxfId="1935"/>
    <tableColumn id="69" xr3:uid="{53531D27-8CCD-4782-AE71-722B12B30C7B}" name="LRS_INV_ROUTE_013A" dataDxfId="1934"/>
    <tableColumn id="70" xr3:uid="{6DA64A36-DAA0-46C2-B1CB-82EE4AB7AA23}" name="SUBROUTE_NO_013B" dataDxfId="1933"/>
    <tableColumn id="71" xr3:uid="{E4343423-E490-4833-8955-94705343E0FD}" name="DETOUR_KILOS_019" dataDxfId="1932"/>
    <tableColumn id="72" xr3:uid="{4D4F75AE-549C-4002-88A8-BE19FE183264}" name="TOLL_020" dataDxfId="1931"/>
    <tableColumn id="73" xr3:uid="{7160464B-1B77-4A5A-A2A7-0E557AAC32A9}" name="MAINTENANCE_021" dataDxfId="1930"/>
    <tableColumn id="74" xr3:uid="{3DB4A1DB-CEC3-42BC-9F38-A401A4723507}" name="OWNER_022" dataDxfId="1929"/>
    <tableColumn id="75" xr3:uid="{D5F74B36-2264-4B79-9785-A2D16AC047EC}" name="FUNCTIONAL_CLASS_026" dataDxfId="1928"/>
    <tableColumn id="76" xr3:uid="{ABEA42E2-057C-4839-A663-1C3DAD91E9CD}" name="YEAR_BUILT_027" dataDxfId="1927"/>
    <tableColumn id="77" xr3:uid="{8FCF9E97-52BA-4335-8B35-58B8566B3D8E}" name="TRAFFIC_LANES_ON_028A" dataDxfId="1926"/>
    <tableColumn id="78" xr3:uid="{3587C501-86FC-4825-BF49-608FBB8708BD}" name="TRAFFIC_LANES_UND_028B" dataDxfId="1925"/>
    <tableColumn id="79" xr3:uid="{CE2E6EE5-DB4C-4411-800C-C155AAFA9B47}" name="ADT_029" dataDxfId="1924"/>
    <tableColumn id="80" xr3:uid="{3CF730A2-6B48-4179-94D1-DAB0BAAA0E19}" name="YEAR_ADT_030" dataDxfId="1923"/>
    <tableColumn id="81" xr3:uid="{7501E49A-68A0-47B6-95B9-A47FB05B5740}" name="DESIGN_LOAD_031" dataDxfId="1922"/>
    <tableColumn id="82" xr3:uid="{28F0EC15-BAC2-40E2-A02C-EDDF6AA47BD6}" name="APPR_WIDTH_MT_032" dataDxfId="1921"/>
    <tableColumn id="83" xr3:uid="{F9D4A9FC-D33C-4892-A207-DD75DAF2AD16}" name="MEDIAN_CODE_033" dataDxfId="1920"/>
    <tableColumn id="84" xr3:uid="{D0F0DFD6-9E1E-4C7D-9169-F36BDCDD18E6}" name="DEGREES_SKEW_034" dataDxfId="1919"/>
    <tableColumn id="85" xr3:uid="{A0BB307D-20D4-4FD5-9444-3FE789D9F237}" name="STRUCTURE_FLARED_035" dataDxfId="1918"/>
    <tableColumn id="86" xr3:uid="{F42F7F01-6FA2-48E4-8885-185662B8274F}" name="RAILINGS_036A" dataDxfId="1917"/>
    <tableColumn id="87" xr3:uid="{F270CAF0-9F6F-4E3A-81CB-A224A23466DD}" name="TRANSITIONS_036B" dataDxfId="1916"/>
    <tableColumn id="88" xr3:uid="{4BC85D86-3150-4D60-9791-FEE2E6197E93}" name="APPR_RAIL_036C" dataDxfId="1915"/>
    <tableColumn id="89" xr3:uid="{052E2032-9234-4142-8417-CEC66053F006}" name="APPR_RAIL_END_036D" dataDxfId="1914"/>
    <tableColumn id="90" xr3:uid="{3DF310C4-FE6C-4873-A16D-76152EEC4608}" name="HISTORY_037" dataDxfId="1913"/>
    <tableColumn id="91" xr3:uid="{225611D3-8860-47F3-8D27-67CD1D62639B}" name="NAVIGATION_038" dataDxfId="1912"/>
    <tableColumn id="92" xr3:uid="{CC505BF6-D7FC-4C7F-BA0F-9DD4F6D9F3D7}" name="NAV_VERT_CLR_MT_039" dataDxfId="1911"/>
    <tableColumn id="93" xr3:uid="{264CE60C-26BB-40A4-93F3-7C2EFB30E66A}" name="NAV_HORR_CLR_MT_040" dataDxfId="1910"/>
    <tableColumn id="94" xr3:uid="{11DB774E-4B42-478B-99D4-0F7427CD7C3A}" name="OPEN_CLOSED_POSTED_041" dataDxfId="1909"/>
    <tableColumn id="95" xr3:uid="{0679CCD6-2972-4011-985E-19DD9DC1E911}" name="SERVICE_ON_042A" dataDxfId="1908"/>
    <tableColumn id="96" xr3:uid="{96818A5F-370C-495F-8968-899C8EF32295}" name="SERVICE_UND_042B" dataDxfId="1907"/>
    <tableColumn id="97" xr3:uid="{5BC8E1BA-5BA7-44B0-8C06-132C3D03A277}" name="STRUCTURE_KIND_043A" dataDxfId="1906"/>
    <tableColumn id="98" xr3:uid="{04ED0EB7-D7B5-4DE5-A1BC-16EF28DF4D22}" name="STRUCTURE_TYPE_043B" dataDxfId="1905"/>
    <tableColumn id="99" xr3:uid="{E9792B13-894B-4515-9781-4525FAB1A6BC}" name="APPR_KIND_044A" dataDxfId="1904"/>
    <tableColumn id="100" xr3:uid="{18166627-BF28-4EEF-B8E7-084A20C977D8}" name="APPR_TYPE_044B" dataDxfId="1903"/>
    <tableColumn id="101" xr3:uid="{7DF120EE-034F-486A-8E1C-EAFC7C3313AF}" name="MAIN_UNIT_SPANS_045" dataDxfId="1902"/>
    <tableColumn id="102" xr3:uid="{C7569F0B-D4B1-49C5-B33C-5705156A265B}" name="APPR_SPANS_046" dataDxfId="1901"/>
    <tableColumn id="103" xr3:uid="{CB7AB9C2-E994-4F6E-82E7-DAACFAF28FB8}" name="HORR_CLR_MT_047" dataDxfId="1900"/>
    <tableColumn id="104" xr3:uid="{AC5F0977-9238-4BF0-9D08-8F8DEA336ED6}" name="MAX_SPAN_LEN_MT_048" dataDxfId="1899"/>
    <tableColumn id="105" xr3:uid="{998597EE-F0A0-4EC2-A3D8-A36807A928C9}" name="STRUCTURE_LEN_MT_049" dataDxfId="1898"/>
    <tableColumn id="106" xr3:uid="{32FEDD2D-2A4F-4690-9B23-C674CDDA9082}" name="LEFT_CURB_MT_050A" dataDxfId="1897"/>
    <tableColumn id="107" xr3:uid="{CCB6F0BE-E39A-4540-A225-05932CF40771}" name="RIGHT_CURB_MT_050B" dataDxfId="1896"/>
    <tableColumn id="108" xr3:uid="{11140804-AB2A-47B7-8F47-F0E17730231E}" name="ROADWAY_WIDTH_MT_051" dataDxfId="1895"/>
    <tableColumn id="109" xr3:uid="{DDA80865-5DDE-495B-AFE7-D663196B011E}" name="DECK_WIDTH_MT_052" dataDxfId="1894"/>
    <tableColumn id="110" xr3:uid="{D915F7FF-6F75-4E7F-B768-68617C525E5E}" name="VERT_CLR_OVER_MT_053" dataDxfId="1893"/>
    <tableColumn id="111" xr3:uid="{7188366D-AC0F-4BD1-A49B-23291D8EA7D6}" name="VERT_CLR_UND_REF_054A" dataDxfId="1892"/>
    <tableColumn id="112" xr3:uid="{0C3BC4F3-45CD-4A08-87FD-A98F74DE81D1}" name="VERT_CLR_UND_054B" dataDxfId="1891"/>
    <tableColumn id="113" xr3:uid="{62590611-1C19-4ECD-9286-C8CB27F6276B}" name="LAT_UND_REF_055A" dataDxfId="1890"/>
    <tableColumn id="114" xr3:uid="{03E90945-0DA3-47C1-A77F-96143AB8ED73}" name="LAT_UND_MT_055B" dataDxfId="1889"/>
    <tableColumn id="115" xr3:uid="{7F7F052B-F020-4711-A2A9-0CDD2F72C65C}" name="LEFT_LAT_UND_MT_056" dataDxfId="1888"/>
    <tableColumn id="116" xr3:uid="{BB73DA1A-57A4-42EF-B5AB-0D9A5A3CA677}" name="DECK_COND_058" dataDxfId="1887"/>
    <tableColumn id="117" xr3:uid="{C38FC20B-7596-499C-874F-ECB0C5C5FE33}" name="SUPERSTRUCTURE_COND_059" dataDxfId="1886"/>
    <tableColumn id="118" xr3:uid="{1E19242A-86DF-4831-83FB-A2D87DAD7FB6}" name="SUBSTRUCTURE_COND_060" dataDxfId="1885"/>
    <tableColumn id="119" xr3:uid="{AABCEFEA-8B52-4258-8902-F9D9457015E7}" name="CHANNEL_COND_061" dataDxfId="1884"/>
    <tableColumn id="120" xr3:uid="{B6855078-9785-4CEE-AEA6-6313FE31B540}" name="CULVERT_COND_062" dataDxfId="1883"/>
    <tableColumn id="121" xr3:uid="{803A417F-B8DF-40B5-8054-15047E1FEB1D}" name="OPR_RATING_METH_063" dataDxfId="1882"/>
    <tableColumn id="122" xr3:uid="{1641DEE1-2F1A-4701-8F49-6B1DD1F234A4}" name="OPERATING_RATING_064" dataDxfId="1881"/>
    <tableColumn id="123" xr3:uid="{E600AF58-9204-44C4-BBAE-88E346BB7215}" name="INV_RATING_METH_065" dataDxfId="1880"/>
    <tableColumn id="124" xr3:uid="{7A769C98-FD05-42D2-9C5E-FB7E434FAA61}" name="INVENTORY_RATING_066" dataDxfId="1879"/>
    <tableColumn id="125" xr3:uid="{BA368683-EB74-4AD2-9360-DFC9A28EBE01}" name="STRUCTURAL_EVAL_067" dataDxfId="1878"/>
    <tableColumn id="126" xr3:uid="{F903A7CF-1642-461E-8DBE-18F45665F692}" name="DECK_GEOMETRY_EVAL_068" dataDxfId="1877"/>
    <tableColumn id="127" xr3:uid="{DFA8A687-2632-4A42-ADB2-7602B7D8F84E}" name="UNDCLRENCE_EVAL_069" dataDxfId="1876"/>
    <tableColumn id="128" xr3:uid="{F899504F-E180-4D72-90DE-F2B3402B787B}" name="POSTING_EVAL_070" dataDxfId="1875"/>
    <tableColumn id="129" xr3:uid="{6D7ADB16-F80E-4C56-9C1A-DD9F6E3D49F8}" name="WATERWAY_EVAL_071" dataDxfId="1874"/>
    <tableColumn id="130" xr3:uid="{73CD2113-5814-4721-9F0B-D351D7F253BD}" name="APPR_ROAD_EVAL_072" dataDxfId="1873"/>
    <tableColumn id="131" xr3:uid="{41AB2E30-77BF-4098-91AB-6DCD2D6B27D9}" name="WORK_PROPOSED_075A" dataDxfId="1872"/>
    <tableColumn id="132" xr3:uid="{7AE603E7-90B1-4875-90E8-D37B542E5CD3}" name="WORK_DONE_BY_075B" dataDxfId="1871"/>
    <tableColumn id="133" xr3:uid="{A3FACF8B-8D2D-4D64-B8FB-0E9C03A5ED63}" name="IMP_LEN_MT_076" dataDxfId="1870"/>
    <tableColumn id="134" xr3:uid="{28B8A936-43A2-4AE3-B876-DFA1BE65A402}" name="DATE_OF_INSPECT_090" dataDxfId="1869"/>
    <tableColumn id="135" xr3:uid="{D1D88A79-515F-4DC6-9A5E-E60EAD7E12A2}" name="INSPECT_FREQ_MONTHS_091" dataDxfId="1868"/>
    <tableColumn id="136" xr3:uid="{2CFA47D3-F959-4E61-87F7-A77E0CEC1AEE}" name="FRACTURE_092A" dataDxfId="1867"/>
    <tableColumn id="137" xr3:uid="{8FDA68B7-8986-4281-857B-6CFCCB383CD9}" name="UNDWATER_LOOK_SEE_092B" dataDxfId="1866"/>
    <tableColumn id="138" xr3:uid="{B8F1DBA0-2E6D-4740-8510-20CCA2AC63D3}" name="SPEC_INSPECT_092C" dataDxfId="1865"/>
    <tableColumn id="139" xr3:uid="{C07C454F-06EC-4054-AEC8-1D8986F83AED}" name="FRACTURE_LAST_DATE_093A" dataDxfId="1864"/>
    <tableColumn id="140" xr3:uid="{E5C27E8F-AB93-42DB-BDD2-20A3310712CD}" name="UNDWATER_LAST_DATE_093B" dataDxfId="1863"/>
    <tableColumn id="141" xr3:uid="{1D417B96-06E3-4E6C-8593-05742B76AF41}" name="SPEC_LAST_DATE_093C" dataDxfId="1862"/>
    <tableColumn id="142" xr3:uid="{3A4E2DD3-A9FB-47A0-9191-772D9B417199}" name="BRIDGE_IMP_COST_094" dataDxfId="1861"/>
    <tableColumn id="143" xr3:uid="{AB68591F-77CD-4586-9687-D18A611B6464}" name="ROADWAY_IMP_COST_095" dataDxfId="1860"/>
    <tableColumn id="144" xr3:uid="{01EF0741-11DB-482D-AFE8-1C8E1DF805FE}" name="TOTAL_IMP_COST_096" dataDxfId="1859"/>
    <tableColumn id="145" xr3:uid="{85DC1398-5298-429F-B6D2-32FAD997E5F8}" name="YEAR_OF_IMP_097" dataDxfId="1858"/>
    <tableColumn id="146" xr3:uid="{24C4F69B-3E14-407E-BB24-2C1D35292530}" name="OTHER_STATE_CODE_098A" dataDxfId="1857"/>
    <tableColumn id="147" xr3:uid="{BD129404-5F93-414B-956B-95D66DE81A52}" name="OTHER_STATE_PCNT_098B" dataDxfId="1856"/>
    <tableColumn id="148" xr3:uid="{3881E886-1CF2-483D-949A-8681FE4D22EB}" name="OTHR_STATE_STRUC_NO_099" dataDxfId="1855"/>
    <tableColumn id="149" xr3:uid="{6CF47FF2-6588-48B8-95F7-3A96306682E9}" name="STRAHNET_HIGHWAY_100" dataDxfId="1854"/>
    <tableColumn id="150" xr3:uid="{95CE524B-0766-45A1-8A0F-D95F0EFEA3CA}" name="PARALLEL_STRUCTURE_101" dataDxfId="1853"/>
    <tableColumn id="151" xr3:uid="{BE2193E6-9514-4D02-A07F-8B0B19E8FEF8}" name="TRAFFIC_DIRECTION_102" dataDxfId="1852"/>
    <tableColumn id="152" xr3:uid="{352ABFE6-7462-47C0-9590-868C07B00C71}" name="TEMP_STRUCTURE_103" dataDxfId="1851"/>
    <tableColumn id="153" xr3:uid="{BBBEFC04-8DB1-4E3B-96EE-444B5881EFA0}" name="HIGHWAY_SYSTEM_104" dataDxfId="1850"/>
    <tableColumn id="154" xr3:uid="{134FD609-2681-4172-A19F-F63E2F905027}" name="FEDERAL_LANDS_105" dataDxfId="1849"/>
    <tableColumn id="155" xr3:uid="{82ED192C-2704-4226-837B-5485837AE978}" name="YEAR_RECONSTRUCTED_106" dataDxfId="1848"/>
    <tableColumn id="156" xr3:uid="{6921725D-95CD-4379-94F3-81503DFBE9CD}" name="DECK_STRUCTURE_TYPE_107" dataDxfId="1847"/>
    <tableColumn id="157" xr3:uid="{C0F02C04-A4DD-4EDE-A8FB-08CEA54EBBD4}" name="SURFACE_TYPE_108A" dataDxfId="1846"/>
    <tableColumn id="158" xr3:uid="{7F8687F6-B636-4440-9E54-F45741E971F3}" name="MEMBRANE_TYPE_108B" dataDxfId="1845"/>
    <tableColumn id="159" xr3:uid="{FCD319B4-9B61-4A42-B904-EC75A8D3ED3B}" name="DECK_PROTECTION_108C" dataDxfId="1844"/>
    <tableColumn id="160" xr3:uid="{19081DE2-389F-41E0-B5C9-6D7A3580AA87}" name="PERCENT_ADT_TRUCK_109" dataDxfId="1843"/>
    <tableColumn id="161" xr3:uid="{F684F58E-0428-43E8-83B0-3273622934DF}" name="NATIONAL_NETWORK_110" dataDxfId="1842"/>
    <tableColumn id="162" xr3:uid="{C1D52131-DCFF-47B6-94C9-D697F32D7099}" name="PIER_PROTECTION_111" dataDxfId="1841"/>
    <tableColumn id="163" xr3:uid="{51BA28CF-140B-4DBA-8243-C5FB83DB04E8}" name="BRIDGE_LEN_IND_112" dataDxfId="1840"/>
    <tableColumn id="164" xr3:uid="{DAF673F4-78F4-46A5-BE72-1477E69CA6AD}" name="SCOUR_CRITICAL_113" dataDxfId="1839"/>
    <tableColumn id="165" xr3:uid="{6158FA91-F487-4829-BFF5-913B4A6B0396}" name="FUTURE_ADT_114" dataDxfId="1838"/>
    <tableColumn id="166" xr3:uid="{F11775FA-EAC4-4C8E-96E8-BBA5177E7CAD}" name="YEAR_OF_FUTURE_ADT_115" dataDxfId="1837"/>
    <tableColumn id="167" xr3:uid="{DFFD13F7-A517-4CE1-BF22-27AC06A9C0D4}" name="MIN_NAV_CLR_MT_116" dataDxfId="1836"/>
    <tableColumn id="168" xr3:uid="{C2CE1CCE-2DEE-4A71-A5D9-53852FA08949}" name="FED_AGENCY" dataDxfId="1835"/>
    <tableColumn id="169" xr3:uid="{84199C05-DE20-4A87-A4A4-B89A1C379273}" name="SUBMITTED_BY" dataDxfId="1834"/>
    <tableColumn id="170" xr3:uid="{5640EA52-B84C-4CCA-8C52-B08985080087}" name="BRIDGE_CONDITION" dataDxfId="1833"/>
    <tableColumn id="171" xr3:uid="{832B5E36-30BA-4BC6-9A81-572277C96323}" name="LOWEST_RATING" dataDxfId="1832"/>
    <tableColumn id="172" xr3:uid="{662190BB-BF0B-45BC-A8C0-DF0DA828A43E}" name="DECK_AREA" dataDxfId="1831"/>
    <tableColumn id="173" xr3:uid="{936AE3E0-1A8F-49F5-85D3-4FAAB4E922F6}" name="Detour_Duration" dataDxfId="1830"/>
    <tableColumn id="174" xr3:uid="{D033159B-1504-4A10-9893-4DA418BD00B1}" name="Min_Unit_Rebuilding_Cost($/ft2)" dataDxfId="1829"/>
    <tableColumn id="175" xr3:uid="{99EE638D-7738-4562-8287-1CEF111E4B78}" name="Max_Unit_Rebuilding_Cost($/ft2)2" dataDxfId="1828"/>
    <tableColumn id="176" xr3:uid="{B52D4A05-27C7-4B15-BFDB-3691763EAD71}" name="Cost_Multiplier_for_Early_Replacement" dataDxfId="1827"/>
    <tableColumn id="177" xr3:uid="{786FE34D-3387-4F69-AE8B-D2D6FCF3D289}" name="Assumed_Number_of_Lives_Lost_in_Bridge_Failure" dataDxfId="1826"/>
    <tableColumn id="178" xr3:uid="{B09EFDCF-C916-4C95-9405-FBED1004E9DB}" name="HYRISK_Cost_of_Faliure_term1" dataDxfId="1825"/>
    <tableColumn id="179" xr3:uid="{8E77BC3E-1B4E-4990-A1E6-3165D187D79C}" name="HYRISK_Cost_of_Faliure_term2" dataDxfId="1824"/>
    <tableColumn id="180" xr3:uid="{C6965CD0-21D5-45EC-953C-B2E2AF7768DF}" name="HYRISK_Cost_of_Faliure_term3" dataDxfId="1823"/>
    <tableColumn id="181" xr3:uid="{FA9BA3FC-A4C7-473E-BE41-C55E287192D8}" name="HYRISK_Cost_of_Faliure_term4" dataDxfId="1822"/>
    <tableColumn id="285" xr3:uid="{6258BE4A-BBFF-4967-9885-148D32ECE71C}" name="HYRISK_Cost_of_Faliure_term5" dataDxfId="1821"/>
    <tableColumn id="286" xr3:uid="{37D58A6C-4989-4D2D-8AC0-933BB0B253A7}" name="Rating_decay" dataDxfId="1820">
      <calculatedColumnFormula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calculatedColumnFormula>
    </tableColumn>
    <tableColumn id="182" xr3:uid="{0E3BF0A7-8B1C-4E06-8706-9CDDFAC627C3}" name="Total_Cost_MUSD" dataDxfId="1819"/>
    <tableColumn id="186" xr3:uid="{0FC12F23-70FA-45BD-9A7B-1714F83E5F24}" name="Hazus_Failure_Prob_10" dataDxfId="1818"/>
    <tableColumn id="185" xr3:uid="{52154E96-C429-48E1-8FFE-4C7B787B36F1}" name="Hazus_Failure_Prob_50" dataDxfId="1817"/>
    <tableColumn id="184" xr3:uid="{AE4D0C9F-96DD-4713-AB56-1B42DB6FDEB0}" name="Hazus_Failure_Prob_100" dataDxfId="1816"/>
    <tableColumn id="183" xr3:uid="{CD3FFD5D-EEED-45FA-8E5E-6957E5FEFED4}" name="Hazus_Failure_Prob_500" dataDxfId="1815"/>
    <tableColumn id="187" xr3:uid="{D09F4869-E4B9-4AF0-BCE2-FB83D7F7C8A1}" name="Current_rating" dataDxfId="1814"/>
    <tableColumn id="283" xr3:uid="{141176C9-3F83-481A-94D2-FE81BC7E3326}" name="cost_repair_rating0" dataDxfId="1813">
      <calculatedColumnFormula>Sheet4!Q32*$GF2*1000000</calculatedColumnFormula>
    </tableColumn>
    <tableColumn id="192" xr3:uid="{145B646C-DBDA-4E0F-A9EF-5E56FF733ABA}" name="cost_repair_rating1" dataDxfId="1812">
      <calculatedColumnFormula>Sheet4!R32*$GF2*1000000</calculatedColumnFormula>
    </tableColumn>
    <tableColumn id="193" xr3:uid="{15D7CA70-3918-4AF4-A47B-74F705D333BA}" name="cost_repair_rating2" dataDxfId="1811">
      <calculatedColumnFormula>Sheet4!S32*$GF2*1000000</calculatedColumnFormula>
    </tableColumn>
    <tableColumn id="194" xr3:uid="{73DC447B-A5FF-4980-B86C-0A503B17BF2F}" name="cost_repair_rating3" dataDxfId="1810">
      <calculatedColumnFormula>Sheet4!T32*$GF2*1000000</calculatedColumnFormula>
    </tableColumn>
    <tableColumn id="195" xr3:uid="{F6363EEF-70B9-4A52-A8AF-D5D692D57F98}" name="cost_repair_rating4" dataDxfId="1809">
      <calculatedColumnFormula>Sheet4!U32*$GF2*1000000</calculatedColumnFormula>
    </tableColumn>
    <tableColumn id="196" xr3:uid="{C6896DC3-1EF9-4834-BD40-8DB997D3A562}" name="cost_repair_rating5" dataDxfId="1808">
      <calculatedColumnFormula>Sheet4!V32*$GF2*1000000</calculatedColumnFormula>
    </tableColumn>
    <tableColumn id="197" xr3:uid="{C3684851-40C7-4D46-92F4-4B5FBE90CDBB}" name="cost_repair_rating6" dataDxfId="1807">
      <calculatedColumnFormula>Sheet4!W32*$GF2*1000000</calculatedColumnFormula>
    </tableColumn>
    <tableColumn id="198" xr3:uid="{5C196ADF-9163-4D04-B8A0-B084E9ED7209}" name="cost_repair_rating7" dataDxfId="1806"/>
    <tableColumn id="199" xr3:uid="{E7515C6C-8939-49B2-9897-2BE3A70A3A20}" name="cost_repair_rating8" dataDxfId="1805"/>
    <tableColumn id="200" xr3:uid="{8F0B07D7-91A7-4680-B5CC-949CF6230E3A}" name="cost_repair_rating9" dataDxfId="1804"/>
    <tableColumn id="201" xr3:uid="{ADEF96CD-28C3-4A7B-901D-981C0402A5CC}" name="prob500-failure_rating1" dataDxfId="1803">
      <calculatedColumnFormula>2.5/100</calculatedColumnFormula>
    </tableColumn>
    <tableColumn id="202" xr3:uid="{20F0ACE1-81FC-47BC-88F2-E6065DCCAEA0}" name="prob500-failure_rating2" dataDxfId="1802"/>
    <tableColumn id="203" xr3:uid="{36DB91A1-4F22-431D-A04A-C761E80E76BE}" name="prob500-failure_rating3" dataDxfId="1801"/>
    <tableColumn id="204" xr3:uid="{7D0DA9D5-3DA1-4C76-976B-D8C3EB5E8DAD}" name="prob500-failure_rating4" dataDxfId="1800"/>
    <tableColumn id="205" xr3:uid="{5FDBD553-E5AA-48BC-8CC8-B1799CB6A0FF}" name="prob500-failure_rating5" dataDxfId="1799"/>
    <tableColumn id="206" xr3:uid="{D5A2B84C-D303-4E64-9E31-9EF04CADA860}" name="prob500-failure_rating6" dataDxfId="1798"/>
    <tableColumn id="207" xr3:uid="{4916F793-C263-4260-8405-99D3B5A20EC2}" name="prob500-failure_rating7" dataDxfId="1797"/>
    <tableColumn id="208" xr3:uid="{9F3BAF64-F3E2-46A4-ABB1-E13E24CA0670}" name="prob500-failure_rating8" dataDxfId="1796"/>
    <tableColumn id="209" xr3:uid="{36878F6E-89CE-445D-87D2-07CF61F6F56B}" name="prob500-failure_rating9" dataDxfId="1795"/>
    <tableColumn id="210" xr3:uid="{56912C3D-369B-42E8-A372-38F2C9A831D8}" name="prob100-failure_rating1" dataDxfId="1794">
      <calculatedColumnFormula>1.25/100</calculatedColumnFormula>
    </tableColumn>
    <tableColumn id="211" xr3:uid="{5432F6D4-3AF2-4DDA-989C-0A9724E2AC04}" name="prob100-failure_rating2" dataDxfId="1793"/>
    <tableColumn id="212" xr3:uid="{0134467B-E81B-450D-82F7-15D94785B25F}" name="prob100-failure_rating3" dataDxfId="1792"/>
    <tableColumn id="213" xr3:uid="{493EA08E-68AF-41DD-A112-82D1CF4DFC44}" name="prob100-failure_rating4" dataDxfId="1791"/>
    <tableColumn id="214" xr3:uid="{3838041C-F00D-4523-8EE1-0425E935A7AE}" name="prob100-failure_rating5" dataDxfId="1790"/>
    <tableColumn id="215" xr3:uid="{8DF86C05-A968-421E-9F6C-4C82A38BBFF5}" name="prob100-failure_rating6" dataDxfId="1789"/>
    <tableColumn id="216" xr3:uid="{BE96CE91-D2BF-4BE9-BA2F-5BF8F391F3AD}" name="prob100-failure_rating7" dataDxfId="1788"/>
    <tableColumn id="217" xr3:uid="{1C862EAF-1DD6-4CF5-A37E-E34B68679EB2}" name="prob100-failure_rating8" dataDxfId="1787"/>
    <tableColumn id="218" xr3:uid="{68CEBCA2-825F-4907-B60C-02C331AF2159}" name="prob100-failure_rating9" dataDxfId="1786"/>
    <tableColumn id="219" xr3:uid="{7B4B0303-468E-4DF9-9878-EF3AD107DFE7}" name="prob50-failure_rating1" dataDxfId="1785"/>
    <tableColumn id="220" xr3:uid="{A469B8D6-BEDD-4F2E-B017-A87B316D4301}" name="prob50-failure_rating2" dataDxfId="1784"/>
    <tableColumn id="221" xr3:uid="{51127419-8054-4C76-8F5D-61B23D7539B2}" name="prob50-failure_rating3" dataDxfId="1783"/>
    <tableColumn id="222" xr3:uid="{2428B5E6-C9DF-4FD5-BC9D-F5AA18488F96}" name="prob50-failure_rating4" dataDxfId="1782"/>
    <tableColumn id="223" xr3:uid="{F0EC9267-78A3-4F6D-BDFF-29522244C534}" name="prob50-failure_rating5" dataDxfId="1781"/>
    <tableColumn id="224" xr3:uid="{C3E1D7E8-51DB-4A54-8D25-9D7997548004}" name="prob50-failure_rating6" dataDxfId="1780"/>
    <tableColumn id="225" xr3:uid="{E501C1AC-169F-40D8-83DB-562A37809D7A}" name="prob50-failure_rating7" dataDxfId="1779"/>
    <tableColumn id="226" xr3:uid="{8760D491-3894-464C-95B8-11698F69E02B}" name="prob50-failure_rating8" dataDxfId="1778"/>
    <tableColumn id="227" xr3:uid="{DF44FB04-CA60-4E0C-8B79-662123EB34F6}" name="prob50-failure_rating9" dataDxfId="1777"/>
    <tableColumn id="228" xr3:uid="{90ED3A84-797E-46F9-AA06-EBC1894CA4CC}" name="prob10-failure_rating1" dataDxfId="1776"/>
    <tableColumn id="229" xr3:uid="{D14C5E19-3C8C-48BE-B06F-D769D1635221}" name="prob10-failure_rating2" dataDxfId="1775"/>
    <tableColumn id="230" xr3:uid="{76493EBD-D49B-4BE7-B0B5-3B3B3D50793A}" name="prob10-failure_rating3" dataDxfId="1774"/>
    <tableColumn id="231" xr3:uid="{D62C9BAF-0D24-4EFD-84B3-FA36B3BBCFA4}" name="prob10-failure_rating4" dataDxfId="1773"/>
    <tableColumn id="232" xr3:uid="{4C84038A-3976-4011-A4F5-7D422326AC4A}" name="prob10-failure_rating5" dataDxfId="1772"/>
    <tableColumn id="233" xr3:uid="{0B2F0009-23AC-429F-8500-6CB214AE912B}" name="prob10-failure_rating6" dataDxfId="1771"/>
    <tableColumn id="234" xr3:uid="{06524D83-FE7D-469D-9CE3-DB07F689866A}" name="prob10-failure_rating7" dataDxfId="1770"/>
    <tableColumn id="235" xr3:uid="{0CCDE352-2033-418B-B45A-68FFA0A1B9E5}" name="prob10-failure_rating8" dataDxfId="1769"/>
    <tableColumn id="236" xr3:uid="{0D994963-6653-4F11-A827-86F836CCF86E}" name="prob10-failure_rating9" dataDxfId="1768"/>
    <tableColumn id="237" xr3:uid="{DCD3CC26-8A63-44C9-8668-3E33E3F081BF}" name="failurecost500_rating1" dataDxfId="1767">
      <calculatedColumnFormula>Table156789[[#This Row],[Total_Cost_MUSD]]*1000000*Table156789[[#This Row],[prob500-failure_rating1]]/500</calculatedColumnFormula>
    </tableColumn>
    <tableColumn id="238" xr3:uid="{49091538-A51D-41BA-8BA4-9A271E445B2C}" name="failurecost500_rating2" dataDxfId="1766">
      <calculatedColumnFormula>Table156789[[#This Row],[Total_Cost_MUSD]]*1000000*Table156789[[#This Row],[prob500-failure_rating2]]/500</calculatedColumnFormula>
    </tableColumn>
    <tableColumn id="239" xr3:uid="{7B22ED9E-8AA0-4D47-8B04-7EBFBF30AD7E}" name="failurecost500_rating3" dataDxfId="1765">
      <calculatedColumnFormula>Table156789[[#This Row],[Total_Cost_MUSD]]*1000000*Table156789[[#This Row],[prob500-failure_rating3]]/500</calculatedColumnFormula>
    </tableColumn>
    <tableColumn id="240" xr3:uid="{C282E719-CA5B-48C0-B2DD-9DE0BC543D41}" name="failurecost500_rating4" dataDxfId="1764">
      <calculatedColumnFormula>Table156789[[#This Row],[Total_Cost_MUSD]]*1000000*Table156789[[#This Row],[prob500-failure_rating4]]/500</calculatedColumnFormula>
    </tableColumn>
    <tableColumn id="241" xr3:uid="{C041746B-26B3-46E7-96DD-066E9E8E06A1}" name="failurecost500_rating5" dataDxfId="1763">
      <calculatedColumnFormula>Table156789[[#This Row],[Total_Cost_MUSD]]*1000000*Table156789[[#This Row],[prob500-failure_rating5]]/500</calculatedColumnFormula>
    </tableColumn>
    <tableColumn id="242" xr3:uid="{26ABA023-9FDB-4694-AE03-45BA2F834900}" name="failurecost500_rating6" dataDxfId="1762">
      <calculatedColumnFormula>Table156789[[#This Row],[Total_Cost_MUSD]]*1000000*Table156789[[#This Row],[prob500-failure_rating6]]/500</calculatedColumnFormula>
    </tableColumn>
    <tableColumn id="243" xr3:uid="{D3C432E3-E5EC-4353-9CA8-70FC35E8C9DB}" name="failurecost500_rating7" dataDxfId="1761">
      <calculatedColumnFormula>Table156789[[#This Row],[Total_Cost_MUSD]]*1000000*Table156789[[#This Row],[prob500-failure_rating7]]/500</calculatedColumnFormula>
    </tableColumn>
    <tableColumn id="244" xr3:uid="{A0806693-F167-4087-ACF9-D54214D9C902}" name="failurecost500_rating8" dataDxfId="1760">
      <calculatedColumnFormula>Table156789[[#This Row],[Total_Cost_MUSD]]*1000000*Table156789[[#This Row],[prob500-failure_rating8]]/500</calculatedColumnFormula>
    </tableColumn>
    <tableColumn id="245" xr3:uid="{126680BE-A2FC-435B-9CE2-2E85F6E7F81D}" name="failurecost500_rating9" dataDxfId="1759">
      <calculatedColumnFormula>Table156789[[#This Row],[Total_Cost_MUSD]]*1000000*Table156789[[#This Row],[prob500-failure_rating9]]/500</calculatedColumnFormula>
    </tableColumn>
    <tableColumn id="246" xr3:uid="{14AB7A04-7A64-4C9E-9EAE-7953945D29E9}" name="failurecost100_rating1" dataDxfId="1758">
      <calculatedColumnFormula>Table156789[[#This Row],[Total_Cost_MUSD]]*1000000*Table156789[[#This Row],[prob100-failure_rating1]]/100</calculatedColumnFormula>
    </tableColumn>
    <tableColumn id="247" xr3:uid="{6F39768A-5AB1-436F-80D7-417A89EB29E6}" name="failurecost100_rating2" dataDxfId="1757">
      <calculatedColumnFormula>Table156789[[#This Row],[Total_Cost_MUSD]]*1000000*Table156789[[#This Row],[prob100-failure_rating2]]/100</calculatedColumnFormula>
    </tableColumn>
    <tableColumn id="248" xr3:uid="{CA168416-4055-4DE1-874D-55FB98E7871E}" name="failurecost100_rating3" dataDxfId="1756">
      <calculatedColumnFormula>Table156789[[#This Row],[Total_Cost_MUSD]]*1000000*Table156789[[#This Row],[prob100-failure_rating3]]/100</calculatedColumnFormula>
    </tableColumn>
    <tableColumn id="249" xr3:uid="{E7821CD2-B222-49DF-8514-2C940F93CC0E}" name="failurecost100_rating4" dataDxfId="1755">
      <calculatedColumnFormula>Table156789[[#This Row],[Total_Cost_MUSD]]*1000000*Table156789[[#This Row],[prob100-failure_rating4]]/100</calculatedColumnFormula>
    </tableColumn>
    <tableColumn id="250" xr3:uid="{EED9CBFE-EB16-4197-ADE3-58082F3A5257}" name="failurecost100_rating5" dataDxfId="1754">
      <calculatedColumnFormula>Table156789[[#This Row],[Total_Cost_MUSD]]*1000000*Table156789[[#This Row],[prob100-failure_rating5]]/100</calculatedColumnFormula>
    </tableColumn>
    <tableColumn id="251" xr3:uid="{4900A889-8BA1-437B-B99B-F656F4052968}" name="failurecost100_rating6" dataDxfId="1753">
      <calculatedColumnFormula>Table156789[[#This Row],[Total_Cost_MUSD]]*1000000*Table156789[[#This Row],[prob100-failure_rating6]]/100</calculatedColumnFormula>
    </tableColumn>
    <tableColumn id="252" xr3:uid="{AC0A8048-25B6-4D9E-B299-7D3D5804D6E2}" name="failurecost100_rating7" dataDxfId="1752">
      <calculatedColumnFormula>Table156789[[#This Row],[Total_Cost_MUSD]]*1000000*Table156789[[#This Row],[prob100-failure_rating7]]/100</calculatedColumnFormula>
    </tableColumn>
    <tableColumn id="253" xr3:uid="{7DC3A666-A185-4F56-9DBD-9800A69ED1C3}" name="failurecost100_rating8" dataDxfId="1751">
      <calculatedColumnFormula>Table156789[[#This Row],[Total_Cost_MUSD]]*1000000*Table156789[[#This Row],[prob100-failure_rating8]]/100</calculatedColumnFormula>
    </tableColumn>
    <tableColumn id="254" xr3:uid="{12416F04-489B-4D7A-8E35-0EBA6D26EC4B}" name="failurecost100_rating9" dataDxfId="1750">
      <calculatedColumnFormula>Table156789[[#This Row],[Total_Cost_MUSD]]*1000000*Table156789[[#This Row],[prob100-failure_rating9]]/100</calculatedColumnFormula>
    </tableColumn>
    <tableColumn id="255" xr3:uid="{AD642B07-B15F-4540-A1E3-5232296E30C3}" name="failurecost50_rating1" dataDxfId="1749">
      <calculatedColumnFormula>Table156789[[#This Row],[Total_Cost_MUSD]]*1000000*Table156789[[#This Row],[prob50-failure_rating1]]/50</calculatedColumnFormula>
    </tableColumn>
    <tableColumn id="256" xr3:uid="{0C2E553E-2D42-4FF0-B254-D6BD23AB5FB5}" name="failurecost50_rating2" dataDxfId="1748">
      <calculatedColumnFormula>Table156789[[#This Row],[Total_Cost_MUSD]]*1000000*Table156789[[#This Row],[prob50-failure_rating2]]/50</calculatedColumnFormula>
    </tableColumn>
    <tableColumn id="257" xr3:uid="{DDAF60AA-D0D1-4252-96F3-1BDAEA8F0EE3}" name="failurecost50_rating3" dataDxfId="1747">
      <calculatedColumnFormula>Table156789[[#This Row],[Total_Cost_MUSD]]*1000000*Table156789[[#This Row],[prob50-failure_rating3]]/50</calculatedColumnFormula>
    </tableColumn>
    <tableColumn id="258" xr3:uid="{3A551F1F-121E-4C50-ADB8-38F5D7FBBBB6}" name="failurecost50_rating4" dataDxfId="1746">
      <calculatedColumnFormula>Table156789[[#This Row],[Total_Cost_MUSD]]*1000000*Table156789[[#This Row],[prob50-failure_rating4]]/50</calculatedColumnFormula>
    </tableColumn>
    <tableColumn id="259" xr3:uid="{DC535FB6-80D1-43D5-8FAF-6A1715374082}" name="failurecost50_rating5" dataDxfId="1745">
      <calculatedColumnFormula>Table156789[[#This Row],[Total_Cost_MUSD]]*1000000*Table156789[[#This Row],[prob50-failure_rating5]]/50</calculatedColumnFormula>
    </tableColumn>
    <tableColumn id="260" xr3:uid="{5A838A7A-AE2A-4292-8FEB-BEC4B4455761}" name="failurecost50_rating6" dataDxfId="1744">
      <calculatedColumnFormula>Table156789[[#This Row],[Total_Cost_MUSD]]*1000000*Table156789[[#This Row],[prob50-failure_rating6]]/50</calculatedColumnFormula>
    </tableColumn>
    <tableColumn id="261" xr3:uid="{4A85F3C6-EB75-4866-BEE4-19ADC4432E4E}" name="failurecost50_rating7" dataDxfId="1743">
      <calculatedColumnFormula>Table156789[[#This Row],[Total_Cost_MUSD]]*1000000*Table156789[[#This Row],[prob50-failure_rating7]]/50</calculatedColumnFormula>
    </tableColumn>
    <tableColumn id="262" xr3:uid="{4F84DDAE-0C61-430E-B816-DB088A70AADD}" name="failurecost50_rating8" dataDxfId="1742">
      <calculatedColumnFormula>Table156789[[#This Row],[Total_Cost_MUSD]]*1000000*Table156789[[#This Row],[prob50-failure_rating8]]/50</calculatedColumnFormula>
    </tableColumn>
    <tableColumn id="263" xr3:uid="{7D9668AD-1774-47C7-AF7F-4982F6DFF651}" name="failurecost50_rating9" dataDxfId="1741">
      <calculatedColumnFormula>Table156789[[#This Row],[Total_Cost_MUSD]]*1000000*Table156789[[#This Row],[prob50-failure_rating9]]/50</calculatedColumnFormula>
    </tableColumn>
    <tableColumn id="273" xr3:uid="{84AB9BA6-3011-41BA-A06F-2075FF3D8F5B}" name="failurecost10_rating1" dataDxfId="1740">
      <calculatedColumnFormula>Table156789[[#This Row],[Total_Cost_MUSD]]*1000000*Table156789[[#This Row],[prob10-failure_rating1]]/10</calculatedColumnFormula>
    </tableColumn>
    <tableColumn id="274" xr3:uid="{B7829097-CD54-4B91-9011-396082558237}" name="failurecost10_rating2" dataDxfId="1739">
      <calculatedColumnFormula>Table156789[[#This Row],[Total_Cost_MUSD]]*1000000*Table156789[[#This Row],[prob10-failure_rating2]]/10</calculatedColumnFormula>
    </tableColumn>
    <tableColumn id="275" xr3:uid="{F74C7160-9AEE-4D46-B2A7-077F2D7B9014}" name="failurecost10_rating3" dataDxfId="1738">
      <calculatedColumnFormula>Table156789[[#This Row],[Total_Cost_MUSD]]*1000000*Table156789[[#This Row],[prob10-failure_rating3]]/10</calculatedColumnFormula>
    </tableColumn>
    <tableColumn id="276" xr3:uid="{C6CFD1E5-FEE8-46B5-A404-DD7B7ED924AF}" name="failurecost10_rating4" dataDxfId="1737">
      <calculatedColumnFormula>Table156789[[#This Row],[Total_Cost_MUSD]]*1000000*Table156789[[#This Row],[prob10-failure_rating4]]/10</calculatedColumnFormula>
    </tableColumn>
    <tableColumn id="277" xr3:uid="{A1305083-EB16-48AD-A4A0-47A6D2F3EB8C}" name="failurecost10_rating5" dataDxfId="1736">
      <calculatedColumnFormula>Table156789[[#This Row],[Total_Cost_MUSD]]*1000000*Table156789[[#This Row],[prob10-failure_rating5]]/10</calculatedColumnFormula>
    </tableColumn>
    <tableColumn id="278" xr3:uid="{85DF2E9E-68DE-46F0-BDC6-789FEB1C045A}" name="failurecost10_rating6" dataDxfId="1735">
      <calculatedColumnFormula>Table156789[[#This Row],[Total_Cost_MUSD]]*1000000*Table156789[[#This Row],[prob10-failure_rating6]]/10</calculatedColumnFormula>
    </tableColumn>
    <tableColumn id="279" xr3:uid="{EBBE72EE-A948-461C-9BD7-8565046C83CE}" name="failurecost10_rating7" dataDxfId="1734">
      <calculatedColumnFormula>Table156789[[#This Row],[Total_Cost_MUSD]]*1000000*Table156789[[#This Row],[prob10-failure_rating7]]/10</calculatedColumnFormula>
    </tableColumn>
    <tableColumn id="280" xr3:uid="{52C6B071-D49D-4612-82C1-410CC63E377F}" name="failurecost10_rating8" dataDxfId="1733">
      <calculatedColumnFormula>Table156789[[#This Row],[Total_Cost_MUSD]]*1000000*Table156789[[#This Row],[prob10-failure_rating8]]/10</calculatedColumnFormula>
    </tableColumn>
    <tableColumn id="281" xr3:uid="{91B2465C-3E52-436E-8726-ACCEA1F83069}" name="failurecost10_rating9" dataDxfId="1732">
      <calculatedColumnFormula>Table156789[[#This Row],[Total_Cost_MUSD]]*1000000*Table156789[[#This Row],[prob10-failure_rating9]]/10</calculatedColumnFormula>
    </tableColumn>
    <tableColumn id="282" xr3:uid="{71C7AC8C-231F-4C56-AED0-5ACAF6ADCFC2}" name="FailureCost_Rating0" dataDxfId="1731">
      <calculatedColumnFormula>Table156789[[#This Row],[FailureCost_Rating1]]</calculatedColumnFormula>
    </tableColumn>
    <tableColumn id="264" xr3:uid="{3594AACE-CE09-4006-A65A-6F56C4033ED3}" name="FailureCost_Rating1" dataDxfId="1730">
      <calculatedColumnFormula>Table156789[[#This Row],[FailureCost_Rating2]]</calculatedColumnFormula>
    </tableColumn>
    <tableColumn id="265" xr3:uid="{39ECBFCB-9B0E-435C-933B-4AAE7084A42E}" name="FailureCost_Rating2" dataDxfId="1729">
      <calculatedColumnFormula>(Table156789[[#This Row],[failurecost500_rating2]]+Table156789[[#This Row],[failurecost100_rating2]]+Table156789[[#This Row],[failurecost50_rating2]]+Table156789[[#This Row],[failurecost10_rating2]])</calculatedColumnFormula>
    </tableColumn>
    <tableColumn id="266" xr3:uid="{F0B3F49C-66F1-4285-920B-E0A74103CC4D}" name="FailureCost_Rating3" dataDxfId="1728">
      <calculatedColumnFormula>(Table156789[[#This Row],[failurecost500_rating3]]+Table156789[[#This Row],[failurecost100_rating3]]+Table156789[[#This Row],[failurecost50_rating3]]+Table156789[[#This Row],[failurecost10_rating3]])</calculatedColumnFormula>
    </tableColumn>
    <tableColumn id="267" xr3:uid="{D6B474CE-6AFC-48F8-9432-0EE51D2A3E69}" name="FailureCost_Rating4" dataDxfId="1727">
      <calculatedColumnFormula>(Table156789[[#This Row],[failurecost500_rating4]]+Table156789[[#This Row],[failurecost100_rating4]]+Table156789[[#This Row],[failurecost50_rating4]]+Table156789[[#This Row],[failurecost10_rating4]])</calculatedColumnFormula>
    </tableColumn>
    <tableColumn id="268" xr3:uid="{90D294BE-F7D1-4B72-9789-C63F70073EF1}" name="FailureCost_Rating5" dataDxfId="1726">
      <calculatedColumnFormula>(Table156789[[#This Row],[failurecost500_rating5]]+Table156789[[#This Row],[failurecost100_rating5]]+Table156789[[#This Row],[failurecost50_rating5]]+Table156789[[#This Row],[failurecost10_rating5]])</calculatedColumnFormula>
    </tableColumn>
    <tableColumn id="269" xr3:uid="{4C96917C-0907-42BD-8CFD-BC39DD350CBD}" name="FailureCost_Rating6" dataDxfId="1725">
      <calculatedColumnFormula>(Table156789[[#This Row],[failurecost500_rating6]]+Table156789[[#This Row],[failurecost100_rating6]]+Table156789[[#This Row],[failurecost50_rating6]]+Table156789[[#This Row],[failurecost10_rating6]])</calculatedColumnFormula>
    </tableColumn>
    <tableColumn id="270" xr3:uid="{EBE94DDB-7813-43B8-B1DD-DC48281F75E6}" name="FailureCost_Rating7" dataDxfId="1724">
      <calculatedColumnFormula>(Table156789[[#This Row],[failurecost500_rating7]]+Table156789[[#This Row],[failurecost100_rating7]]+Table156789[[#This Row],[failurecost50_rating7]]+Table156789[[#This Row],[failurecost10_rating7]])</calculatedColumnFormula>
    </tableColumn>
    <tableColumn id="271" xr3:uid="{0B487FAE-B055-4AEA-9A6A-F14ACA1B0D61}" name="FailureCost_Rating8" dataDxfId="1723">
      <calculatedColumnFormula>(Table156789[[#This Row],[failurecost500_rating8]]+Table156789[[#This Row],[failurecost100_rating8]]+Table156789[[#This Row],[failurecost50_rating8]]+Table156789[[#This Row],[failurecost10_rating8]])</calculatedColumnFormula>
    </tableColumn>
    <tableColumn id="272" xr3:uid="{CF570DC5-1E74-4FEB-AC1B-74E9209D9A00}" name="FailureCost_Rating9" dataDxfId="1722">
      <calculatedColumnFormula>(Table156789[[#This Row],[failurecost500_rating9]]+Table156789[[#This Row],[failurecost100_rating9]]+Table156789[[#This Row],[failurecost50_rating9]]+Table156789[[#This Row],[failurecost10_rating9]])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7B9771-96C8-4342-9B11-072E8E0AB5C3}" name="Table15678910" displayName="Table15678910" ref="A1:JY20" totalsRowShown="0" headerRowDxfId="1721" dataDxfId="1720">
  <autoFilter ref="A1:JY20" xr:uid="{1E05EA88-988A-4182-B643-40FC3C5FB242}"/>
  <tableColumns count="285">
    <tableColumn id="1" xr3:uid="{10C1E713-FBAE-4549-8DF1-69593AA8FD22}" name="Number" dataDxfId="1719"/>
    <tableColumn id="2" xr3:uid="{539F2827-C0F2-4937-BB73-0DCAB7B65BEE}" name="Structure Name" dataDxfId="1718"/>
    <tableColumn id="3" xr3:uid="{E2CF1A1A-7C14-4228-81AA-EC427339033B}" name="Body of water" dataDxfId="1717"/>
    <tableColumn id="4" xr3:uid="{3E72D17A-CA02-4777-BCD5-94BF767F24A5}" name="Lattitude" dataDxfId="1716"/>
    <tableColumn id="5" xr3:uid="{32821068-E28D-4C18-A190-5ABAAE066790}" name="Longitude" dataDxfId="1715"/>
    <tableColumn id="6" xr3:uid="{7C2EFAAE-F914-45D6-BD9C-1C19B48F9260}" name="Depth50" dataDxfId="1714"/>
    <tableColumn id="7" xr3:uid="{54E7FBED-8307-4DE8-A20D-CA523FF89130}" name="Depth10" dataDxfId="1713"/>
    <tableColumn id="8" xr3:uid="{E50F3AAF-2EFE-4C92-80DF-75EDA2BA6376}" name="Depth100" dataDxfId="1712"/>
    <tableColumn id="9" xr3:uid="{862AB9A8-9B8E-4292-B5CE-D1DD5A86591F}" name="Depth500" dataDxfId="1711"/>
    <tableColumn id="10" xr3:uid="{F30A1660-B2E2-4769-A4E4-8CB4EC72EED8}" name="Depth0_area" dataDxfId="1710"/>
    <tableColumn id="11" xr3:uid="{6E549BB2-816F-4043-91E9-E6C7E6B744EF}" name="Depth0_wet" dataDxfId="1709"/>
    <tableColumn id="12" xr3:uid="{FE823D47-7C6E-4FAF-B825-3B6C906C08AD}" name="Depth10_area" dataDxfId="1708"/>
    <tableColumn id="13" xr3:uid="{D6F6BE3E-23C4-4E3B-876D-E2EB148FFAC9}" name="Depth10_wet" dataDxfId="1707"/>
    <tableColumn id="14" xr3:uid="{14608E41-DED6-4640-BC71-9A1976C59FBA}" name="Depth50_area" dataDxfId="1706"/>
    <tableColumn id="15" xr3:uid="{5F6752C7-8DB2-43BC-9406-30704EBF789C}" name="Depth50_wet" dataDxfId="1705"/>
    <tableColumn id="16" xr3:uid="{73E714A6-5A75-4BD9-9DB3-FFBD14712E0D}" name="Depth100_area" dataDxfId="1704"/>
    <tableColumn id="17" xr3:uid="{07B98B48-555A-4F70-B370-CCB3B374213E}" name="Depth100_wet" dataDxfId="1703"/>
    <tableColumn id="18" xr3:uid="{8C68F668-2467-4CAF-9CCE-19D2C5156FD9}" name="Depth500_area" dataDxfId="1702"/>
    <tableColumn id="19" xr3:uid="{1D093568-7FA5-4F17-A70F-300117321E7C}" name="Depth500_wet" dataDxfId="1701"/>
    <tableColumn id="20" xr3:uid="{4C706336-D9F6-43DA-806A-378642E3FC10}" name="Depth0_HydraulicRadius" dataDxfId="1700"/>
    <tableColumn id="21" xr3:uid="{AEBF7944-E562-41C6-8890-04D12B7C354F}" name="Depth10_HydraulicRadius" dataDxfId="1699"/>
    <tableColumn id="22" xr3:uid="{394A3C7E-552A-4A03-B534-B4589C01F86C}" name="Depth50_HydraulicRadius" dataDxfId="1698"/>
    <tableColumn id="23" xr3:uid="{439CC786-3156-4DA1-9E2F-9B6275AFBC5D}" name="Depth100_HydraulicRadius" dataDxfId="1697"/>
    <tableColumn id="24" xr3:uid="{E8B68B29-AAC8-4AEF-A269-7041580C2D8D}" name="Depth500_HydraulicRadius" dataDxfId="1696"/>
    <tableColumn id="25" xr3:uid="{CED7A2A0-8A5C-4445-A6B5-60738940AD2B}" name="Slope" dataDxfId="1695"/>
    <tableColumn id="26" xr3:uid="{D675FBAA-15C6-404A-A567-F4C95E298B17}" name="Foundation_Depth" dataDxfId="1694"/>
    <tableColumn id="27" xr3:uid="{A6D006A8-6192-4528-87EB-3774037A54CD}" name="Depth10_velocity" dataDxfId="1693"/>
    <tableColumn id="28" xr3:uid="{4329BE25-DD06-4068-995C-DF8015AA4823}" name="Depth50_velocity" dataDxfId="1692"/>
    <tableColumn id="29" xr3:uid="{EEE47AAF-C282-4E67-AFE6-92089A8CB0DA}" name="Depth100_velocity" dataDxfId="1691"/>
    <tableColumn id="30" xr3:uid="{350187B5-56D2-4C3D-BA7A-A57E496FBEF7}" name="Depth500_velocity" dataDxfId="1690"/>
    <tableColumn id="31" xr3:uid="{30D116F6-F685-405D-87D0-298785C2C4DA}" name="Depth10_Froud" dataDxfId="1689"/>
    <tableColumn id="32" xr3:uid="{411A1F2D-9B1F-4053-85BE-D4C065FDEC54}" name="Depth50_Froud" dataDxfId="1688"/>
    <tableColumn id="33" xr3:uid="{0C055B05-A4F7-400D-8CF1-873F485E0F0E}" name="Depth100_Froud" dataDxfId="1687"/>
    <tableColumn id="34" xr3:uid="{882E13C3-6F5F-4BF7-A99A-995EE943C41F}" name="Depth500_Froud" dataDxfId="1686"/>
    <tableColumn id="35" xr3:uid="{6DB963FF-414A-4B81-B986-2BB5E70C045D}" name="Depth10_Scour" dataDxfId="1685"/>
    <tableColumn id="36" xr3:uid="{562D99E6-1FE1-4E15-942E-315E97801565}" name="Depth50_Scour" dataDxfId="1684"/>
    <tableColumn id="37" xr3:uid="{4F0697A4-9F58-47A2-B4BD-2D25DBE34A3F}" name="Depth100_Scour" dataDxfId="1683"/>
    <tableColumn id="38" xr3:uid="{B1FE82DB-9821-4927-BB2C-BDF736E7F9F9}" name="Depth500_Scour" dataDxfId="1682"/>
    <tableColumn id="39" xr3:uid="{02E38613-0AE9-49C0-89D4-37A65B4340AB}" name="Depth10_Soil_vol" dataDxfId="1681"/>
    <tableColumn id="40" xr3:uid="{31D41C8A-82A2-4FD3-94F1-72DEC485B24E}" name="Depth50_Soil_vol" dataDxfId="1680"/>
    <tableColumn id="41" xr3:uid="{FEFBF524-2576-4692-B29C-3DA2A9CCB37C}" name="Depth100_Soil_vol" dataDxfId="1679"/>
    <tableColumn id="42" xr3:uid="{34BA3A45-1203-4EA0-B361-579A4593650B}" name="Depth500_Soil_vol" dataDxfId="1678"/>
    <tableColumn id="191" xr3:uid="{BF997E88-E0B9-4E1A-A1E3-F1C379D57B09}" name="Depth10_cost" dataDxfId="1677">
      <calculatedColumnFormula>Table15678910[[#This Row],[Depth10_Soil_vol]]*(9.353+9.027)+(Table15678910[[#This Row],[Depth10_Soil_vol]]/2.5)*20*1.053+(PI()*Table15678910[[#This Row],[Depth10_Scour]])*Table15678910[[#This Row],[DECK_WIDTH_MT_052]]*1.062</calculatedColumnFormula>
    </tableColumn>
    <tableColumn id="190" xr3:uid="{FA2041BF-620F-4572-B50C-D1495FF845F0}" name="Depth50_cost" dataDxfId="1676">
      <calculatedColumnFormula>Table15678910[[#This Row],[Depth50_Soil_vol]]*(9.353+9.027)+(Table15678910[[#This Row],[Depth50_Soil_vol]]/2.5)*20*1.053+(PI()*Table15678910[[#This Row],[Depth50_Scour]])*Table15678910[[#This Row],[DECK_WIDTH_MT_052]]*1.062</calculatedColumnFormula>
    </tableColumn>
    <tableColumn id="189" xr3:uid="{7ABA16D6-D81C-4F0F-A95A-17240E52B529}" name="Depth100_cost" dataDxfId="1675">
      <calculatedColumnFormula>Table15678910[[#This Row],[Depth100_Soil_vol]]*(9.353+9.027)+(Table15678910[[#This Row],[Depth100_Soil_vol]]/2.5)*20*1.053+(PI()*Table15678910[[#This Row],[Depth100_Scour]])*Table15678910[[#This Row],[DECK_WIDTH_MT_052]]*1.062</calculatedColumnFormula>
    </tableColumn>
    <tableColumn id="188" xr3:uid="{78288421-395F-4E7E-9121-9BCC0854D4AE}" name="Depth500_cost" dataDxfId="1674">
      <calculatedColumnFormula>Table15678910[[#This Row],[Depth500_Soil_vol]]*(9.353+9.027)+(Table15678910[[#This Row],[Depth500_Soil_vol]]/2.5)*20*1.053+(PI()*Table15678910[[#This Row],[Depth500_Scour]])*Table15678910[[#This Row],[DECK_WIDTH_MT_052]]*1.062</calculatedColumnFormula>
    </tableColumn>
    <tableColumn id="43" xr3:uid="{426AAACF-9EEB-4B1F-B6A8-3392389FF9EA}" name="Foundation_Width" dataDxfId="1673"/>
    <tableColumn id="44" xr3:uid="{1100B773-B41A-418F-8F78-CD91D19D8861}" name="Foundation_length" dataDxfId="1672"/>
    <tableColumn id="45" xr3:uid="{108F6766-9735-49B0-864B-EABE36E6CA61}" name="Shape" dataDxfId="1671"/>
    <tableColumn id="46" xr3:uid="{C45F7BF1-C21D-435D-B10F-9F6D4B2574D9}" name="Depth10_Rating" dataDxfId="1670"/>
    <tableColumn id="47" xr3:uid="{ACACAB39-6651-43EA-8C8A-7E57AE67C965}" name="Depth50_Rating" dataDxfId="1669"/>
    <tableColumn id="48" xr3:uid="{0D602DBD-B653-442A-8DB5-AC6604037381}" name="Depth100_Rating" dataDxfId="1668"/>
    <tableColumn id="49" xr3:uid="{148F30F2-1100-431D-A314-AB7CA1E7CA46}" name="Depth500_Rating" dataDxfId="1667"/>
    <tableColumn id="50" xr3:uid="{EB3D144E-857A-4F56-8756-8C9147784691}" name="STATE_CODE_001" dataDxfId="1666"/>
    <tableColumn id="51" xr3:uid="{7FD3B432-D3F8-4461-9A97-51E73C5D6169}" name="STRUCTURE_NUMBER_008" dataDxfId="1665"/>
    <tableColumn id="52" xr3:uid="{6BA114B4-957B-4E71-9547-4EF3D71F62BA}" name="LAT_016" dataDxfId="1664"/>
    <tableColumn id="53" xr3:uid="{6E67ED7C-B1AA-4A4D-85BC-5E51BF01E20D}" name="LONG_017" dataDxfId="1663"/>
    <tableColumn id="54" xr3:uid="{1272D399-CC38-4CCE-8F76-0ADB0D8A7F75}" name="RECORD_TYPE_005A" dataDxfId="1662"/>
    <tableColumn id="55" xr3:uid="{8F753288-5FFB-488D-99EC-C223F5E6EC94}" name="ROUTE_PREFIX_005B" dataDxfId="1661"/>
    <tableColumn id="56" xr3:uid="{2284E825-658E-4F9F-851C-8753657665EE}" name="SERVICE_LEVEL_005C" dataDxfId="1660"/>
    <tableColumn id="57" xr3:uid="{E65F1A88-7374-480D-A798-3823EED02BEF}" name="ROUTE_NUMBER_005D" dataDxfId="1659"/>
    <tableColumn id="58" xr3:uid="{A70D6883-3CA6-43ED-A881-BCBF51E1D8CF}" name="DIRECTION_005E" dataDxfId="1658"/>
    <tableColumn id="59" xr3:uid="{6C6DEA49-2EC0-4318-83CD-0381F428E335}" name="HIGHWAY_DISTRICT_002" dataDxfId="1657"/>
    <tableColumn id="60" xr3:uid="{5F42C548-9F36-45DF-8959-5B5DFF1636A9}" name="COUNTY_CODE_003" dataDxfId="1656"/>
    <tableColumn id="61" xr3:uid="{CB44B98E-6A66-4827-BDD6-952F7E7796D2}" name="PLACE_CODE_004" dataDxfId="1655"/>
    <tableColumn id="62" xr3:uid="{16AAC4BC-F65F-47F4-961B-2F0B0F750A51}" name="FEATURES_DESC_006A" dataDxfId="1654"/>
    <tableColumn id="63" xr3:uid="{D389F1C2-BD10-4656-BD21-A0AEBB6F4B4C}" name="CRITICAL_FACILITY_006B" dataDxfId="1653"/>
    <tableColumn id="64" xr3:uid="{C9961D2D-C081-495C-BEFB-CDAF54E22C69}" name="FACILITY_CARRIED_007" dataDxfId="1652"/>
    <tableColumn id="65" xr3:uid="{A01CA544-FA33-475F-9A2C-9DEC0B35421E}" name="LOCATION_009" dataDxfId="1651"/>
    <tableColumn id="66" xr3:uid="{4F831957-562F-4160-8E0A-882F37B18296}" name="MIN_VERT_CLR_010" dataDxfId="1650"/>
    <tableColumn id="67" xr3:uid="{76A3B4F3-C45B-4DF5-A09D-5BE09A797FF1}" name="KILOPOINT_011" dataDxfId="1649"/>
    <tableColumn id="68" xr3:uid="{30BA59F8-93B3-4093-87F6-B4F19BF790E7}" name="BASE_HWY_NETWORK_012" dataDxfId="1648"/>
    <tableColumn id="69" xr3:uid="{5F5106DE-73DE-4B70-B9FD-4C8CAD7C062A}" name="LRS_INV_ROUTE_013A" dataDxfId="1647"/>
    <tableColumn id="70" xr3:uid="{ED9D8273-8CAF-4963-A764-4235D96DC560}" name="SUBROUTE_NO_013B" dataDxfId="1646"/>
    <tableColumn id="71" xr3:uid="{F00ABC3A-7FE3-470C-B60A-D480AA07BB1C}" name="DETOUR_KILOS_019" dataDxfId="1645"/>
    <tableColumn id="72" xr3:uid="{90F45752-CA00-498C-BB19-FF2DE042E8E8}" name="TOLL_020" dataDxfId="1644"/>
    <tableColumn id="73" xr3:uid="{EFC6A8DA-C8C3-4362-9A7E-E3507DA0CB0B}" name="MAINTENANCE_021" dataDxfId="1643"/>
    <tableColumn id="74" xr3:uid="{02F2EC4F-22D5-4D5B-BF6A-C9A1171EB941}" name="OWNER_022" dataDxfId="1642"/>
    <tableColumn id="75" xr3:uid="{126F82A8-6038-4B60-8E8E-662A7BEAAC8F}" name="FUNCTIONAL_CLASS_026" dataDxfId="1641"/>
    <tableColumn id="76" xr3:uid="{D3543AFA-03E2-42B8-9E4E-E8DEEAF4562D}" name="YEAR_BUILT_027" dataDxfId="1640"/>
    <tableColumn id="77" xr3:uid="{35B94F31-B490-42F1-87D8-8E9380749965}" name="TRAFFIC_LANES_ON_028A" dataDxfId="1639"/>
    <tableColumn id="78" xr3:uid="{FEBE9C1C-6A1E-4EF0-ADC5-3FD0BB232A6E}" name="TRAFFIC_LANES_UND_028B" dataDxfId="1638"/>
    <tableColumn id="79" xr3:uid="{06CCDA15-FC12-4456-81C3-4890F2E4679B}" name="ADT_029" dataDxfId="1637"/>
    <tableColumn id="80" xr3:uid="{9A51BE35-0CA9-4C74-B574-7880A25FB1F9}" name="YEAR_ADT_030" dataDxfId="1636"/>
    <tableColumn id="81" xr3:uid="{F08B3AAB-8068-4748-8C11-F2CAAF97E107}" name="DESIGN_LOAD_031" dataDxfId="1635"/>
    <tableColumn id="82" xr3:uid="{BBDE15B6-2A98-4710-BDAB-B6F2AFB8C144}" name="APPR_WIDTH_MT_032" dataDxfId="1634"/>
    <tableColumn id="83" xr3:uid="{E374BB83-3D1D-41B6-96EB-3971CF455855}" name="MEDIAN_CODE_033" dataDxfId="1633"/>
    <tableColumn id="84" xr3:uid="{9398D0AA-431E-4C9F-81D6-CBF2E1131328}" name="DEGREES_SKEW_034" dataDxfId="1632"/>
    <tableColumn id="85" xr3:uid="{6D346546-09F0-4992-AA0F-2E56598BBFBC}" name="STRUCTURE_FLARED_035" dataDxfId="1631"/>
    <tableColumn id="86" xr3:uid="{C191AD12-33E6-4E72-85D7-EC424ED848A2}" name="RAILINGS_036A" dataDxfId="1630"/>
    <tableColumn id="87" xr3:uid="{EF514278-CA4B-47C3-9FF8-62BBD7FC71D1}" name="TRANSITIONS_036B" dataDxfId="1629"/>
    <tableColumn id="88" xr3:uid="{B6A75334-BFA5-4DD5-BBA2-BF4F36FBBF9F}" name="APPR_RAIL_036C" dataDxfId="1628"/>
    <tableColumn id="89" xr3:uid="{B79E8220-2FFB-4989-9314-F270FDD5C681}" name="APPR_RAIL_END_036D" dataDxfId="1627"/>
    <tableColumn id="90" xr3:uid="{D8C93C2B-D0D2-4B78-AFA7-FFD14143B605}" name="HISTORY_037" dataDxfId="1626"/>
    <tableColumn id="91" xr3:uid="{7BECEC76-23F1-47CD-BC76-BDDE48AD8826}" name="NAVIGATION_038" dataDxfId="1625"/>
    <tableColumn id="92" xr3:uid="{62ED1887-12E8-430E-8776-CCD50D2DAB61}" name="NAV_VERT_CLR_MT_039" dataDxfId="1624"/>
    <tableColumn id="93" xr3:uid="{CA5D60B2-B4B1-4BEB-A8CF-CF7E670E0D03}" name="NAV_HORR_CLR_MT_040" dataDxfId="1623"/>
    <tableColumn id="94" xr3:uid="{73EB1394-5085-4FF2-A38F-6503722A1209}" name="OPEN_CLOSED_POSTED_041" dataDxfId="1622"/>
    <tableColumn id="95" xr3:uid="{07DEA8B6-A597-410D-9560-8A746CF4F35E}" name="SERVICE_ON_042A" dataDxfId="1621"/>
    <tableColumn id="96" xr3:uid="{272E388E-208F-4D37-9A9B-655A6BCAD805}" name="SERVICE_UND_042B" dataDxfId="1620"/>
    <tableColumn id="97" xr3:uid="{E53D1578-B6E2-4DC9-A09C-57F5A6D0B4E8}" name="STRUCTURE_KIND_043A" dataDxfId="1619"/>
    <tableColumn id="98" xr3:uid="{E43E8623-921F-4E8A-A385-D60346FF9620}" name="STRUCTURE_TYPE_043B" dataDxfId="1618"/>
    <tableColumn id="99" xr3:uid="{81685116-F3CC-42B4-855D-06FBBBE61455}" name="APPR_KIND_044A" dataDxfId="1617"/>
    <tableColumn id="100" xr3:uid="{F5287C6D-8D52-4988-8BCF-EFEDC4544887}" name="APPR_TYPE_044B" dataDxfId="1616"/>
    <tableColumn id="101" xr3:uid="{EF66BA4F-56C5-415A-A71E-37B77FC0738B}" name="MAIN_UNIT_SPANS_045" dataDxfId="1615"/>
    <tableColumn id="102" xr3:uid="{79EF6371-A61E-45B7-ACFB-E9F83270AFC1}" name="APPR_SPANS_046" dataDxfId="1614"/>
    <tableColumn id="103" xr3:uid="{ACB5D6D6-ECFA-4245-AFC0-8B3DD9A7B2F2}" name="HORR_CLR_MT_047" dataDxfId="1613"/>
    <tableColumn id="104" xr3:uid="{9411248B-00BB-4E38-ACC1-592D0EFA080C}" name="MAX_SPAN_LEN_MT_048" dataDxfId="1612"/>
    <tableColumn id="105" xr3:uid="{015D4E2C-3183-4562-B807-F4813796BD9B}" name="STRUCTURE_LEN_MT_049" dataDxfId="1611"/>
    <tableColumn id="106" xr3:uid="{E309C72C-C841-4059-A82F-C8A7A0F9C368}" name="LEFT_CURB_MT_050A" dataDxfId="1610"/>
    <tableColumn id="107" xr3:uid="{9D1A09D7-2E63-4A65-ABF1-C3F26D8DE9D9}" name="RIGHT_CURB_MT_050B" dataDxfId="1609"/>
    <tableColumn id="108" xr3:uid="{C9CAB9FB-3390-45FC-8647-454A23A9E0E5}" name="ROADWAY_WIDTH_MT_051" dataDxfId="1608"/>
    <tableColumn id="109" xr3:uid="{A66C0043-1C0C-49C8-B569-E9706F7B7741}" name="DECK_WIDTH_MT_052" dataDxfId="1607"/>
    <tableColumn id="110" xr3:uid="{01FB37BA-F151-4E9B-AB42-9C1E6BB03763}" name="VERT_CLR_OVER_MT_053" dataDxfId="1606"/>
    <tableColumn id="111" xr3:uid="{2341F040-0C05-4697-B4E4-434A0B35BF76}" name="VERT_CLR_UND_REF_054A" dataDxfId="1605"/>
    <tableColumn id="112" xr3:uid="{74E3AB0F-B7A0-47A9-A9B5-BAE9B142A5F7}" name="VERT_CLR_UND_054B" dataDxfId="1604"/>
    <tableColumn id="113" xr3:uid="{C80D4801-EEB9-45D0-B86D-E9A0CEE422B5}" name="LAT_UND_REF_055A" dataDxfId="1603"/>
    <tableColumn id="114" xr3:uid="{88162F45-59C2-425D-84CB-98656A6A7553}" name="LAT_UND_MT_055B" dataDxfId="1602"/>
    <tableColumn id="115" xr3:uid="{BF48C010-8396-441B-AB97-F03E71D47771}" name="LEFT_LAT_UND_MT_056" dataDxfId="1601"/>
    <tableColumn id="116" xr3:uid="{0A2B5FC5-72C4-44C3-BC49-E39E70A8AB0A}" name="DECK_COND_058" dataDxfId="1600"/>
    <tableColumn id="117" xr3:uid="{E0A333EC-34A6-4D3E-A853-0AA1DF3AA784}" name="SUPERSTRUCTURE_COND_059" dataDxfId="1599"/>
    <tableColumn id="118" xr3:uid="{B8BD01D5-0E20-4F10-A700-193726FD0FF8}" name="SUBSTRUCTURE_COND_060" dataDxfId="1598"/>
    <tableColumn id="119" xr3:uid="{5B4B85F9-4D29-4FB1-8084-8E823B7D54C1}" name="CHANNEL_COND_061" dataDxfId="1597"/>
    <tableColumn id="120" xr3:uid="{FDA0934D-A3FF-4956-80A2-FB8443F42D68}" name="CULVERT_COND_062" dataDxfId="1596"/>
    <tableColumn id="121" xr3:uid="{F846B545-AB7E-45A0-ADB6-86746DEA967B}" name="OPR_RATING_METH_063" dataDxfId="1595"/>
    <tableColumn id="122" xr3:uid="{7D8E67AF-C067-4C4D-AA55-30BCFAB8A779}" name="OPERATING_RATING_064" dataDxfId="1594"/>
    <tableColumn id="123" xr3:uid="{41CC3E1A-A781-4D7A-A75C-B0E48FC3C2A2}" name="INV_RATING_METH_065" dataDxfId="1593"/>
    <tableColumn id="124" xr3:uid="{11DD3A16-AB05-4EB3-852F-5F4E764EC0FB}" name="INVENTORY_RATING_066" dataDxfId="1592"/>
    <tableColumn id="125" xr3:uid="{D6991678-0570-4873-AABB-F4AD4356CF7C}" name="STRUCTURAL_EVAL_067" dataDxfId="1591"/>
    <tableColumn id="126" xr3:uid="{295578A7-5016-4940-A31B-F5D376E73A13}" name="DECK_GEOMETRY_EVAL_068" dataDxfId="1590"/>
    <tableColumn id="127" xr3:uid="{764BEDDB-6BED-4A8C-A5A8-0ECC67898C25}" name="UNDCLRENCE_EVAL_069" dataDxfId="1589"/>
    <tableColumn id="128" xr3:uid="{ECD24B60-829F-4409-B564-09B2C4274D08}" name="POSTING_EVAL_070" dataDxfId="1588"/>
    <tableColumn id="129" xr3:uid="{1C5DD456-754C-45EC-9BB3-B8BD01FD1184}" name="WATERWAY_EVAL_071" dataDxfId="1587"/>
    <tableColumn id="130" xr3:uid="{B2DBE519-2E40-4006-A7F2-FC1B71FBEFC8}" name="APPR_ROAD_EVAL_072" dataDxfId="1586"/>
    <tableColumn id="131" xr3:uid="{B29D7A69-73EF-4A44-9E3B-51864BEE1ED3}" name="WORK_PROPOSED_075A" dataDxfId="1585"/>
    <tableColumn id="132" xr3:uid="{915EB265-59DA-49D4-8E4F-886C4C68686E}" name="WORK_DONE_BY_075B" dataDxfId="1584"/>
    <tableColumn id="133" xr3:uid="{95477A46-9E67-4E09-9007-BA195D720EC0}" name="IMP_LEN_MT_076" dataDxfId="1583"/>
    <tableColumn id="134" xr3:uid="{E2A7F6F2-D402-4A0D-A26B-8F51CF94DEE5}" name="DATE_OF_INSPECT_090" dataDxfId="1582"/>
    <tableColumn id="135" xr3:uid="{DCB46CC5-AB62-44C9-9E6E-4F0E42270D2E}" name="INSPECT_FREQ_MONTHS_091" dataDxfId="1581"/>
    <tableColumn id="136" xr3:uid="{15A697A4-CADC-45A5-B514-A3D82E6380C0}" name="FRACTURE_092A" dataDxfId="1580"/>
    <tableColumn id="137" xr3:uid="{CCE05BC8-EB9D-4ADB-BAEF-C05A57B329A7}" name="UNDWATER_LOOK_SEE_092B" dataDxfId="1579"/>
    <tableColumn id="138" xr3:uid="{3EA16AD6-E42A-4DDC-BD81-2498A5757AD9}" name="SPEC_INSPECT_092C" dataDxfId="1578"/>
    <tableColumn id="139" xr3:uid="{2B6432A1-2480-4529-8A5B-8B35D22E7FE2}" name="FRACTURE_LAST_DATE_093A" dataDxfId="1577"/>
    <tableColumn id="140" xr3:uid="{C59A6970-39C5-4FA0-AB67-49251BFFC5C8}" name="UNDWATER_LAST_DATE_093B" dataDxfId="1576"/>
    <tableColumn id="141" xr3:uid="{25FC3860-B456-488A-B8F2-90DF54BA2051}" name="SPEC_LAST_DATE_093C" dataDxfId="1575"/>
    <tableColumn id="142" xr3:uid="{9461CCFE-070E-432F-9BA6-BDC569F90E17}" name="BRIDGE_IMP_COST_094" dataDxfId="1574"/>
    <tableColumn id="143" xr3:uid="{AE227EDF-6398-46FA-8EE9-5AF561AEF800}" name="ROADWAY_IMP_COST_095" dataDxfId="1573"/>
    <tableColumn id="144" xr3:uid="{4007C1E9-C7F9-4113-B314-EA6406E75F3D}" name="TOTAL_IMP_COST_096" dataDxfId="1572"/>
    <tableColumn id="145" xr3:uid="{80DEBDFB-5EC0-4841-94EC-11A959A98F9A}" name="YEAR_OF_IMP_097" dataDxfId="1571"/>
    <tableColumn id="146" xr3:uid="{F326EEC0-5DCA-4030-A622-A6BBFF440B6A}" name="OTHER_STATE_CODE_098A" dataDxfId="1570"/>
    <tableColumn id="147" xr3:uid="{D471D0F8-9A3D-4C5A-900B-9493972BB2A5}" name="OTHER_STATE_PCNT_098B" dataDxfId="1569"/>
    <tableColumn id="148" xr3:uid="{98EDE80F-3F16-4C60-B2C7-4B16E6E88EFC}" name="OTHR_STATE_STRUC_NO_099" dataDxfId="1568"/>
    <tableColumn id="149" xr3:uid="{EB1DBCD7-79FE-44F3-B894-401FD6C2BBFE}" name="STRAHNET_HIGHWAY_100" dataDxfId="1567"/>
    <tableColumn id="150" xr3:uid="{5DEF10AA-19E5-4B3A-AA76-3A53EE0695C8}" name="PARALLEL_STRUCTURE_101" dataDxfId="1566"/>
    <tableColumn id="151" xr3:uid="{73014780-4517-43C5-B0C3-2F45DAA8E184}" name="TRAFFIC_DIRECTION_102" dataDxfId="1565"/>
    <tableColumn id="152" xr3:uid="{7CFC791B-39BD-43E3-8D1F-6B1F2F6BE222}" name="TEMP_STRUCTURE_103" dataDxfId="1564"/>
    <tableColumn id="153" xr3:uid="{B361189E-E2D7-4D1D-8F08-B4B68100E07A}" name="HIGHWAY_SYSTEM_104" dataDxfId="1563"/>
    <tableColumn id="154" xr3:uid="{047781EF-6036-4F0F-869B-7B43448176D5}" name="FEDERAL_LANDS_105" dataDxfId="1562"/>
    <tableColumn id="155" xr3:uid="{078E0DA4-3C6C-4793-99CA-A408753A8E57}" name="YEAR_RECONSTRUCTED_106" dataDxfId="1561"/>
    <tableColumn id="156" xr3:uid="{D320A97D-6199-4F0A-B751-707C3D5D9E54}" name="DECK_STRUCTURE_TYPE_107" dataDxfId="1560"/>
    <tableColumn id="157" xr3:uid="{771F056B-C92D-45D9-B68F-CC8E06CC59D6}" name="SURFACE_TYPE_108A" dataDxfId="1559"/>
    <tableColumn id="158" xr3:uid="{4511F218-4A29-4351-9243-B5D01B821204}" name="MEMBRANE_TYPE_108B" dataDxfId="1558"/>
    <tableColumn id="159" xr3:uid="{DAE32F17-965A-4DB1-A9DA-7414D1D4F46B}" name="DECK_PROTECTION_108C" dataDxfId="1557"/>
    <tableColumn id="160" xr3:uid="{7D14DDC6-DDAC-46CE-963D-899DCDFF63B1}" name="PERCENT_ADT_TRUCK_109" dataDxfId="1556"/>
    <tableColumn id="161" xr3:uid="{F164A439-830C-4562-8190-8406E16A0A70}" name="NATIONAL_NETWORK_110" dataDxfId="1555"/>
    <tableColumn id="162" xr3:uid="{6FCD8176-7922-4A67-BA2F-ABE1337CD763}" name="PIER_PROTECTION_111" dataDxfId="1554"/>
    <tableColumn id="163" xr3:uid="{AD993A2C-074A-4F4F-B10C-8CA3B834A2B7}" name="BRIDGE_LEN_IND_112" dataDxfId="1553"/>
    <tableColumn id="164" xr3:uid="{76715DC1-9F2E-49F5-9376-F3D5D80D56A2}" name="SCOUR_CRITICAL_113" dataDxfId="1552"/>
    <tableColumn id="165" xr3:uid="{2C876A00-6AE9-48A7-B530-4DCCFF6E23F5}" name="FUTURE_ADT_114" dataDxfId="1551"/>
    <tableColumn id="166" xr3:uid="{F3A66E3D-F47C-488D-B562-1B8D8D2425FC}" name="YEAR_OF_FUTURE_ADT_115" dataDxfId="1550"/>
    <tableColumn id="167" xr3:uid="{E03561FF-6E15-40DA-A609-007B60B2786C}" name="MIN_NAV_CLR_MT_116" dataDxfId="1549"/>
    <tableColumn id="168" xr3:uid="{1891CA05-3162-4920-89EE-F88CCBD427A0}" name="FED_AGENCY" dataDxfId="1548"/>
    <tableColumn id="169" xr3:uid="{1F42DC37-3987-46E9-881D-4EE6274D6746}" name="SUBMITTED_BY" dataDxfId="1547"/>
    <tableColumn id="170" xr3:uid="{3FE348D7-8223-42E2-8AA4-84BF7186E408}" name="BRIDGE_CONDITION" dataDxfId="1546"/>
    <tableColumn id="171" xr3:uid="{B1E36E85-039E-4FBA-9632-02F8649193C5}" name="LOWEST_RATING" dataDxfId="1545"/>
    <tableColumn id="172" xr3:uid="{6637C395-B7C3-4D50-ACC7-74EDB2EB4722}" name="DECK_AREA" dataDxfId="1544"/>
    <tableColumn id="173" xr3:uid="{35103C66-75FC-4F1E-AE70-2D5772E77F0C}" name="Detour_Duration" dataDxfId="1543"/>
    <tableColumn id="174" xr3:uid="{20C0C209-6945-4E56-99E1-6D8A6D921D90}" name="Min_Unit_Rebuilding_Cost($/ft2)" dataDxfId="1542"/>
    <tableColumn id="175" xr3:uid="{AAA7E7CE-5B1A-4B7B-8F76-E4E2EA10BE08}" name="Max_Unit_Rebuilding_Cost($/ft2)2" dataDxfId="1541"/>
    <tableColumn id="176" xr3:uid="{8A93EAB0-852B-47CD-A2FD-EDA4A56054D3}" name="Cost_Multiplier_for_Early_Replacement" dataDxfId="1540"/>
    <tableColumn id="177" xr3:uid="{3D225BBD-7BDB-4710-B0FA-F63C1869D9DB}" name="Assumed_Number_of_Lives_Lost_in_Bridge_Failure" dataDxfId="1539"/>
    <tableColumn id="178" xr3:uid="{97A2A27E-0FDC-4AA7-B3E8-3EC9F0E67AFB}" name="HYRISK_Cost_of_Faliure_term1" dataDxfId="1538"/>
    <tableColumn id="179" xr3:uid="{1F6D45B7-FF94-4CA7-AC1E-D1707DF504C8}" name="HYRISK_Cost_of_Faliure_term2" dataDxfId="1537"/>
    <tableColumn id="180" xr3:uid="{29729CDA-826A-4611-BAA9-CB4EC3687009}" name="HYRISK_Cost_of_Faliure_term3" dataDxfId="1536"/>
    <tableColumn id="181" xr3:uid="{18594A5C-7395-4363-BAD0-668B84CF3ACC}" name="HYRISK_Cost_of_Faliure_term4" dataDxfId="1535"/>
    <tableColumn id="285" xr3:uid="{016A4C41-5813-45D6-99EE-69B62B0126C5}" name="HYRISK_Cost_of_Faliure_term5" dataDxfId="1534"/>
    <tableColumn id="286" xr3:uid="{B93BAFE9-6AD2-45FC-A671-8DC818934A5A}" name="Rating_decay" dataDxfId="1533">
      <calculatedColumnFormula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calculatedColumnFormula>
    </tableColumn>
    <tableColumn id="182" xr3:uid="{90838C15-8E8C-4748-8A14-D34AEC4C14CB}" name="Total_Cost_MUSD" dataDxfId="1532"/>
    <tableColumn id="186" xr3:uid="{77001BBE-F8EE-4BEA-913F-B712F0E8B082}" name="Hazus_Failure_Prob_10" dataDxfId="1531"/>
    <tableColumn id="185" xr3:uid="{37B715EF-BC21-44EA-869D-14E70F9DE110}" name="Hazus_Failure_Prob_50" dataDxfId="1530"/>
    <tableColumn id="184" xr3:uid="{B19853F3-191C-4084-816C-11230F48DCE9}" name="Hazus_Failure_Prob_100" dataDxfId="1529"/>
    <tableColumn id="183" xr3:uid="{B8EFCA22-7A6B-4773-A971-6461D8D1E413}" name="Hazus_Failure_Prob_500" dataDxfId="1528"/>
    <tableColumn id="187" xr3:uid="{2B3B0EC7-25DA-462B-ABE9-E4568F602A05}" name="Current_rating" dataDxfId="1527"/>
    <tableColumn id="283" xr3:uid="{90A4ADC6-C3D1-4BB0-9235-407DACEF0F8F}" name="cost_repair_rating0" dataDxfId="1526">
      <calculatedColumnFormula>Sheet4!Q32*$GF$2</calculatedColumnFormula>
    </tableColumn>
    <tableColumn id="192" xr3:uid="{F389F0C3-B44B-4EE0-93F7-F78BAFB73AF4}" name="cost_repair_rating1" dataDxfId="1525">
      <calculatedColumnFormula>Sheet4!R32*$GF$2</calculatedColumnFormula>
    </tableColumn>
    <tableColumn id="193" xr3:uid="{C15C69A3-B2EF-484C-97B9-54525519264E}" name="cost_repair_rating2" dataDxfId="1524">
      <calculatedColumnFormula>Sheet4!S32*$GF$2</calculatedColumnFormula>
    </tableColumn>
    <tableColumn id="194" xr3:uid="{4EC1726C-3968-41F0-AE4B-7ADB301464B6}" name="cost_repair_rating3" dataDxfId="1523">
      <calculatedColumnFormula>Sheet4!T32*$GF$2</calculatedColumnFormula>
    </tableColumn>
    <tableColumn id="195" xr3:uid="{D1278C24-AC90-40C7-8218-0B871AF9B5B9}" name="cost_repair_rating4" dataDxfId="1522">
      <calculatedColumnFormula>Sheet4!U32*$GF$2</calculatedColumnFormula>
    </tableColumn>
    <tableColumn id="196" xr3:uid="{50F4CE70-4DAF-4658-ABF4-75D6C813C5B6}" name="cost_repair_rating5" dataDxfId="1521">
      <calculatedColumnFormula>Sheet4!V32*$GF$2</calculatedColumnFormula>
    </tableColumn>
    <tableColumn id="197" xr3:uid="{649CC275-221B-491E-BE3A-9961782A1567}" name="cost_repair_rating6" dataDxfId="1520">
      <calculatedColumnFormula>Sheet4!W32*$GF$2</calculatedColumnFormula>
    </tableColumn>
    <tableColumn id="198" xr3:uid="{BC57A346-75E0-4D19-BAA0-AA89DEBA1DE3}" name="cost_repair_rating7" dataDxfId="1519"/>
    <tableColumn id="199" xr3:uid="{CBB2C540-47C4-4D4C-B0D2-A68EA74B02C6}" name="cost_repair_rating8" dataDxfId="1518"/>
    <tableColumn id="200" xr3:uid="{4E4A4879-0B8D-4BB8-B857-EAFDB27528ED}" name="cost_repair_rating9" dataDxfId="1517"/>
    <tableColumn id="201" xr3:uid="{B79155D8-9F59-424F-92DC-5841849502CB}" name="prob500-failure_rating1" dataDxfId="1516">
      <calculatedColumnFormula>2.5/100</calculatedColumnFormula>
    </tableColumn>
    <tableColumn id="202" xr3:uid="{F5BD6CE1-AB67-4F6B-BA2F-0D155A680F5E}" name="prob500-failure_rating2" dataDxfId="1515"/>
    <tableColumn id="203" xr3:uid="{E743C376-7D12-49E0-BDBD-BED9B2ADA917}" name="prob500-failure_rating3" dataDxfId="1514"/>
    <tableColumn id="204" xr3:uid="{454DDCB5-F70E-4620-8030-52AEBC870013}" name="prob500-failure_rating4" dataDxfId="1513"/>
    <tableColumn id="205" xr3:uid="{469EC84B-CFA0-4712-8344-4D9BF208A321}" name="prob500-failure_rating5" dataDxfId="1512"/>
    <tableColumn id="206" xr3:uid="{A86B00BF-56D5-48B1-A3DD-E08706304273}" name="prob500-failure_rating6" dataDxfId="1511"/>
    <tableColumn id="207" xr3:uid="{DBBB0E7B-3D8E-4251-99EE-5DB995AEC5DC}" name="prob500-failure_rating7" dataDxfId="1510"/>
    <tableColumn id="208" xr3:uid="{5D47A376-E44D-4BFF-BB9D-D83492E1BCF6}" name="prob500-failure_rating8" dataDxfId="1509"/>
    <tableColumn id="209" xr3:uid="{A0B5BBF4-5F23-4985-BA3A-E5CF46B1D4A7}" name="prob500-failure_rating9" dataDxfId="1508"/>
    <tableColumn id="210" xr3:uid="{3375CA71-8249-43D2-A788-44755F393D14}" name="prob100-failure_rating1" dataDxfId="1507">
      <calculatedColumnFormula>1.25/100</calculatedColumnFormula>
    </tableColumn>
    <tableColumn id="211" xr3:uid="{7C924AD9-AEC3-4317-B99B-5188532F3D35}" name="prob100-failure_rating2" dataDxfId="1506"/>
    <tableColumn id="212" xr3:uid="{B9A917D4-D770-469E-9061-FE5710B37410}" name="prob100-failure_rating3" dataDxfId="1505"/>
    <tableColumn id="213" xr3:uid="{4ED79823-C190-4AEA-8832-08E52B4BEDCD}" name="prob100-failure_rating4" dataDxfId="1504"/>
    <tableColumn id="214" xr3:uid="{DA5E0153-F426-43F0-B6E6-4A6C088A7195}" name="prob100-failure_rating5" dataDxfId="1503"/>
    <tableColumn id="215" xr3:uid="{64CBB110-C866-4149-A92B-47BDAA4E0787}" name="prob100-failure_rating6" dataDxfId="1502"/>
    <tableColumn id="216" xr3:uid="{64E176BA-F7B7-4A13-BD32-D1572E7D50A9}" name="prob100-failure_rating7" dataDxfId="1501"/>
    <tableColumn id="217" xr3:uid="{0A0DCAB6-0057-4C98-99EC-8EDC6EE2E692}" name="prob100-failure_rating8" dataDxfId="1500"/>
    <tableColumn id="218" xr3:uid="{BD25D8F1-CD4E-4D2E-888C-966F8DF6DA72}" name="prob100-failure_rating9" dataDxfId="1499"/>
    <tableColumn id="219" xr3:uid="{59BDAD97-5FA1-4D37-B13C-4A95F855BE6D}" name="prob50-failure_rating1" dataDxfId="1498"/>
    <tableColumn id="220" xr3:uid="{A26CA7AB-BE89-486E-B2A6-EDB8DEF8F053}" name="prob50-failure_rating2" dataDxfId="1497"/>
    <tableColumn id="221" xr3:uid="{72C7C062-C518-484A-AE55-42E91F62C398}" name="prob50-failure_rating3" dataDxfId="1496"/>
    <tableColumn id="222" xr3:uid="{460DE184-245E-4C70-9002-FCF356B31531}" name="prob50-failure_rating4" dataDxfId="1495"/>
    <tableColumn id="223" xr3:uid="{951957D0-05D1-426E-A38A-154B921F4721}" name="prob50-failure_rating5" dataDxfId="1494"/>
    <tableColumn id="224" xr3:uid="{8CA0A328-7A9A-477A-8574-55080D130975}" name="prob50-failure_rating6" dataDxfId="1493"/>
    <tableColumn id="225" xr3:uid="{32E53BB3-B88D-4C39-B4A2-08B76606F1D0}" name="prob50-failure_rating7" dataDxfId="1492"/>
    <tableColumn id="226" xr3:uid="{D20FEF08-AF36-4253-88E7-76D4E93D916B}" name="prob50-failure_rating8" dataDxfId="1491"/>
    <tableColumn id="227" xr3:uid="{DAF15B22-8719-48A1-91C5-CDE933B9C85D}" name="prob50-failure_rating9" dataDxfId="1490"/>
    <tableColumn id="228" xr3:uid="{14C485AC-A18A-457B-A633-558B712D8F75}" name="prob10-failure_rating1" dataDxfId="1489"/>
    <tableColumn id="229" xr3:uid="{AD9AD737-79CE-4219-AEE8-EF43BA82B0B4}" name="prob10-failure_rating2" dataDxfId="1488"/>
    <tableColumn id="230" xr3:uid="{C2718C4B-6D3E-408F-9111-21E8757F9111}" name="prob10-failure_rating3" dataDxfId="1487"/>
    <tableColumn id="231" xr3:uid="{0E461B94-02F2-4A16-8563-958E23A50412}" name="prob10-failure_rating4" dataDxfId="1486"/>
    <tableColumn id="232" xr3:uid="{64D54143-F3D0-4168-8608-0E1A09AD7B1B}" name="prob10-failure_rating5" dataDxfId="1485"/>
    <tableColumn id="233" xr3:uid="{F97000DB-3331-4137-ABA2-472A5C3FB7FF}" name="prob10-failure_rating6" dataDxfId="1484"/>
    <tableColumn id="234" xr3:uid="{B36F44E7-0581-4DEF-83A6-6A7BF1CCC220}" name="prob10-failure_rating7" dataDxfId="1483"/>
    <tableColumn id="235" xr3:uid="{0A071EA8-3281-4D2F-BCF4-AD07AC32DCAF}" name="prob10-failure_rating8" dataDxfId="1482"/>
    <tableColumn id="236" xr3:uid="{BB157008-BA76-49EC-A642-74522CB5E2D0}" name="prob10-failure_rating9" dataDxfId="1481"/>
    <tableColumn id="237" xr3:uid="{F36D354E-74B4-4FDC-B97D-016C903639FD}" name="failurecost500_rating1" dataDxfId="1480">
      <calculatedColumnFormula>Table15678910[[#This Row],[Total_Cost_MUSD]]*Table15678910[[#This Row],[prob500-failure_rating1]]/500</calculatedColumnFormula>
    </tableColumn>
    <tableColumn id="238" xr3:uid="{041364CE-D712-4144-A275-F024EEBB2D29}" name="failurecost500_rating2" dataDxfId="1479">
      <calculatedColumnFormula>Table15678910[[#This Row],[Total_Cost_MUSD]]*Table15678910[[#This Row],[prob500-failure_rating2]]/500</calculatedColumnFormula>
    </tableColumn>
    <tableColumn id="239" xr3:uid="{3BD29161-068E-497E-B389-927D24189174}" name="failurecost500_rating3" dataDxfId="1478">
      <calculatedColumnFormula>Table15678910[[#This Row],[Total_Cost_MUSD]]*Table15678910[[#This Row],[prob500-failure_rating3]]/500</calculatedColumnFormula>
    </tableColumn>
    <tableColumn id="240" xr3:uid="{E543519B-9F59-4FAD-BCAA-F1938EE133F0}" name="failurecost500_rating4" dataDxfId="1477">
      <calculatedColumnFormula>Table15678910[[#This Row],[Total_Cost_MUSD]]*Table15678910[[#This Row],[prob500-failure_rating4]]/500</calculatedColumnFormula>
    </tableColumn>
    <tableColumn id="241" xr3:uid="{BCDF7768-6198-4116-882B-A34015E3D8A3}" name="failurecost500_rating5" dataDxfId="1476">
      <calculatedColumnFormula>Table15678910[[#This Row],[Total_Cost_MUSD]]*Table15678910[[#This Row],[prob500-failure_rating5]]/500</calculatedColumnFormula>
    </tableColumn>
    <tableColumn id="242" xr3:uid="{A2A9AE65-F862-4859-AB5C-11F7D995D5C3}" name="failurecost500_rating6" dataDxfId="1475">
      <calculatedColumnFormula>Table15678910[[#This Row],[Total_Cost_MUSD]]*Table15678910[[#This Row],[prob500-failure_rating6]]/500</calculatedColumnFormula>
    </tableColumn>
    <tableColumn id="243" xr3:uid="{5059BDCA-CE5B-425B-9BC7-2BC10E856C55}" name="failurecost500_rating7" dataDxfId="1474">
      <calculatedColumnFormula>Table15678910[[#This Row],[Total_Cost_MUSD]]*Table15678910[[#This Row],[prob500-failure_rating7]]/500</calculatedColumnFormula>
    </tableColumn>
    <tableColumn id="244" xr3:uid="{01317533-5D53-4FA5-88A1-532ED784EB5A}" name="failurecost500_rating8" dataDxfId="1473">
      <calculatedColumnFormula>Table15678910[[#This Row],[Total_Cost_MUSD]]*Table15678910[[#This Row],[prob500-failure_rating8]]/500</calculatedColumnFormula>
    </tableColumn>
    <tableColumn id="245" xr3:uid="{9511EA2A-7D08-48F3-95AE-015CE57EA974}" name="failurecost500_rating9" dataDxfId="1472">
      <calculatedColumnFormula>Table15678910[[#This Row],[Total_Cost_MUSD]]*Table15678910[[#This Row],[prob500-failure_rating9]]/500</calculatedColumnFormula>
    </tableColumn>
    <tableColumn id="246" xr3:uid="{A13F8DF6-103A-44D9-ADB8-290817CDD72A}" name="failurecost100_rating1" dataDxfId="1471">
      <calculatedColumnFormula>Table15678910[[#This Row],[Total_Cost_MUSD]]*Table15678910[[#This Row],[prob100-failure_rating1]]/100</calculatedColumnFormula>
    </tableColumn>
    <tableColumn id="247" xr3:uid="{590A9B83-6DC3-47E8-90B5-10F4AEF016A5}" name="failurecost100_rating2" dataDxfId="1470">
      <calculatedColumnFormula>Table15678910[[#This Row],[Total_Cost_MUSD]]*Table15678910[[#This Row],[prob100-failure_rating2]]/100</calculatedColumnFormula>
    </tableColumn>
    <tableColumn id="248" xr3:uid="{88761361-09FF-4D03-A22E-9641DACA6341}" name="failurecost100_rating3" dataDxfId="1469">
      <calculatedColumnFormula>Table15678910[[#This Row],[Total_Cost_MUSD]]*Table15678910[[#This Row],[prob100-failure_rating3]]/100</calculatedColumnFormula>
    </tableColumn>
    <tableColumn id="249" xr3:uid="{305231DB-C3B8-4F44-BEE2-CD486655AB7D}" name="failurecost100_rating4" dataDxfId="1468">
      <calculatedColumnFormula>Table15678910[[#This Row],[Total_Cost_MUSD]]*Table15678910[[#This Row],[prob100-failure_rating4]]/100</calculatedColumnFormula>
    </tableColumn>
    <tableColumn id="250" xr3:uid="{8CFED1ED-65CC-4D14-B1D4-56121077FC9E}" name="failurecost100_rating5" dataDxfId="1467">
      <calculatedColumnFormula>Table15678910[[#This Row],[Total_Cost_MUSD]]*Table15678910[[#This Row],[prob100-failure_rating5]]/100</calculatedColumnFormula>
    </tableColumn>
    <tableColumn id="251" xr3:uid="{2EF4D8D1-2622-40C9-B844-E45711B9FCDC}" name="failurecost100_rating6" dataDxfId="1466">
      <calculatedColumnFormula>Table15678910[[#This Row],[Total_Cost_MUSD]]*Table15678910[[#This Row],[prob100-failure_rating6]]/100</calculatedColumnFormula>
    </tableColumn>
    <tableColumn id="252" xr3:uid="{527A400D-56FF-4592-B63C-55DC71764FDA}" name="failurecost100_rating7" dataDxfId="1465">
      <calculatedColumnFormula>Table15678910[[#This Row],[Total_Cost_MUSD]]*Table15678910[[#This Row],[prob100-failure_rating7]]/100</calculatedColumnFormula>
    </tableColumn>
    <tableColumn id="253" xr3:uid="{DA6D02ED-711F-4928-8670-28274009418A}" name="failurecost100_rating8" dataDxfId="1464">
      <calculatedColumnFormula>Table15678910[[#This Row],[Total_Cost_MUSD]]*Table15678910[[#This Row],[prob100-failure_rating8]]/100</calculatedColumnFormula>
    </tableColumn>
    <tableColumn id="254" xr3:uid="{0DA1BA25-2CA7-4304-B94F-BE7E9BE37CD6}" name="failurecost100_rating9" dataDxfId="1463">
      <calculatedColumnFormula>Table15678910[[#This Row],[Total_Cost_MUSD]]*Table15678910[[#This Row],[prob100-failure_rating9]]/100</calculatedColumnFormula>
    </tableColumn>
    <tableColumn id="255" xr3:uid="{C4D0830E-1DA8-40C7-895F-1D5138C4DB30}" name="failurecost50_rating1" dataDxfId="1462">
      <calculatedColumnFormula>Table15678910[[#This Row],[Total_Cost_MUSD]]*Table15678910[[#This Row],[prob50-failure_rating1]]/50</calculatedColumnFormula>
    </tableColumn>
    <tableColumn id="256" xr3:uid="{0AA52F80-AE0D-4274-B3A0-88AE097D4D85}" name="failurecost50_rating2" dataDxfId="1461">
      <calculatedColumnFormula>Table15678910[[#This Row],[Total_Cost_MUSD]]*Table15678910[[#This Row],[prob50-failure_rating2]]/50</calculatedColumnFormula>
    </tableColumn>
    <tableColumn id="257" xr3:uid="{086E8521-5609-43AA-810A-53790F14FE31}" name="failurecost50_rating3" dataDxfId="1460">
      <calculatedColumnFormula>Table15678910[[#This Row],[Total_Cost_MUSD]]*Table15678910[[#This Row],[prob50-failure_rating3]]/50</calculatedColumnFormula>
    </tableColumn>
    <tableColumn id="258" xr3:uid="{8E72EE3E-E158-46BE-AEB3-AFC85BF213FE}" name="failurecost50_rating4" dataDxfId="1459">
      <calculatedColumnFormula>Table15678910[[#This Row],[Total_Cost_MUSD]]*Table15678910[[#This Row],[prob50-failure_rating4]]/50</calculatedColumnFormula>
    </tableColumn>
    <tableColumn id="259" xr3:uid="{188EDDE6-8113-4B25-9DAD-3FDE55783F8D}" name="failurecost50_rating5" dataDxfId="1458">
      <calculatedColumnFormula>Table15678910[[#This Row],[Total_Cost_MUSD]]*Table15678910[[#This Row],[prob50-failure_rating5]]/50</calculatedColumnFormula>
    </tableColumn>
    <tableColumn id="260" xr3:uid="{2F8F8D99-D304-47B9-B8AD-558DD1FB4DE0}" name="failurecost50_rating6" dataDxfId="1457">
      <calculatedColumnFormula>Table15678910[[#This Row],[Total_Cost_MUSD]]*Table15678910[[#This Row],[prob50-failure_rating6]]/50</calculatedColumnFormula>
    </tableColumn>
    <tableColumn id="261" xr3:uid="{B19BFD4A-9E3E-4E43-9075-E6D8C8C44BEC}" name="failurecost50_rating7" dataDxfId="1456">
      <calculatedColumnFormula>Table15678910[[#This Row],[Total_Cost_MUSD]]*Table15678910[[#This Row],[prob50-failure_rating7]]/50</calculatedColumnFormula>
    </tableColumn>
    <tableColumn id="262" xr3:uid="{ACD37ACB-0BAA-41DE-84C8-B4A1A2719EDF}" name="failurecost50_rating8" dataDxfId="1455">
      <calculatedColumnFormula>Table15678910[[#This Row],[Total_Cost_MUSD]]*Table15678910[[#This Row],[prob50-failure_rating8]]/50</calculatedColumnFormula>
    </tableColumn>
    <tableColumn id="263" xr3:uid="{3C10AB87-EE9C-4CFC-BCFA-EA7065A73DA7}" name="failurecost50_rating9" dataDxfId="1454">
      <calculatedColumnFormula>Table15678910[[#This Row],[Total_Cost_MUSD]]*Table15678910[[#This Row],[prob50-failure_rating9]]/50</calculatedColumnFormula>
    </tableColumn>
    <tableColumn id="273" xr3:uid="{829E8ADD-3B0F-438D-BCE8-88AD332CB012}" name="failurecost10_rating1" dataDxfId="1453">
      <calculatedColumnFormula>Table15678910[[#This Row],[Total_Cost_MUSD]]*Table15678910[[#This Row],[prob10-failure_rating1]]/10</calculatedColumnFormula>
    </tableColumn>
    <tableColumn id="274" xr3:uid="{C9EA04BE-3F1A-405F-8A56-5087DCAF6F06}" name="failurecost10_rating2" dataDxfId="1452">
      <calculatedColumnFormula>Table15678910[[#This Row],[Total_Cost_MUSD]]*Table15678910[[#This Row],[prob10-failure_rating2]]/10</calculatedColumnFormula>
    </tableColumn>
    <tableColumn id="275" xr3:uid="{CFE4FF93-CDEA-43BF-B082-39A2506A1419}" name="failurecost10_rating3" dataDxfId="1451">
      <calculatedColumnFormula>Table15678910[[#This Row],[Total_Cost_MUSD]]*Table15678910[[#This Row],[prob10-failure_rating3]]/10</calculatedColumnFormula>
    </tableColumn>
    <tableColumn id="276" xr3:uid="{4D029147-607D-4CB0-A9BC-DD5A098330AF}" name="failurecost10_rating4" dataDxfId="1450">
      <calculatedColumnFormula>Table15678910[[#This Row],[Total_Cost_MUSD]]*Table15678910[[#This Row],[prob10-failure_rating4]]/10</calculatedColumnFormula>
    </tableColumn>
    <tableColumn id="277" xr3:uid="{6DA3066A-0C02-4542-9F84-DBA900D35586}" name="failurecost10_rating5" dataDxfId="1449">
      <calculatedColumnFormula>Table15678910[[#This Row],[Total_Cost_MUSD]]*Table15678910[[#This Row],[prob10-failure_rating5]]/10</calculatedColumnFormula>
    </tableColumn>
    <tableColumn id="278" xr3:uid="{8F30EC90-FFB1-428C-8651-86218FEDFDA3}" name="failurecost10_rating6" dataDxfId="1448">
      <calculatedColumnFormula>Table15678910[[#This Row],[Total_Cost_MUSD]]*Table15678910[[#This Row],[prob10-failure_rating6]]/10</calculatedColumnFormula>
    </tableColumn>
    <tableColumn id="279" xr3:uid="{C8F83177-C444-450F-A088-78F5F0C1A508}" name="failurecost10_rating7" dataDxfId="1447">
      <calculatedColumnFormula>Table15678910[[#This Row],[Total_Cost_MUSD]]*Table15678910[[#This Row],[prob10-failure_rating7]]/10</calculatedColumnFormula>
    </tableColumn>
    <tableColumn id="280" xr3:uid="{301BC22B-8F48-473B-B4BB-A704008841B4}" name="failurecost10_rating8" dataDxfId="1446">
      <calculatedColumnFormula>Table15678910[[#This Row],[Total_Cost_MUSD]]*Table15678910[[#This Row],[prob10-failure_rating8]]/10</calculatedColumnFormula>
    </tableColumn>
    <tableColumn id="281" xr3:uid="{C584D29C-9BB7-4883-8095-B2D73FE24832}" name="failurecost10_rating9" dataDxfId="1445">
      <calculatedColumnFormula>Table15678910[[#This Row],[Total_Cost_MUSD]]*Table15678910[[#This Row],[prob10-failure_rating9]]/10</calculatedColumnFormula>
    </tableColumn>
    <tableColumn id="282" xr3:uid="{F966ADAF-4B30-4628-BCCA-2CC0DEA8901D}" name="FailureCost_Rating0" dataDxfId="1444">
      <calculatedColumnFormula>Table15678910[[#This Row],[FailureCost_Rating1]]</calculatedColumnFormula>
    </tableColumn>
    <tableColumn id="264" xr3:uid="{9E1203D9-5A1F-42AB-939E-37086ED2565D}" name="FailureCost_Rating1" dataDxfId="1443">
      <calculatedColumnFormula>Table15678910[[#This Row],[FailureCost_Rating2]]</calculatedColumnFormula>
    </tableColumn>
    <tableColumn id="265" xr3:uid="{4B3A5B1A-5E2C-443D-BF75-AB9EC4318E22}" name="FailureCost_Rating2" dataDxfId="1442">
      <calculatedColumnFormula>(Table15678910[[#This Row],[failurecost500_rating2]]+Table15678910[[#This Row],[failurecost100_rating2]]+Table15678910[[#This Row],[failurecost50_rating2]]+Table15678910[[#This Row],[failurecost10_rating2]])</calculatedColumnFormula>
    </tableColumn>
    <tableColumn id="266" xr3:uid="{1E9A7C9C-4AB9-495C-8869-9EA966FB40DD}" name="FailureCost_Rating3" dataDxfId="1441">
      <calculatedColumnFormula>(Table15678910[[#This Row],[failurecost500_rating3]]+Table15678910[[#This Row],[failurecost100_rating3]]+Table15678910[[#This Row],[failurecost50_rating3]]+Table15678910[[#This Row],[failurecost10_rating3]])</calculatedColumnFormula>
    </tableColumn>
    <tableColumn id="267" xr3:uid="{A6B47597-2E15-4019-8F83-430B2799AD7C}" name="FailureCost_Rating4" dataDxfId="1440">
      <calculatedColumnFormula>(Table15678910[[#This Row],[failurecost500_rating4]]+Table15678910[[#This Row],[failurecost100_rating4]]+Table15678910[[#This Row],[failurecost50_rating4]]+Table15678910[[#This Row],[failurecost10_rating4]])</calculatedColumnFormula>
    </tableColumn>
    <tableColumn id="268" xr3:uid="{DE21DF01-C46C-4147-8570-38592E809894}" name="FailureCost_Rating5" dataDxfId="1439">
      <calculatedColumnFormula>(Table15678910[[#This Row],[failurecost500_rating5]]+Table15678910[[#This Row],[failurecost100_rating5]]+Table15678910[[#This Row],[failurecost50_rating5]]+Table15678910[[#This Row],[failurecost10_rating5]])</calculatedColumnFormula>
    </tableColumn>
    <tableColumn id="269" xr3:uid="{BE436B86-5873-4319-BACF-D8D79FC019F0}" name="FailureCost_Rating6" dataDxfId="1438">
      <calculatedColumnFormula>(Table15678910[[#This Row],[failurecost500_rating6]]+Table15678910[[#This Row],[failurecost100_rating6]]+Table15678910[[#This Row],[failurecost50_rating6]]+Table15678910[[#This Row],[failurecost10_rating6]])</calculatedColumnFormula>
    </tableColumn>
    <tableColumn id="270" xr3:uid="{DADA4A37-DC8E-4FC7-AB45-F5A0211538A3}" name="FailureCost_Rating7" dataDxfId="1437">
      <calculatedColumnFormula>(Table15678910[[#This Row],[failurecost500_rating7]]+Table15678910[[#This Row],[failurecost100_rating7]]+Table15678910[[#This Row],[failurecost50_rating7]]+Table15678910[[#This Row],[failurecost10_rating7]])</calculatedColumnFormula>
    </tableColumn>
    <tableColumn id="271" xr3:uid="{387D51AE-9A0B-41D8-BDFA-6BC7CE4BA960}" name="FailureCost_Rating8" dataDxfId="1436">
      <calculatedColumnFormula>(Table15678910[[#This Row],[failurecost500_rating8]]+Table15678910[[#This Row],[failurecost100_rating8]]+Table15678910[[#This Row],[failurecost50_rating8]]+Table15678910[[#This Row],[failurecost10_rating8]])</calculatedColumnFormula>
    </tableColumn>
    <tableColumn id="272" xr3:uid="{98DEC90E-3B18-4613-92D5-8B3C1A0D770E}" name="FailureCost_Rating9" dataDxfId="1435">
      <calculatedColumnFormula>(Table15678910[[#This Row],[failurecost500_rating9]]+Table15678910[[#This Row],[failurecost100_rating9]]+Table15678910[[#This Row],[failurecost50_rating9]]+Table15678910[[#This Row],[failurecost10_rating9]])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20"/>
  <sheetViews>
    <sheetView topLeftCell="IY1" workbookViewId="0">
      <selection activeCell="AX2" sqref="AX2:BA20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5" width="30.44140625" hidden="1" customWidth="1"/>
    <col min="186" max="186" width="11.6640625" customWidth="1"/>
    <col min="187" max="189" width="25.44140625" hidden="1" customWidth="1"/>
    <col min="190" max="190" width="24.44140625" hidden="1" customWidth="1"/>
    <col min="191" max="191" width="7.6640625" customWidth="1"/>
    <col min="192" max="192" width="12.44140625" customWidth="1"/>
    <col min="193" max="193" width="11.33203125" customWidth="1"/>
    <col min="194" max="194" width="11" customWidth="1"/>
    <col min="195" max="195" width="11.109375" customWidth="1"/>
    <col min="196" max="201" width="11.44140625" bestFit="1" customWidth="1"/>
    <col min="202" max="203" width="9.33203125" customWidth="1"/>
    <col min="210" max="210" width="9.44140625" bestFit="1" customWidth="1"/>
    <col min="238" max="238" width="13.6640625" bestFit="1" customWidth="1"/>
    <col min="239" max="264" width="11.44140625" bestFit="1" customWidth="1"/>
    <col min="265" max="274" width="11.44140625" customWidth="1"/>
    <col min="275" max="276" width="11.44140625" bestFit="1" customWidth="1"/>
    <col min="277" max="277" width="10.44140625" bestFit="1" customWidth="1"/>
  </cols>
  <sheetData>
    <row r="1" spans="1:283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181</v>
      </c>
      <c r="GE1" s="2" t="s">
        <v>311</v>
      </c>
      <c r="GF1" s="2" t="s">
        <v>310</v>
      </c>
      <c r="GG1" s="2" t="s">
        <v>309</v>
      </c>
      <c r="GH1" s="2" t="s">
        <v>308</v>
      </c>
      <c r="GI1" s="2" t="s">
        <v>312</v>
      </c>
      <c r="GJ1" s="2" t="s">
        <v>409</v>
      </c>
      <c r="GK1" s="2" t="s">
        <v>318</v>
      </c>
      <c r="GL1" s="2" t="s">
        <v>319</v>
      </c>
      <c r="GM1" s="2" t="s">
        <v>320</v>
      </c>
      <c r="GN1" s="2" t="s">
        <v>321</v>
      </c>
      <c r="GO1" s="2" t="s">
        <v>322</v>
      </c>
      <c r="GP1" s="2" t="s">
        <v>323</v>
      </c>
      <c r="GQ1" s="2" t="s">
        <v>324</v>
      </c>
      <c r="GR1" s="2" t="s">
        <v>325</v>
      </c>
      <c r="GS1" s="2" t="s">
        <v>326</v>
      </c>
      <c r="GT1" s="2" t="s">
        <v>327</v>
      </c>
      <c r="GU1" s="2" t="s">
        <v>328</v>
      </c>
      <c r="GV1" s="2" t="s">
        <v>329</v>
      </c>
      <c r="GW1" s="2" t="s">
        <v>330</v>
      </c>
      <c r="GX1" s="2" t="s">
        <v>331</v>
      </c>
      <c r="GY1" s="2" t="s">
        <v>332</v>
      </c>
      <c r="GZ1" s="2" t="s">
        <v>333</v>
      </c>
      <c r="HA1" s="2" t="s">
        <v>334</v>
      </c>
      <c r="HB1" s="2" t="s">
        <v>335</v>
      </c>
      <c r="HC1" s="2" t="s">
        <v>336</v>
      </c>
      <c r="HD1" s="2" t="s">
        <v>337</v>
      </c>
      <c r="HE1" s="2" t="s">
        <v>338</v>
      </c>
      <c r="HF1" s="2" t="s">
        <v>339</v>
      </c>
      <c r="HG1" s="2" t="s">
        <v>340</v>
      </c>
      <c r="HH1" s="2" t="s">
        <v>341</v>
      </c>
      <c r="HI1" s="2" t="s">
        <v>342</v>
      </c>
      <c r="HJ1" s="2" t="s">
        <v>343</v>
      </c>
      <c r="HK1" s="2" t="s">
        <v>344</v>
      </c>
      <c r="HL1" s="2" t="s">
        <v>345</v>
      </c>
      <c r="HM1" s="2" t="s">
        <v>346</v>
      </c>
      <c r="HN1" s="2" t="s">
        <v>347</v>
      </c>
      <c r="HO1" s="2" t="s">
        <v>348</v>
      </c>
      <c r="HP1" s="2" t="s">
        <v>349</v>
      </c>
      <c r="HQ1" s="2" t="s">
        <v>350</v>
      </c>
      <c r="HR1" s="2" t="s">
        <v>351</v>
      </c>
      <c r="HS1" s="2" t="s">
        <v>352</v>
      </c>
      <c r="HT1" s="2" t="s">
        <v>353</v>
      </c>
      <c r="HU1" s="2" t="s">
        <v>354</v>
      </c>
      <c r="HV1" s="2" t="s">
        <v>355</v>
      </c>
      <c r="HW1" s="2" t="s">
        <v>356</v>
      </c>
      <c r="HX1" s="2" t="s">
        <v>357</v>
      </c>
      <c r="HY1" s="2" t="s">
        <v>358</v>
      </c>
      <c r="HZ1" s="2" t="s">
        <v>359</v>
      </c>
      <c r="IA1" s="2" t="s">
        <v>360</v>
      </c>
      <c r="IB1" s="2" t="s">
        <v>361</v>
      </c>
      <c r="IC1" s="2" t="s">
        <v>362</v>
      </c>
      <c r="ID1" s="2" t="s">
        <v>363</v>
      </c>
      <c r="IE1" s="2" t="s">
        <v>364</v>
      </c>
      <c r="IF1" s="2" t="s">
        <v>365</v>
      </c>
      <c r="IG1" s="2" t="s">
        <v>366</v>
      </c>
      <c r="IH1" s="2" t="s">
        <v>367</v>
      </c>
      <c r="II1" s="2" t="s">
        <v>368</v>
      </c>
      <c r="IJ1" s="2" t="s">
        <v>369</v>
      </c>
      <c r="IK1" s="2" t="s">
        <v>370</v>
      </c>
      <c r="IL1" s="2" t="s">
        <v>371</v>
      </c>
      <c r="IM1" s="2" t="s">
        <v>372</v>
      </c>
      <c r="IN1" s="2" t="s">
        <v>373</v>
      </c>
      <c r="IO1" s="2" t="s">
        <v>374</v>
      </c>
      <c r="IP1" s="2" t="s">
        <v>375</v>
      </c>
      <c r="IQ1" s="2" t="s">
        <v>376</v>
      </c>
      <c r="IR1" s="2" t="s">
        <v>377</v>
      </c>
      <c r="IS1" s="2" t="s">
        <v>378</v>
      </c>
      <c r="IT1" s="2" t="s">
        <v>379</v>
      </c>
      <c r="IU1" s="2" t="s">
        <v>380</v>
      </c>
      <c r="IV1" s="2" t="s">
        <v>381</v>
      </c>
      <c r="IW1" s="2" t="s">
        <v>382</v>
      </c>
      <c r="IX1" s="2" t="s">
        <v>383</v>
      </c>
      <c r="IY1" s="2" t="s">
        <v>384</v>
      </c>
      <c r="IZ1" s="2" t="s">
        <v>385</v>
      </c>
      <c r="JA1" s="2" t="s">
        <v>386</v>
      </c>
      <c r="JB1" s="2" t="s">
        <v>387</v>
      </c>
      <c r="JC1" s="2" t="s">
        <v>388</v>
      </c>
      <c r="JD1" s="2" t="s">
        <v>389</v>
      </c>
      <c r="JE1" s="2" t="s">
        <v>399</v>
      </c>
      <c r="JF1" s="2" t="s">
        <v>400</v>
      </c>
      <c r="JG1" s="2" t="s">
        <v>401</v>
      </c>
      <c r="JH1" s="2" t="s">
        <v>402</v>
      </c>
      <c r="JI1" s="2" t="s">
        <v>403</v>
      </c>
      <c r="JJ1" s="2" t="s">
        <v>404</v>
      </c>
      <c r="JK1" s="2" t="s">
        <v>405</v>
      </c>
      <c r="JL1" s="2" t="s">
        <v>406</v>
      </c>
      <c r="JM1" s="2" t="s">
        <v>407</v>
      </c>
      <c r="JN1" s="2" t="s">
        <v>408</v>
      </c>
      <c r="JO1" s="2" t="s">
        <v>390</v>
      </c>
      <c r="JP1" s="2" t="s">
        <v>391</v>
      </c>
      <c r="JQ1" s="2" t="s">
        <v>392</v>
      </c>
      <c r="JR1" s="2" t="s">
        <v>393</v>
      </c>
      <c r="JS1" s="2" t="s">
        <v>394</v>
      </c>
      <c r="JT1" s="2" t="s">
        <v>395</v>
      </c>
      <c r="JU1" s="2" t="s">
        <v>396</v>
      </c>
      <c r="JV1" s="2" t="s">
        <v>397</v>
      </c>
      <c r="JW1" s="2" t="s">
        <v>398</v>
      </c>
    </row>
    <row r="2" spans="1:283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Table1[[#This Row],[Depth10_Soil_vol]]*(9.353+9.027)+(Table1[[#This Row],[Depth10_Soil_vol]]/2.5)*20*1.053+(PI()*Table1[[#This Row],[Depth10_Scour]])*Table1[[#This Row],[DECK_WIDTH_MT_052]]*1.062</f>
        <v>11998.897701083155</v>
      </c>
      <c r="AR2" s="1">
        <f>Table1[[#This Row],[Depth50_Soil_vol]]*(9.353+9.027)+(Table1[[#This Row],[Depth50_Soil_vol]]/2.5)*20*1.053+(PI()*Table1[[#This Row],[Depth50_Scour]])*Table1[[#This Row],[DECK_WIDTH_MT_052]]*1.062</f>
        <v>12798.983727608316</v>
      </c>
      <c r="AS2" s="1">
        <f>Table1[[#This Row],[Depth100_Soil_vol]]*(9.353+9.027)+(Table1[[#This Row],[Depth100_Soil_vol]]/2.5)*20*1.053+(PI()*Table1[[#This Row],[Depth100_Scour]])*Table1[[#This Row],[DECK_WIDTH_MT_052]]*1.062</f>
        <v>13156.203147223239</v>
      </c>
      <c r="AT2" s="1">
        <f>Table1[[#This Row],[Depth500_Soil_vol]]*(9.353+9.027)+(Table1[[#This Row],[Depth500_Soil_vol]]/2.5)*20*1.053+(PI()*Table1[[#This Row],[Depth500_Scour]])*Table1[[#This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>
        <v>28.990788219999999</v>
      </c>
      <c r="GE2" s="1">
        <v>0</v>
      </c>
      <c r="GF2" s="1">
        <v>0</v>
      </c>
      <c r="GG2" s="1">
        <v>0</v>
      </c>
      <c r="GH2" s="1">
        <v>0</v>
      </c>
      <c r="GI2" s="1">
        <v>8</v>
      </c>
      <c r="GJ2" s="1">
        <f>Table1[[#This Row],[cost_repair_rating1]]</f>
        <v>91607780.680521429</v>
      </c>
      <c r="GK2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91607780.680521429</v>
      </c>
      <c r="GL2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18221391.173021205</v>
      </c>
      <c r="GM2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1181458.3996394898</v>
      </c>
      <c r="GN2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30278.277015385738</v>
      </c>
      <c r="GO2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14266.933392227233</v>
      </c>
      <c r="GP2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7983.667343622812</v>
      </c>
      <c r="GQ2" s="1">
        <v>0</v>
      </c>
      <c r="GR2" s="1">
        <v>0</v>
      </c>
      <c r="GS2" s="1">
        <v>0</v>
      </c>
      <c r="GT2" s="1">
        <f>2.5/100</f>
        <v>2.5000000000000001E-2</v>
      </c>
      <c r="GU2" s="1">
        <v>0.01</v>
      </c>
      <c r="GV2" s="1">
        <v>2.5000000000000001E-3</v>
      </c>
      <c r="GW2" s="1">
        <v>4.0000000000000002E-4</v>
      </c>
      <c r="GX2" s="1">
        <v>6.9999999999999999E-6</v>
      </c>
      <c r="GY2" s="1">
        <v>1.8000000000000001E-4</v>
      </c>
      <c r="GZ2" s="1">
        <v>1.8000000000000001E-4</v>
      </c>
      <c r="HA2" s="1">
        <v>3.9999999999999998E-6</v>
      </c>
      <c r="HB2" s="1">
        <v>2.5000000000000002E-6</v>
      </c>
      <c r="HC2" s="1">
        <f>1.25/100</f>
        <v>1.2500000000000001E-2</v>
      </c>
      <c r="HD2" s="1">
        <v>6.0000000000000001E-3</v>
      </c>
      <c r="HE2" s="1">
        <v>2.5000000000000001E-3</v>
      </c>
      <c r="HF2" s="1">
        <v>5.0000000000000001E-4</v>
      </c>
      <c r="HG2" s="1">
        <v>7.9999999999999996E-6</v>
      </c>
      <c r="HH2" s="1">
        <v>2.5000000000000001E-4</v>
      </c>
      <c r="HI2" s="1">
        <v>2.5000000000000001E-4</v>
      </c>
      <c r="HJ2" s="1">
        <v>5.0000000000000004E-6</v>
      </c>
      <c r="HK2" s="1">
        <v>3.0000000000000001E-6</v>
      </c>
      <c r="HL2" s="1">
        <v>0.01</v>
      </c>
      <c r="HM2" s="1">
        <v>6.0000000000000001E-3</v>
      </c>
      <c r="HN2" s="1">
        <v>1.2999999999999999E-3</v>
      </c>
      <c r="HO2" s="1">
        <v>5.0000000000000001E-4</v>
      </c>
      <c r="HP2" s="1">
        <v>7.9999999999999996E-6</v>
      </c>
      <c r="HQ2" s="1">
        <v>2.5000000000000001E-4</v>
      </c>
      <c r="HR2" s="1">
        <v>2.5000000000000001E-4</v>
      </c>
      <c r="HS2" s="1">
        <v>5.0000000000000004E-6</v>
      </c>
      <c r="HT2" s="1">
        <v>3.0000000000000001E-6</v>
      </c>
      <c r="HU2" s="1">
        <v>0.01</v>
      </c>
      <c r="HV2" s="1">
        <v>8.0000000000000002E-3</v>
      </c>
      <c r="HW2" s="1">
        <v>1.6000000000000001E-3</v>
      </c>
      <c r="HX2" s="1">
        <v>5.9999999999999995E-4</v>
      </c>
      <c r="HY2" s="1">
        <v>4.0000000000000003E-5</v>
      </c>
      <c r="HZ2" s="1">
        <v>4.0000000000000002E-4</v>
      </c>
      <c r="IA2" s="1">
        <v>4.0000000000000002E-4</v>
      </c>
      <c r="IB2" s="1">
        <v>2.0000000000000002E-5</v>
      </c>
      <c r="IC2" s="1">
        <v>3.9999999999999998E-6</v>
      </c>
      <c r="ID2" s="1">
        <f>Table1[[#This Row],[Total_Cost_MUSD]]*Table1[[#This Row],[prob500-failure_rating1]]*1000000/500</f>
        <v>1449.5394109999997</v>
      </c>
      <c r="IE2" s="1">
        <f>Table1[[#This Row],[Total_Cost_MUSD]]*Table1[[#This Row],[prob500-failure_rating2]]*1000000/500</f>
        <v>579.81576440000015</v>
      </c>
      <c r="IF2" s="1">
        <f>Table1[[#This Row],[Total_Cost_MUSD]]*Table1[[#This Row],[prob500-failure_rating3]]*1000000/500</f>
        <v>144.95394110000004</v>
      </c>
      <c r="IG2" s="1">
        <f>Table1[[#This Row],[Total_Cost_MUSD]]*Table1[[#This Row],[prob500-failure_rating4]]*1000000/500</f>
        <v>23.192630575999999</v>
      </c>
      <c r="IH2" s="1">
        <f>Table1[[#This Row],[Total_Cost_MUSD]]*Table1[[#This Row],[prob500-failure_rating5]]*1000000/500</f>
        <v>0.40587103507999994</v>
      </c>
      <c r="II2" s="1">
        <f>Table1[[#This Row],[Total_Cost_MUSD]]*Table1[[#This Row],[prob500-failure_rating6]]*1000000/500</f>
        <v>10.436683759199999</v>
      </c>
      <c r="IJ2" s="1">
        <f>Table1[[#This Row],[Total_Cost_MUSD]]*Table1[[#This Row],[prob500-failure_rating7]]*1000000/500</f>
        <v>10.436683759199999</v>
      </c>
      <c r="IK2" s="1">
        <f>Table1[[#This Row],[Total_Cost_MUSD]]*Table1[[#This Row],[prob500-failure_rating8]]*1000000/500</f>
        <v>0.23192630575999995</v>
      </c>
      <c r="IL2" s="1">
        <f>Table1[[#This Row],[Total_Cost_MUSD]]*Table1[[#This Row],[prob500-failure_rating9]]*1000000/500</f>
        <v>0.14495394110000001</v>
      </c>
      <c r="IM2" s="1">
        <f>Table1[[#This Row],[Total_Cost_MUSD]]*Table1[[#This Row],[prob100-failure_rating1]]*1000000/100</f>
        <v>3623.8485274999998</v>
      </c>
      <c r="IN2" s="1">
        <f>Table1[[#This Row],[Total_Cost_MUSD]]*Table1[[#This Row],[prob100-failure_rating2]]*1000000/100</f>
        <v>1739.4472931999999</v>
      </c>
      <c r="IO2" s="1">
        <f>Table1[[#This Row],[Total_Cost_MUSD]]*Table1[[#This Row],[prob100-failure_rating3]]*1000000/100</f>
        <v>724.7697055000001</v>
      </c>
      <c r="IP2" s="1">
        <f>Table1[[#This Row],[Total_Cost_MUSD]]*Table1[[#This Row],[prob100-failure_rating4]]*1000000/100</f>
        <v>144.95394110000001</v>
      </c>
      <c r="IQ2" s="1">
        <f>Table1[[#This Row],[Total_Cost_MUSD]]*Table1[[#This Row],[prob100-failure_rating5]]*1000000/100</f>
        <v>2.3192630575999997</v>
      </c>
      <c r="IR2" s="1">
        <f>Table1[[#This Row],[Total_Cost_MUSD]]*Table1[[#This Row],[prob100-failure_rating6]]*1000000/100</f>
        <v>72.476970550000004</v>
      </c>
      <c r="IS2" s="1">
        <f>Table1[[#This Row],[Total_Cost_MUSD]]*Table1[[#This Row],[prob100-failure_rating7]]*1000000/100</f>
        <v>72.476970550000004</v>
      </c>
      <c r="IT2" s="1">
        <f>Table1[[#This Row],[Total_Cost_MUSD]]*Table1[[#This Row],[prob100-failure_rating8]]*1000000/100</f>
        <v>1.4495394110000002</v>
      </c>
      <c r="IU2" s="1">
        <f>Table1[[#This Row],[Total_Cost_MUSD]]*Table1[[#This Row],[prob100-failure_rating9]]*1000000/100</f>
        <v>0.86972364660000001</v>
      </c>
      <c r="IV2" s="1">
        <f>Table1[[#This Row],[Total_Cost_MUSD]]*Table1[[#This Row],[prob50-failure_rating1]]*1000000/50</f>
        <v>5798.1576440000008</v>
      </c>
      <c r="IW2" s="1">
        <f>Table1[[#This Row],[Total_Cost_MUSD]]*Table1[[#This Row],[prob50-failure_rating2]]*1000000/50</f>
        <v>3478.8945863999998</v>
      </c>
      <c r="IX2" s="1">
        <f>Table1[[#This Row],[Total_Cost_MUSD]]*Table1[[#This Row],[prob50-failure_rating3]]*1000000/50</f>
        <v>753.76049371999989</v>
      </c>
      <c r="IY2" s="1">
        <f>Table1[[#This Row],[Total_Cost_MUSD]]*Table1[[#This Row],[prob50-failure_rating4]]*1000000/50</f>
        <v>289.90788220000002</v>
      </c>
      <c r="IZ2" s="1">
        <f>Table1[[#This Row],[Total_Cost_MUSD]]*Table1[[#This Row],[prob50-failure_rating5]]*1000000/50</f>
        <v>4.6385261151999995</v>
      </c>
      <c r="JA2" s="1">
        <f>Table1[[#This Row],[Total_Cost_MUSD]]*Table1[[#This Row],[prob50-failure_rating6]]*1000000/50</f>
        <v>144.95394110000001</v>
      </c>
      <c r="JB2" s="1">
        <f>Table1[[#This Row],[Total_Cost_MUSD]]*Table1[[#This Row],[prob50-failure_rating7]]*1000000/50</f>
        <v>144.95394110000001</v>
      </c>
      <c r="JC2" s="1">
        <f>Table1[[#This Row],[Total_Cost_MUSD]]*Table1[[#This Row],[prob50-failure_rating8]]*1000000/50</f>
        <v>2.8990788220000003</v>
      </c>
      <c r="JD2" s="1">
        <f>Table1[[#This Row],[Total_Cost_MUSD]]*Table1[[#This Row],[prob50-failure_rating9]]*1000000/50</f>
        <v>1.7394472932</v>
      </c>
      <c r="JE2" s="1">
        <f>Table1[[#This Row],[Total_Cost_MUSD]]*Table1[[#This Row],[prob10-failure_rating1]]*1000000/10</f>
        <v>28990.788220000006</v>
      </c>
      <c r="JF2" s="1">
        <f>Table1[[#This Row],[Total_Cost_MUSD]]*Table1[[#This Row],[prob10-failure_rating2]]*1000000/10</f>
        <v>23192.630576000003</v>
      </c>
      <c r="JG2" s="1">
        <f>Table1[[#This Row],[Total_Cost_MUSD]]*Table1[[#This Row],[prob10-failure_rating3]]*1000000/10</f>
        <v>4638.5261152000003</v>
      </c>
      <c r="JH2" s="1">
        <f>Table1[[#This Row],[Total_Cost_MUSD]]*Table1[[#This Row],[prob10-failure_rating4]]*1000000/10</f>
        <v>1739.4472932000001</v>
      </c>
      <c r="JI2" s="1">
        <f>Table1[[#This Row],[Total_Cost_MUSD]]*Table1[[#This Row],[prob10-failure_rating5]]*1000000/10</f>
        <v>115.96315288000001</v>
      </c>
      <c r="JJ2" s="1">
        <f>Table1[[#This Row],[Total_Cost_MUSD]]*Table1[[#This Row],[prob10-failure_rating6]]*1000000/10</f>
        <v>1159.6315288000001</v>
      </c>
      <c r="JK2" s="1">
        <f>Table1[[#This Row],[Total_Cost_MUSD]]*Table1[[#This Row],[prob10-failure_rating7]]*1000000/10</f>
        <v>1159.6315288000001</v>
      </c>
      <c r="JL2" s="1">
        <f>Table1[[#This Row],[Total_Cost_MUSD]]*Table1[[#This Row],[prob10-failure_rating8]]*1000000/10</f>
        <v>57.981576440000005</v>
      </c>
      <c r="JM2" s="1">
        <f>Table1[[#This Row],[Total_Cost_MUSD]]*Table1[[#This Row],[prob10-failure_rating9]]*1000000/10</f>
        <v>11.596315287999998</v>
      </c>
      <c r="JN2" s="1">
        <f>Table1[[#This Row],[FailureCost_Rating1]]</f>
        <v>39862.333802500005</v>
      </c>
      <c r="JO2" s="1">
        <f>Table1[[#This Row],[failurecost500_rating1]]+Table1[[#This Row],[failurecost100_rating1]]+Table1[[#This Row],[failurecost50_rating1]]+Table1[[#This Row],[failurecost10_rating1]]</f>
        <v>39862.333802500005</v>
      </c>
      <c r="JP2" s="1">
        <f>Table1[[#This Row],[failurecost500_rating2]]+Table1[[#This Row],[failurecost100_rating2]]+Table1[[#This Row],[failurecost50_rating2]]+Table1[[#This Row],[failurecost10_rating2]]</f>
        <v>28990.788220000002</v>
      </c>
      <c r="JQ2" s="1">
        <f>Table1[[#This Row],[failurecost500_rating3]]+Table1[[#This Row],[failurecost100_rating3]]+Table1[[#This Row],[failurecost50_rating3]]+Table1[[#This Row],[failurecost10_rating3]]</f>
        <v>6262.0102555200001</v>
      </c>
      <c r="JR2" s="1">
        <f>Table1[[#This Row],[failurecost500_rating4]]+Table1[[#This Row],[failurecost100_rating4]]+Table1[[#This Row],[failurecost50_rating4]]+Table1[[#This Row],[failurecost10_rating4]]</f>
        <v>2197.5017470760004</v>
      </c>
      <c r="JS2" s="1">
        <f>Table1[[#This Row],[failurecost500_rating5]]+Table1[[#This Row],[failurecost100_rating5]]+Table1[[#This Row],[failurecost50_rating5]]+Table1[[#This Row],[failurecost10_rating5]]</f>
        <v>123.32681308788001</v>
      </c>
      <c r="JT2" s="1">
        <f>Table1[[#This Row],[failurecost500_rating6]]+Table1[[#This Row],[failurecost100_rating6]]+Table1[[#This Row],[failurecost50_rating6]]+Table1[[#This Row],[failurecost10_rating6]]</f>
        <v>1387.4991242092001</v>
      </c>
      <c r="JU2" s="1">
        <f>Table1[[#This Row],[failurecost500_rating7]]+Table1[[#This Row],[failurecost100_rating7]]+Table1[[#This Row],[failurecost50_rating7]]+Table1[[#This Row],[failurecost10_rating7]]</f>
        <v>1387.4991242092001</v>
      </c>
      <c r="JV2" s="1">
        <f>Table1[[#This Row],[failurecost500_rating8]]+Table1[[#This Row],[failurecost100_rating8]]+Table1[[#This Row],[failurecost50_rating8]]+Table1[[#This Row],[failurecost10_rating8]]</f>
        <v>62.562120978760007</v>
      </c>
      <c r="JW2" s="1">
        <f>Table1[[#This Row],[failurecost500_rating9]]+Table1[[#This Row],[failurecost100_rating9]]+Table1[[#This Row],[failurecost50_rating9]]+Table1[[#This Row],[failurecost10_rating9]]</f>
        <v>14.350440168899997</v>
      </c>
    </row>
    <row r="3" spans="1:283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Table1[[#This Row],[Depth10_Soil_vol]]*(9.353+9.027)+(Table1[[#This Row],[Depth10_Soil_vol]]/2.5)*20*1.053+(PI()*Table1[[#This Row],[Depth10_Scour]])*Table1[[#This Row],[DECK_WIDTH_MT_052]]*1.062</f>
        <v>0</v>
      </c>
      <c r="AR3" s="1">
        <f>Table1[[#This Row],[Depth50_Soil_vol]]*(9.353+9.027)+(Table1[[#This Row],[Depth50_Soil_vol]]/2.5)*20*1.053+(PI()*Table1[[#This Row],[Depth50_Scour]])*Table1[[#This Row],[DECK_WIDTH_MT_052]]*1.062</f>
        <v>9520.728233804819</v>
      </c>
      <c r="AS3" s="1">
        <f>Table1[[#This Row],[Depth100_Soil_vol]]*(9.353+9.027)+(Table1[[#This Row],[Depth100_Soil_vol]]/2.5)*20*1.053+(PI()*Table1[[#This Row],[Depth100_Scour]])*Table1[[#This Row],[DECK_WIDTH_MT_052]]*1.062</f>
        <v>9985.7559384332872</v>
      </c>
      <c r="AT3" s="1">
        <f>Table1[[#This Row],[Depth500_Soil_vol]]*(9.353+9.027)+(Table1[[#This Row],[Depth500_Soil_vol]]/2.5)*20*1.053+(PI()*Table1[[#This Row],[Depth500_Scour]])*Table1[[#This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>
        <v>18.95289927</v>
      </c>
      <c r="GE3" s="1">
        <v>0</v>
      </c>
      <c r="GF3" s="1">
        <v>0</v>
      </c>
      <c r="GG3" s="1">
        <v>0</v>
      </c>
      <c r="GH3" s="1">
        <v>0</v>
      </c>
      <c r="GI3" s="1">
        <v>5</v>
      </c>
      <c r="GJ3" s="1">
        <f>Table1[[#This Row],[cost_repair_rating1]]</f>
        <v>85593271699.998993</v>
      </c>
      <c r="GK3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85593271699.998993</v>
      </c>
      <c r="GL3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16911168462.488653</v>
      </c>
      <c r="GM3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1058249914.061975</v>
      </c>
      <c r="GN3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21137425.904975042</v>
      </c>
      <c r="GO3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8714305.5009752456</v>
      </c>
      <c r="GP3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4235783.9459582707</v>
      </c>
      <c r="GQ3" s="1">
        <v>0</v>
      </c>
      <c r="GR3" s="1">
        <v>0</v>
      </c>
      <c r="GS3" s="1">
        <v>0</v>
      </c>
      <c r="GT3" s="1">
        <f t="shared" ref="GT3:GT20" si="0">2.5/100</f>
        <v>2.5000000000000001E-2</v>
      </c>
      <c r="GU3" s="1">
        <v>0.01</v>
      </c>
      <c r="GV3" s="1">
        <v>2.5000000000000001E-3</v>
      </c>
      <c r="GW3" s="1">
        <v>4.0000000000000002E-4</v>
      </c>
      <c r="GX3" s="1">
        <v>6.9999999999999999E-6</v>
      </c>
      <c r="GY3" s="1">
        <v>1.8000000000000001E-4</v>
      </c>
      <c r="GZ3" s="1">
        <v>1.8000000000000001E-4</v>
      </c>
      <c r="HA3" s="1">
        <v>3.9999999999999998E-6</v>
      </c>
      <c r="HB3" s="1">
        <v>2.5000000000000002E-6</v>
      </c>
      <c r="HC3" s="1">
        <f t="shared" ref="HC3:HC20" si="1">1.25/100</f>
        <v>1.2500000000000001E-2</v>
      </c>
      <c r="HD3" s="1">
        <v>6.0000000000000001E-3</v>
      </c>
      <c r="HE3" s="1">
        <v>2.5000000000000001E-3</v>
      </c>
      <c r="HF3" s="1">
        <v>5.0000000000000001E-4</v>
      </c>
      <c r="HG3" s="1">
        <v>7.9999999999999996E-6</v>
      </c>
      <c r="HH3" s="1">
        <v>2.5000000000000001E-4</v>
      </c>
      <c r="HI3" s="1">
        <v>2.5000000000000001E-4</v>
      </c>
      <c r="HJ3" s="1">
        <v>5.0000000000000004E-6</v>
      </c>
      <c r="HK3" s="1">
        <v>3.0000000000000001E-6</v>
      </c>
      <c r="HL3" s="1">
        <v>0.01</v>
      </c>
      <c r="HM3" s="1">
        <v>6.0000000000000001E-3</v>
      </c>
      <c r="HN3" s="1">
        <v>1.2999999999999999E-3</v>
      </c>
      <c r="HO3" s="1">
        <v>5.0000000000000001E-4</v>
      </c>
      <c r="HP3" s="1">
        <v>7.9999999999999996E-6</v>
      </c>
      <c r="HQ3" s="1">
        <v>2.5000000000000001E-4</v>
      </c>
      <c r="HR3" s="1">
        <v>2.5000000000000001E-4</v>
      </c>
      <c r="HS3" s="1">
        <v>5.0000000000000004E-6</v>
      </c>
      <c r="HT3" s="1">
        <v>3.0000000000000001E-6</v>
      </c>
      <c r="HU3" s="1">
        <v>0.01</v>
      </c>
      <c r="HV3" s="1">
        <v>8.0000000000000002E-3</v>
      </c>
      <c r="HW3" s="1">
        <v>1.6000000000000001E-3</v>
      </c>
      <c r="HX3" s="1">
        <v>5.9999999999999995E-4</v>
      </c>
      <c r="HY3" s="1">
        <v>4.0000000000000003E-5</v>
      </c>
      <c r="HZ3" s="1">
        <v>4.0000000000000002E-4</v>
      </c>
      <c r="IA3" s="1">
        <v>4.0000000000000002E-4</v>
      </c>
      <c r="IB3" s="1">
        <v>2.0000000000000002E-5</v>
      </c>
      <c r="IC3" s="1">
        <v>3.9999999999999998E-6</v>
      </c>
      <c r="ID3" s="1">
        <f>Table1[[#This Row],[Total_Cost_MUSD]]*Table1[[#This Row],[prob500-failure_rating1]]*1000000/500</f>
        <v>947.64496350000002</v>
      </c>
      <c r="IE3" s="1">
        <f>Table1[[#This Row],[Total_Cost_MUSD]]*Table1[[#This Row],[prob500-failure_rating2]]*1000000/500</f>
        <v>379.05798540000001</v>
      </c>
      <c r="IF3" s="1">
        <f>Table1[[#This Row],[Total_Cost_MUSD]]*Table1[[#This Row],[prob500-failure_rating3]]*1000000/500</f>
        <v>94.764496350000002</v>
      </c>
      <c r="IG3" s="1">
        <f>Table1[[#This Row],[Total_Cost_MUSD]]*Table1[[#This Row],[prob500-failure_rating4]]*1000000/500</f>
        <v>15.162319416000001</v>
      </c>
      <c r="IH3" s="1">
        <f>Table1[[#This Row],[Total_Cost_MUSD]]*Table1[[#This Row],[prob500-failure_rating5]]*1000000/500</f>
        <v>0.26534058978000002</v>
      </c>
      <c r="II3" s="1">
        <f>Table1[[#This Row],[Total_Cost_MUSD]]*Table1[[#This Row],[prob500-failure_rating6]]*1000000/500</f>
        <v>6.8230437372000008</v>
      </c>
      <c r="IJ3" s="1">
        <f>Table1[[#This Row],[Total_Cost_MUSD]]*Table1[[#This Row],[prob500-failure_rating7]]*1000000/500</f>
        <v>6.8230437372000008</v>
      </c>
      <c r="IK3" s="1">
        <f>Table1[[#This Row],[Total_Cost_MUSD]]*Table1[[#This Row],[prob500-failure_rating8]]*1000000/500</f>
        <v>0.15162319416</v>
      </c>
      <c r="IL3" s="1">
        <f>Table1[[#This Row],[Total_Cost_MUSD]]*Table1[[#This Row],[prob500-failure_rating9]]*1000000/500</f>
        <v>9.4764496350000005E-2</v>
      </c>
      <c r="IM3" s="1">
        <f>Table1[[#This Row],[Total_Cost_MUSD]]*Table1[[#This Row],[prob100-failure_rating1]]*1000000/100</f>
        <v>2369.1124087500002</v>
      </c>
      <c r="IN3" s="1">
        <f>Table1[[#This Row],[Total_Cost_MUSD]]*Table1[[#This Row],[prob100-failure_rating2]]*1000000/100</f>
        <v>1137.1739562</v>
      </c>
      <c r="IO3" s="1">
        <f>Table1[[#This Row],[Total_Cost_MUSD]]*Table1[[#This Row],[prob100-failure_rating3]]*1000000/100</f>
        <v>473.82248175000001</v>
      </c>
      <c r="IP3" s="1">
        <f>Table1[[#This Row],[Total_Cost_MUSD]]*Table1[[#This Row],[prob100-failure_rating4]]*1000000/100</f>
        <v>94.764496350000002</v>
      </c>
      <c r="IQ3" s="1">
        <f>Table1[[#This Row],[Total_Cost_MUSD]]*Table1[[#This Row],[prob100-failure_rating5]]*1000000/100</f>
        <v>1.5162319416000001</v>
      </c>
      <c r="IR3" s="1">
        <f>Table1[[#This Row],[Total_Cost_MUSD]]*Table1[[#This Row],[prob100-failure_rating6]]*1000000/100</f>
        <v>47.382248175000001</v>
      </c>
      <c r="IS3" s="1">
        <f>Table1[[#This Row],[Total_Cost_MUSD]]*Table1[[#This Row],[prob100-failure_rating7]]*1000000/100</f>
        <v>47.382248175000001</v>
      </c>
      <c r="IT3" s="1">
        <f>Table1[[#This Row],[Total_Cost_MUSD]]*Table1[[#This Row],[prob100-failure_rating8]]*1000000/100</f>
        <v>0.94764496350000005</v>
      </c>
      <c r="IU3" s="1">
        <f>Table1[[#This Row],[Total_Cost_MUSD]]*Table1[[#This Row],[prob100-failure_rating9]]*1000000/100</f>
        <v>0.56858697810000003</v>
      </c>
      <c r="IV3" s="1">
        <f>Table1[[#This Row],[Total_Cost_MUSD]]*Table1[[#This Row],[prob50-failure_rating1]]*1000000/50</f>
        <v>3790.5798540000001</v>
      </c>
      <c r="IW3" s="1">
        <f>Table1[[#This Row],[Total_Cost_MUSD]]*Table1[[#This Row],[prob50-failure_rating2]]*1000000/50</f>
        <v>2274.3479124</v>
      </c>
      <c r="IX3" s="1">
        <f>Table1[[#This Row],[Total_Cost_MUSD]]*Table1[[#This Row],[prob50-failure_rating3]]*1000000/50</f>
        <v>492.77538101999994</v>
      </c>
      <c r="IY3" s="1">
        <f>Table1[[#This Row],[Total_Cost_MUSD]]*Table1[[#This Row],[prob50-failure_rating4]]*1000000/50</f>
        <v>189.5289927</v>
      </c>
      <c r="IZ3" s="1">
        <f>Table1[[#This Row],[Total_Cost_MUSD]]*Table1[[#This Row],[prob50-failure_rating5]]*1000000/50</f>
        <v>3.0324638832000002</v>
      </c>
      <c r="JA3" s="1">
        <f>Table1[[#This Row],[Total_Cost_MUSD]]*Table1[[#This Row],[prob50-failure_rating6]]*1000000/50</f>
        <v>94.764496350000002</v>
      </c>
      <c r="JB3" s="1">
        <f>Table1[[#This Row],[Total_Cost_MUSD]]*Table1[[#This Row],[prob50-failure_rating7]]*1000000/50</f>
        <v>94.764496350000002</v>
      </c>
      <c r="JC3" s="1">
        <f>Table1[[#This Row],[Total_Cost_MUSD]]*Table1[[#This Row],[prob50-failure_rating8]]*1000000/50</f>
        <v>1.8952899270000001</v>
      </c>
      <c r="JD3" s="1">
        <f>Table1[[#This Row],[Total_Cost_MUSD]]*Table1[[#This Row],[prob50-failure_rating9]]*1000000/50</f>
        <v>1.1371739562000001</v>
      </c>
      <c r="JE3" s="1">
        <f>Table1[[#This Row],[Total_Cost_MUSD]]*Table1[[#This Row],[prob10-failure_rating1]]*1000000/10</f>
        <v>18952.899270000002</v>
      </c>
      <c r="JF3" s="1">
        <f>Table1[[#This Row],[Total_Cost_MUSD]]*Table1[[#This Row],[prob10-failure_rating2]]*1000000/10</f>
        <v>15162.319416000002</v>
      </c>
      <c r="JG3" s="1">
        <f>Table1[[#This Row],[Total_Cost_MUSD]]*Table1[[#This Row],[prob10-failure_rating3]]*1000000/10</f>
        <v>3032.4638832000001</v>
      </c>
      <c r="JH3" s="1">
        <f>Table1[[#This Row],[Total_Cost_MUSD]]*Table1[[#This Row],[prob10-failure_rating4]]*1000000/10</f>
        <v>1137.1739561999998</v>
      </c>
      <c r="JI3" s="1">
        <f>Table1[[#This Row],[Total_Cost_MUSD]]*Table1[[#This Row],[prob10-failure_rating5]]*1000000/10</f>
        <v>75.811597079999999</v>
      </c>
      <c r="JJ3" s="1">
        <f>Table1[[#This Row],[Total_Cost_MUSD]]*Table1[[#This Row],[prob10-failure_rating6]]*1000000/10</f>
        <v>758.11597080000001</v>
      </c>
      <c r="JK3" s="1">
        <f>Table1[[#This Row],[Total_Cost_MUSD]]*Table1[[#This Row],[prob10-failure_rating7]]*1000000/10</f>
        <v>758.11597080000001</v>
      </c>
      <c r="JL3" s="1">
        <f>Table1[[#This Row],[Total_Cost_MUSD]]*Table1[[#This Row],[prob10-failure_rating8]]*1000000/10</f>
        <v>37.905798539999999</v>
      </c>
      <c r="JM3" s="1">
        <f>Table1[[#This Row],[Total_Cost_MUSD]]*Table1[[#This Row],[prob10-failure_rating9]]*1000000/10</f>
        <v>7.5811597079999995</v>
      </c>
      <c r="JN3" s="1">
        <f>Table1[[#This Row],[FailureCost_Rating1]]</f>
        <v>26060.23649625</v>
      </c>
      <c r="JO3" s="1">
        <f>Table1[[#This Row],[failurecost500_rating1]]+Table1[[#This Row],[failurecost100_rating1]]+Table1[[#This Row],[failurecost50_rating1]]+Table1[[#This Row],[failurecost10_rating1]]</f>
        <v>26060.23649625</v>
      </c>
      <c r="JP3" s="1">
        <f>Table1[[#This Row],[failurecost500_rating2]]+Table1[[#This Row],[failurecost100_rating2]]+Table1[[#This Row],[failurecost50_rating2]]+Table1[[#This Row],[failurecost10_rating2]]</f>
        <v>18952.899270000002</v>
      </c>
      <c r="JQ3" s="1">
        <f>Table1[[#This Row],[failurecost500_rating2]]+Table1[[#This Row],[failurecost100_rating2]]+Table1[[#This Row],[failurecost50_rating2]]+Table1[[#This Row],[failurecost10_rating2]]</f>
        <v>18952.899270000002</v>
      </c>
      <c r="JR3" s="1">
        <f>Table1[[#This Row],[failurecost500_rating3]]+Table1[[#This Row],[failurecost100_rating3]]+Table1[[#This Row],[failurecost50_rating3]]+Table1[[#This Row],[failurecost10_rating3]]</f>
        <v>4093.8262423199999</v>
      </c>
      <c r="JS3" s="1">
        <f>Table1[[#This Row],[failurecost500_rating3]]+Table1[[#This Row],[failurecost100_rating3]]+Table1[[#This Row],[failurecost50_rating3]]+Table1[[#This Row],[failurecost10_rating3]]</f>
        <v>4093.8262423199999</v>
      </c>
      <c r="JT3" s="1">
        <f>Table1[[#This Row],[failurecost500_rating4]]+Table1[[#This Row],[failurecost100_rating4]]+Table1[[#This Row],[failurecost50_rating4]]+Table1[[#This Row],[failurecost10_rating4]]</f>
        <v>1436.6297646659998</v>
      </c>
      <c r="JU3" s="1">
        <f>Table1[[#This Row],[failurecost500_rating4]]+Table1[[#This Row],[failurecost100_rating4]]+Table1[[#This Row],[failurecost50_rating4]]+Table1[[#This Row],[failurecost10_rating4]]</f>
        <v>1436.6297646659998</v>
      </c>
      <c r="JV3" s="1">
        <f>Table1[[#This Row],[failurecost500_rating5]]+Table1[[#This Row],[failurecost100_rating5]]+Table1[[#This Row],[failurecost50_rating5]]+Table1[[#This Row],[failurecost10_rating5]]</f>
        <v>80.625633494580001</v>
      </c>
      <c r="JW3" s="1">
        <f>Table1[[#This Row],[failurecost500_rating5]]+Table1[[#This Row],[failurecost100_rating5]]+Table1[[#This Row],[failurecost50_rating5]]+Table1[[#This Row],[failurecost10_rating5]]</f>
        <v>80.625633494580001</v>
      </c>
    </row>
    <row r="4" spans="1:283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Table1[[#This Row],[Depth10_Soil_vol]]*(9.353+9.027)+(Table1[[#This Row],[Depth10_Soil_vol]]/2.5)*20*1.053+(PI()*Table1[[#This Row],[Depth10_Scour]])*Table1[[#This Row],[DECK_WIDTH_MT_052]]*1.062</f>
        <v>0</v>
      </c>
      <c r="AR4" s="1">
        <f>Table1[[#This Row],[Depth50_Soil_vol]]*(9.353+9.027)+(Table1[[#This Row],[Depth50_Soil_vol]]/2.5)*20*1.053+(PI()*Table1[[#This Row],[Depth50_Scour]])*Table1[[#This Row],[DECK_WIDTH_MT_052]]*1.062</f>
        <v>5183.5345730170238</v>
      </c>
      <c r="AS4" s="1">
        <f>Table1[[#This Row],[Depth100_Soil_vol]]*(9.353+9.027)+(Table1[[#This Row],[Depth100_Soil_vol]]/2.5)*20*1.053+(PI()*Table1[[#This Row],[Depth100_Scour]])*Table1[[#This Row],[DECK_WIDTH_MT_052]]*1.062</f>
        <v>5452.2219529566692</v>
      </c>
      <c r="AT4" s="1">
        <f>Table1[[#This Row],[Depth500_Soil_vol]]*(9.353+9.027)+(Table1[[#This Row],[Depth500_Soil_vol]]/2.5)*20*1.053+(PI()*Table1[[#This Row],[Depth500_Scour]])*Table1[[#This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>
        <v>36.37292137</v>
      </c>
      <c r="GE4" s="1">
        <v>0</v>
      </c>
      <c r="GF4" s="1">
        <v>0</v>
      </c>
      <c r="GG4" s="1">
        <v>0</v>
      </c>
      <c r="GH4" s="1">
        <v>0</v>
      </c>
      <c r="GI4" s="1">
        <v>8</v>
      </c>
      <c r="GJ4" s="1">
        <f>Table1[[#This Row],[cost_repair_rating1]]</f>
        <v>2201425378.5086136</v>
      </c>
      <c r="GK4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2201425378.5086136</v>
      </c>
      <c r="GL4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435467879.40475875</v>
      </c>
      <c r="GM4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27425674.338111024</v>
      </c>
      <c r="GN4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576134.07410496799</v>
      </c>
      <c r="GO4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245068.6042131891</v>
      </c>
      <c r="GP4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123549.64288401467</v>
      </c>
      <c r="GQ4" s="1">
        <v>0</v>
      </c>
      <c r="GR4" s="1">
        <v>0</v>
      </c>
      <c r="GS4" s="1">
        <v>0</v>
      </c>
      <c r="GT4" s="1">
        <f t="shared" si="0"/>
        <v>2.5000000000000001E-2</v>
      </c>
      <c r="GU4" s="1">
        <v>0.01</v>
      </c>
      <c r="GV4" s="1">
        <v>2.5000000000000001E-3</v>
      </c>
      <c r="GW4" s="1">
        <v>4.0000000000000002E-4</v>
      </c>
      <c r="GX4" s="1">
        <v>6.9999999999999999E-6</v>
      </c>
      <c r="GY4" s="1">
        <v>1.8000000000000001E-4</v>
      </c>
      <c r="GZ4" s="1">
        <v>1.8000000000000001E-4</v>
      </c>
      <c r="HA4" s="1">
        <v>3.9999999999999998E-6</v>
      </c>
      <c r="HB4" s="1">
        <v>2.5000000000000002E-6</v>
      </c>
      <c r="HC4" s="1">
        <f t="shared" si="1"/>
        <v>1.2500000000000001E-2</v>
      </c>
      <c r="HD4" s="1">
        <v>6.0000000000000001E-3</v>
      </c>
      <c r="HE4" s="1">
        <v>2.5000000000000001E-3</v>
      </c>
      <c r="HF4" s="1">
        <v>5.0000000000000001E-4</v>
      </c>
      <c r="HG4" s="1">
        <v>7.9999999999999996E-6</v>
      </c>
      <c r="HH4" s="1">
        <v>2.5000000000000001E-4</v>
      </c>
      <c r="HI4" s="1">
        <v>2.5000000000000001E-4</v>
      </c>
      <c r="HJ4" s="1">
        <v>5.0000000000000004E-6</v>
      </c>
      <c r="HK4" s="1">
        <v>3.0000000000000001E-6</v>
      </c>
      <c r="HL4" s="1">
        <v>0.01</v>
      </c>
      <c r="HM4" s="1">
        <v>6.0000000000000001E-3</v>
      </c>
      <c r="HN4" s="1">
        <v>1.2999999999999999E-3</v>
      </c>
      <c r="HO4" s="1">
        <v>5.0000000000000001E-4</v>
      </c>
      <c r="HP4" s="1">
        <v>7.9999999999999996E-6</v>
      </c>
      <c r="HQ4" s="1">
        <v>2.5000000000000001E-4</v>
      </c>
      <c r="HR4" s="1">
        <v>2.5000000000000001E-4</v>
      </c>
      <c r="HS4" s="1">
        <v>5.0000000000000004E-6</v>
      </c>
      <c r="HT4" s="1">
        <v>3.0000000000000001E-6</v>
      </c>
      <c r="HU4" s="1">
        <v>0.01</v>
      </c>
      <c r="HV4" s="1">
        <v>8.0000000000000002E-3</v>
      </c>
      <c r="HW4" s="1">
        <v>1.6000000000000001E-3</v>
      </c>
      <c r="HX4" s="1">
        <v>5.9999999999999995E-4</v>
      </c>
      <c r="HY4" s="1">
        <v>4.0000000000000003E-5</v>
      </c>
      <c r="HZ4" s="1">
        <v>4.0000000000000002E-4</v>
      </c>
      <c r="IA4" s="1">
        <v>4.0000000000000002E-4</v>
      </c>
      <c r="IB4" s="1">
        <v>2.0000000000000002E-5</v>
      </c>
      <c r="IC4" s="1">
        <v>3.9999999999999998E-6</v>
      </c>
      <c r="ID4" s="1">
        <f>Table1[[#This Row],[Total_Cost_MUSD]]*Table1[[#This Row],[prob500-failure_rating1]]*1000000/500</f>
        <v>1818.6460685</v>
      </c>
      <c r="IE4" s="1">
        <f>Table1[[#This Row],[Total_Cost_MUSD]]*Table1[[#This Row],[prob500-failure_rating2]]*1000000/500</f>
        <v>727.45842740000001</v>
      </c>
      <c r="IF4" s="1">
        <f>Table1[[#This Row],[Total_Cost_MUSD]]*Table1[[#This Row],[prob500-failure_rating3]]*1000000/500</f>
        <v>181.86460685</v>
      </c>
      <c r="IG4" s="1">
        <f>Table1[[#This Row],[Total_Cost_MUSD]]*Table1[[#This Row],[prob500-failure_rating4]]*1000000/500</f>
        <v>29.098337096000002</v>
      </c>
      <c r="IH4" s="1">
        <f>Table1[[#This Row],[Total_Cost_MUSD]]*Table1[[#This Row],[prob500-failure_rating5]]*1000000/500</f>
        <v>0.50922089918000002</v>
      </c>
      <c r="II4" s="1">
        <f>Table1[[#This Row],[Total_Cost_MUSD]]*Table1[[#This Row],[prob500-failure_rating6]]*1000000/500</f>
        <v>13.0942516932</v>
      </c>
      <c r="IJ4" s="1">
        <f>Table1[[#This Row],[Total_Cost_MUSD]]*Table1[[#This Row],[prob500-failure_rating7]]*1000000/500</f>
        <v>13.0942516932</v>
      </c>
      <c r="IK4" s="1">
        <f>Table1[[#This Row],[Total_Cost_MUSD]]*Table1[[#This Row],[prob500-failure_rating8]]*1000000/500</f>
        <v>0.29098337095999999</v>
      </c>
      <c r="IL4" s="1">
        <f>Table1[[#This Row],[Total_Cost_MUSD]]*Table1[[#This Row],[prob500-failure_rating9]]*1000000/500</f>
        <v>0.18186460685000003</v>
      </c>
      <c r="IM4" s="1">
        <f>Table1[[#This Row],[Total_Cost_MUSD]]*Table1[[#This Row],[prob100-failure_rating1]]*1000000/100</f>
        <v>4546.6151712500005</v>
      </c>
      <c r="IN4" s="1">
        <f>Table1[[#This Row],[Total_Cost_MUSD]]*Table1[[#This Row],[prob100-failure_rating2]]*1000000/100</f>
        <v>2182.3752822000001</v>
      </c>
      <c r="IO4" s="1">
        <f>Table1[[#This Row],[Total_Cost_MUSD]]*Table1[[#This Row],[prob100-failure_rating3]]*1000000/100</f>
        <v>909.32303425000009</v>
      </c>
      <c r="IP4" s="1">
        <f>Table1[[#This Row],[Total_Cost_MUSD]]*Table1[[#This Row],[prob100-failure_rating4]]*1000000/100</f>
        <v>181.86460684999997</v>
      </c>
      <c r="IQ4" s="1">
        <f>Table1[[#This Row],[Total_Cost_MUSD]]*Table1[[#This Row],[prob100-failure_rating5]]*1000000/100</f>
        <v>2.9098337096</v>
      </c>
      <c r="IR4" s="1">
        <f>Table1[[#This Row],[Total_Cost_MUSD]]*Table1[[#This Row],[prob100-failure_rating6]]*1000000/100</f>
        <v>90.932303424999986</v>
      </c>
      <c r="IS4" s="1">
        <f>Table1[[#This Row],[Total_Cost_MUSD]]*Table1[[#This Row],[prob100-failure_rating7]]*1000000/100</f>
        <v>90.932303424999986</v>
      </c>
      <c r="IT4" s="1">
        <f>Table1[[#This Row],[Total_Cost_MUSD]]*Table1[[#This Row],[prob100-failure_rating8]]*1000000/100</f>
        <v>1.8186460685000003</v>
      </c>
      <c r="IU4" s="1">
        <f>Table1[[#This Row],[Total_Cost_MUSD]]*Table1[[#This Row],[prob100-failure_rating9]]*1000000/100</f>
        <v>1.0911876411000001</v>
      </c>
      <c r="IV4" s="1">
        <f>Table1[[#This Row],[Total_Cost_MUSD]]*Table1[[#This Row],[prob50-failure_rating1]]*1000000/50</f>
        <v>7274.5842740000007</v>
      </c>
      <c r="IW4" s="1">
        <f>Table1[[#This Row],[Total_Cost_MUSD]]*Table1[[#This Row],[prob50-failure_rating2]]*1000000/50</f>
        <v>4364.7505644000003</v>
      </c>
      <c r="IX4" s="1">
        <f>Table1[[#This Row],[Total_Cost_MUSD]]*Table1[[#This Row],[prob50-failure_rating3]]*1000000/50</f>
        <v>945.69595561999984</v>
      </c>
      <c r="IY4" s="1">
        <f>Table1[[#This Row],[Total_Cost_MUSD]]*Table1[[#This Row],[prob50-failure_rating4]]*1000000/50</f>
        <v>363.72921369999995</v>
      </c>
      <c r="IZ4" s="1">
        <f>Table1[[#This Row],[Total_Cost_MUSD]]*Table1[[#This Row],[prob50-failure_rating5]]*1000000/50</f>
        <v>5.8196674192</v>
      </c>
      <c r="JA4" s="1">
        <f>Table1[[#This Row],[Total_Cost_MUSD]]*Table1[[#This Row],[prob50-failure_rating6]]*1000000/50</f>
        <v>181.86460684999997</v>
      </c>
      <c r="JB4" s="1">
        <f>Table1[[#This Row],[Total_Cost_MUSD]]*Table1[[#This Row],[prob50-failure_rating7]]*1000000/50</f>
        <v>181.86460684999997</v>
      </c>
      <c r="JC4" s="1">
        <f>Table1[[#This Row],[Total_Cost_MUSD]]*Table1[[#This Row],[prob50-failure_rating8]]*1000000/50</f>
        <v>3.6372921370000006</v>
      </c>
      <c r="JD4" s="1">
        <f>Table1[[#This Row],[Total_Cost_MUSD]]*Table1[[#This Row],[prob50-failure_rating9]]*1000000/50</f>
        <v>2.1823752822000002</v>
      </c>
      <c r="JE4" s="1">
        <f>Table1[[#This Row],[Total_Cost_MUSD]]*Table1[[#This Row],[prob10-failure_rating1]]*1000000/10</f>
        <v>36372.921370000004</v>
      </c>
      <c r="JF4" s="1">
        <f>Table1[[#This Row],[Total_Cost_MUSD]]*Table1[[#This Row],[prob10-failure_rating2]]*1000000/10</f>
        <v>29098.337095999996</v>
      </c>
      <c r="JG4" s="1">
        <f>Table1[[#This Row],[Total_Cost_MUSD]]*Table1[[#This Row],[prob10-failure_rating3]]*1000000/10</f>
        <v>5819.6674192000009</v>
      </c>
      <c r="JH4" s="1">
        <f>Table1[[#This Row],[Total_Cost_MUSD]]*Table1[[#This Row],[prob10-failure_rating4]]*1000000/10</f>
        <v>2182.3752821999997</v>
      </c>
      <c r="JI4" s="1">
        <f>Table1[[#This Row],[Total_Cost_MUSD]]*Table1[[#This Row],[prob10-failure_rating5]]*1000000/10</f>
        <v>145.49168548000003</v>
      </c>
      <c r="JJ4" s="1">
        <f>Table1[[#This Row],[Total_Cost_MUSD]]*Table1[[#This Row],[prob10-failure_rating6]]*1000000/10</f>
        <v>1454.9168548000002</v>
      </c>
      <c r="JK4" s="1">
        <f>Table1[[#This Row],[Total_Cost_MUSD]]*Table1[[#This Row],[prob10-failure_rating7]]*1000000/10</f>
        <v>1454.9168548000002</v>
      </c>
      <c r="JL4" s="1">
        <f>Table1[[#This Row],[Total_Cost_MUSD]]*Table1[[#This Row],[prob10-failure_rating8]]*1000000/10</f>
        <v>72.745842740000015</v>
      </c>
      <c r="JM4" s="1">
        <f>Table1[[#This Row],[Total_Cost_MUSD]]*Table1[[#This Row],[prob10-failure_rating9]]*1000000/10</f>
        <v>14.549168548000001</v>
      </c>
      <c r="JN4" s="1">
        <f>Table1[[#This Row],[FailureCost_Rating1]]</f>
        <v>50012.76688375001</v>
      </c>
      <c r="JO4" s="1">
        <f>Table1[[#This Row],[failurecost500_rating1]]+Table1[[#This Row],[failurecost100_rating1]]+Table1[[#This Row],[failurecost50_rating1]]+Table1[[#This Row],[failurecost10_rating1]]</f>
        <v>50012.76688375001</v>
      </c>
      <c r="JP4" s="1">
        <f>Table1[[#This Row],[failurecost500_rating2]]+Table1[[#This Row],[failurecost100_rating2]]+Table1[[#This Row],[failurecost50_rating2]]+Table1[[#This Row],[failurecost10_rating2]]</f>
        <v>36372.921369999996</v>
      </c>
      <c r="JQ4" s="1">
        <f>Table1[[#This Row],[failurecost500_rating2]]+Table1[[#This Row],[failurecost100_rating2]]+Table1[[#This Row],[failurecost50_rating2]]+Table1[[#This Row],[failurecost10_rating2]]</f>
        <v>36372.921369999996</v>
      </c>
      <c r="JR4" s="1">
        <f>Table1[[#This Row],[failurecost500_rating3]]+Table1[[#This Row],[failurecost100_rating3]]+Table1[[#This Row],[failurecost50_rating3]]+Table1[[#This Row],[failurecost10_rating3]]</f>
        <v>7856.5510159200003</v>
      </c>
      <c r="JS4" s="1">
        <f>Table1[[#This Row],[failurecost500_rating3]]+Table1[[#This Row],[failurecost100_rating3]]+Table1[[#This Row],[failurecost50_rating3]]+Table1[[#This Row],[failurecost10_rating3]]</f>
        <v>7856.5510159200003</v>
      </c>
      <c r="JT4" s="1">
        <f>Table1[[#This Row],[failurecost500_rating4]]+Table1[[#This Row],[failurecost100_rating4]]+Table1[[#This Row],[failurecost50_rating4]]+Table1[[#This Row],[failurecost10_rating4]]</f>
        <v>2757.0674398459996</v>
      </c>
      <c r="JU4" s="1">
        <f>Table1[[#This Row],[failurecost500_rating4]]+Table1[[#This Row],[failurecost100_rating4]]+Table1[[#This Row],[failurecost50_rating4]]+Table1[[#This Row],[failurecost10_rating4]]</f>
        <v>2757.0674398459996</v>
      </c>
      <c r="JV4" s="1">
        <f>Table1[[#This Row],[failurecost500_rating5]]+Table1[[#This Row],[failurecost100_rating5]]+Table1[[#This Row],[failurecost50_rating5]]+Table1[[#This Row],[failurecost10_rating5]]</f>
        <v>154.73040750798003</v>
      </c>
      <c r="JW4" s="1">
        <f>Table1[[#This Row],[failurecost500_rating5]]+Table1[[#This Row],[failurecost100_rating5]]+Table1[[#This Row],[failurecost50_rating5]]+Table1[[#This Row],[failurecost10_rating5]]</f>
        <v>154.73040750798003</v>
      </c>
    </row>
    <row r="5" spans="1:283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Table1[[#This Row],[Depth10_Soil_vol]]*(9.353+9.027)+(Table1[[#This Row],[Depth10_Soil_vol]]/2.5)*20*1.053+(PI()*Table1[[#This Row],[Depth10_Scour]])*Table1[[#This Row],[DECK_WIDTH_MT_052]]*1.062</f>
        <v>0</v>
      </c>
      <c r="AR5" s="1">
        <f>Table1[[#This Row],[Depth50_Soil_vol]]*(9.353+9.027)+(Table1[[#This Row],[Depth50_Soil_vol]]/2.5)*20*1.053+(PI()*Table1[[#This Row],[Depth50_Scour]])*Table1[[#This Row],[DECK_WIDTH_MT_052]]*1.062</f>
        <v>8698.4034732067958</v>
      </c>
      <c r="AS5" s="1">
        <f>Table1[[#This Row],[Depth100_Soil_vol]]*(9.353+9.027)+(Table1[[#This Row],[Depth100_Soil_vol]]/2.5)*20*1.053+(PI()*Table1[[#This Row],[Depth100_Scour]])*Table1[[#This Row],[DECK_WIDTH_MT_052]]*1.062</f>
        <v>10436.848001870483</v>
      </c>
      <c r="AT5" s="1">
        <f>Table1[[#This Row],[Depth500_Soil_vol]]*(9.353+9.027)+(Table1[[#This Row],[Depth500_Soil_vol]]/2.5)*20*1.053+(PI()*Table1[[#This Row],[Depth500_Scour]])*Table1[[#This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>
        <v>16.12521495</v>
      </c>
      <c r="GE5" s="1">
        <v>0</v>
      </c>
      <c r="GF5" s="1">
        <v>0</v>
      </c>
      <c r="GG5" s="1">
        <v>0</v>
      </c>
      <c r="GH5" s="1">
        <v>0</v>
      </c>
      <c r="GI5" s="1">
        <v>8</v>
      </c>
      <c r="GJ5" s="1">
        <f>Table1[[#This Row],[cost_repair_rating1]]</f>
        <v>8204638384.2782545</v>
      </c>
      <c r="GK5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8204638384.2782545</v>
      </c>
      <c r="GL5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1621863184.2730539</v>
      </c>
      <c r="GM5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101769699.25119254</v>
      </c>
      <c r="GN5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2077682.6238436503</v>
      </c>
      <c r="GO5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868525.50292213983</v>
      </c>
      <c r="GP5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429183.03428260458</v>
      </c>
      <c r="GQ5" s="1">
        <v>0</v>
      </c>
      <c r="GR5" s="1">
        <v>0</v>
      </c>
      <c r="GS5" s="1">
        <v>0</v>
      </c>
      <c r="GT5" s="1">
        <f t="shared" si="0"/>
        <v>2.5000000000000001E-2</v>
      </c>
      <c r="GU5" s="1">
        <v>0.01</v>
      </c>
      <c r="GV5" s="1">
        <v>2.5000000000000001E-3</v>
      </c>
      <c r="GW5" s="1">
        <v>4.0000000000000002E-4</v>
      </c>
      <c r="GX5" s="1">
        <v>6.9999999999999999E-6</v>
      </c>
      <c r="GY5" s="1">
        <v>1.8000000000000001E-4</v>
      </c>
      <c r="GZ5" s="1">
        <v>1.8000000000000001E-4</v>
      </c>
      <c r="HA5" s="1">
        <v>3.9999999999999998E-6</v>
      </c>
      <c r="HB5" s="1">
        <v>2.5000000000000002E-6</v>
      </c>
      <c r="HC5" s="1">
        <f t="shared" si="1"/>
        <v>1.2500000000000001E-2</v>
      </c>
      <c r="HD5" s="1">
        <v>6.0000000000000001E-3</v>
      </c>
      <c r="HE5" s="1">
        <v>2.5000000000000001E-3</v>
      </c>
      <c r="HF5" s="1">
        <v>5.0000000000000001E-4</v>
      </c>
      <c r="HG5" s="1">
        <v>7.9999999999999996E-6</v>
      </c>
      <c r="HH5" s="1">
        <v>2.5000000000000001E-4</v>
      </c>
      <c r="HI5" s="1">
        <v>2.5000000000000001E-4</v>
      </c>
      <c r="HJ5" s="1">
        <v>5.0000000000000004E-6</v>
      </c>
      <c r="HK5" s="1">
        <v>3.0000000000000001E-6</v>
      </c>
      <c r="HL5" s="1">
        <v>0.01</v>
      </c>
      <c r="HM5" s="1">
        <v>6.0000000000000001E-3</v>
      </c>
      <c r="HN5" s="1">
        <v>1.2999999999999999E-3</v>
      </c>
      <c r="HO5" s="1">
        <v>5.0000000000000001E-4</v>
      </c>
      <c r="HP5" s="1">
        <v>7.9999999999999996E-6</v>
      </c>
      <c r="HQ5" s="1">
        <v>2.5000000000000001E-4</v>
      </c>
      <c r="HR5" s="1">
        <v>2.5000000000000001E-4</v>
      </c>
      <c r="HS5" s="1">
        <v>5.0000000000000004E-6</v>
      </c>
      <c r="HT5" s="1">
        <v>3.0000000000000001E-6</v>
      </c>
      <c r="HU5" s="1">
        <v>0.01</v>
      </c>
      <c r="HV5" s="1">
        <v>8.0000000000000002E-3</v>
      </c>
      <c r="HW5" s="1">
        <v>1.6000000000000001E-3</v>
      </c>
      <c r="HX5" s="1">
        <v>5.9999999999999995E-4</v>
      </c>
      <c r="HY5" s="1">
        <v>4.0000000000000003E-5</v>
      </c>
      <c r="HZ5" s="1">
        <v>4.0000000000000002E-4</v>
      </c>
      <c r="IA5" s="1">
        <v>4.0000000000000002E-4</v>
      </c>
      <c r="IB5" s="1">
        <v>2.0000000000000002E-5</v>
      </c>
      <c r="IC5" s="1">
        <v>3.9999999999999998E-6</v>
      </c>
      <c r="ID5" s="1">
        <f>Table1[[#This Row],[Total_Cost_MUSD]]*Table1[[#This Row],[prob500-failure_rating1]]*1000000/500</f>
        <v>806.26074750000009</v>
      </c>
      <c r="IE5" s="1">
        <f>Table1[[#This Row],[Total_Cost_MUSD]]*Table1[[#This Row],[prob500-failure_rating2]]*1000000/500</f>
        <v>322.504299</v>
      </c>
      <c r="IF5" s="1">
        <f>Table1[[#This Row],[Total_Cost_MUSD]]*Table1[[#This Row],[prob500-failure_rating3]]*1000000/500</f>
        <v>80.626074750000001</v>
      </c>
      <c r="IG5" s="1">
        <f>Table1[[#This Row],[Total_Cost_MUSD]]*Table1[[#This Row],[prob500-failure_rating4]]*1000000/500</f>
        <v>12.900171960000002</v>
      </c>
      <c r="IH5" s="1">
        <f>Table1[[#This Row],[Total_Cost_MUSD]]*Table1[[#This Row],[prob500-failure_rating5]]*1000000/500</f>
        <v>0.2257530093</v>
      </c>
      <c r="II5" s="1">
        <f>Table1[[#This Row],[Total_Cost_MUSD]]*Table1[[#This Row],[prob500-failure_rating6]]*1000000/500</f>
        <v>5.8050773820000003</v>
      </c>
      <c r="IJ5" s="1">
        <f>Table1[[#This Row],[Total_Cost_MUSD]]*Table1[[#This Row],[prob500-failure_rating7]]*1000000/500</f>
        <v>5.8050773820000003</v>
      </c>
      <c r="IK5" s="1">
        <f>Table1[[#This Row],[Total_Cost_MUSD]]*Table1[[#This Row],[prob500-failure_rating8]]*1000000/500</f>
        <v>0.12900171959999998</v>
      </c>
      <c r="IL5" s="1">
        <f>Table1[[#This Row],[Total_Cost_MUSD]]*Table1[[#This Row],[prob500-failure_rating9]]*1000000/500</f>
        <v>8.0626074750000012E-2</v>
      </c>
      <c r="IM5" s="1">
        <f>Table1[[#This Row],[Total_Cost_MUSD]]*Table1[[#This Row],[prob100-failure_rating1]]*1000000/100</f>
        <v>2015.6518687500002</v>
      </c>
      <c r="IN5" s="1">
        <f>Table1[[#This Row],[Total_Cost_MUSD]]*Table1[[#This Row],[prob100-failure_rating2]]*1000000/100</f>
        <v>967.51289700000007</v>
      </c>
      <c r="IO5" s="1">
        <f>Table1[[#This Row],[Total_Cost_MUSD]]*Table1[[#This Row],[prob100-failure_rating3]]*1000000/100</f>
        <v>403.13037374999999</v>
      </c>
      <c r="IP5" s="1">
        <f>Table1[[#This Row],[Total_Cost_MUSD]]*Table1[[#This Row],[prob100-failure_rating4]]*1000000/100</f>
        <v>80.626074750000001</v>
      </c>
      <c r="IQ5" s="1">
        <f>Table1[[#This Row],[Total_Cost_MUSD]]*Table1[[#This Row],[prob100-failure_rating5]]*1000000/100</f>
        <v>1.2900171959999998</v>
      </c>
      <c r="IR5" s="1">
        <f>Table1[[#This Row],[Total_Cost_MUSD]]*Table1[[#This Row],[prob100-failure_rating6]]*1000000/100</f>
        <v>40.313037375</v>
      </c>
      <c r="IS5" s="1">
        <f>Table1[[#This Row],[Total_Cost_MUSD]]*Table1[[#This Row],[prob100-failure_rating7]]*1000000/100</f>
        <v>40.313037375</v>
      </c>
      <c r="IT5" s="1">
        <f>Table1[[#This Row],[Total_Cost_MUSD]]*Table1[[#This Row],[prob100-failure_rating8]]*1000000/100</f>
        <v>0.8062607475000001</v>
      </c>
      <c r="IU5" s="1">
        <f>Table1[[#This Row],[Total_Cost_MUSD]]*Table1[[#This Row],[prob100-failure_rating9]]*1000000/100</f>
        <v>0.48375644849999999</v>
      </c>
      <c r="IV5" s="1">
        <f>Table1[[#This Row],[Total_Cost_MUSD]]*Table1[[#This Row],[prob50-failure_rating1]]*1000000/50</f>
        <v>3225.0429899999999</v>
      </c>
      <c r="IW5" s="1">
        <f>Table1[[#This Row],[Total_Cost_MUSD]]*Table1[[#This Row],[prob50-failure_rating2]]*1000000/50</f>
        <v>1935.0257940000001</v>
      </c>
      <c r="IX5" s="1">
        <f>Table1[[#This Row],[Total_Cost_MUSD]]*Table1[[#This Row],[prob50-failure_rating3]]*1000000/50</f>
        <v>419.25558870000003</v>
      </c>
      <c r="IY5" s="1">
        <f>Table1[[#This Row],[Total_Cost_MUSD]]*Table1[[#This Row],[prob50-failure_rating4]]*1000000/50</f>
        <v>161.2521495</v>
      </c>
      <c r="IZ5" s="1">
        <f>Table1[[#This Row],[Total_Cost_MUSD]]*Table1[[#This Row],[prob50-failure_rating5]]*1000000/50</f>
        <v>2.5800343919999995</v>
      </c>
      <c r="JA5" s="1">
        <f>Table1[[#This Row],[Total_Cost_MUSD]]*Table1[[#This Row],[prob50-failure_rating6]]*1000000/50</f>
        <v>80.626074750000001</v>
      </c>
      <c r="JB5" s="1">
        <f>Table1[[#This Row],[Total_Cost_MUSD]]*Table1[[#This Row],[prob50-failure_rating7]]*1000000/50</f>
        <v>80.626074750000001</v>
      </c>
      <c r="JC5" s="1">
        <f>Table1[[#This Row],[Total_Cost_MUSD]]*Table1[[#This Row],[prob50-failure_rating8]]*1000000/50</f>
        <v>1.6125214950000002</v>
      </c>
      <c r="JD5" s="1">
        <f>Table1[[#This Row],[Total_Cost_MUSD]]*Table1[[#This Row],[prob50-failure_rating9]]*1000000/50</f>
        <v>0.96751289699999998</v>
      </c>
      <c r="JE5" s="1">
        <f>Table1[[#This Row],[Total_Cost_MUSD]]*Table1[[#This Row],[prob10-failure_rating1]]*1000000/10</f>
        <v>16125.21495</v>
      </c>
      <c r="JF5" s="1">
        <f>Table1[[#This Row],[Total_Cost_MUSD]]*Table1[[#This Row],[prob10-failure_rating2]]*1000000/10</f>
        <v>12900.171960000001</v>
      </c>
      <c r="JG5" s="1">
        <f>Table1[[#This Row],[Total_Cost_MUSD]]*Table1[[#This Row],[prob10-failure_rating3]]*1000000/10</f>
        <v>2580.0343920000005</v>
      </c>
      <c r="JH5" s="1">
        <f>Table1[[#This Row],[Total_Cost_MUSD]]*Table1[[#This Row],[prob10-failure_rating4]]*1000000/10</f>
        <v>967.51289699999984</v>
      </c>
      <c r="JI5" s="1">
        <f>Table1[[#This Row],[Total_Cost_MUSD]]*Table1[[#This Row],[prob10-failure_rating5]]*1000000/10</f>
        <v>64.500859800000015</v>
      </c>
      <c r="JJ5" s="1">
        <f>Table1[[#This Row],[Total_Cost_MUSD]]*Table1[[#This Row],[prob10-failure_rating6]]*1000000/10</f>
        <v>645.00859800000012</v>
      </c>
      <c r="JK5" s="1">
        <f>Table1[[#This Row],[Total_Cost_MUSD]]*Table1[[#This Row],[prob10-failure_rating7]]*1000000/10</f>
        <v>645.00859800000012</v>
      </c>
      <c r="JL5" s="1">
        <f>Table1[[#This Row],[Total_Cost_MUSD]]*Table1[[#This Row],[prob10-failure_rating8]]*1000000/10</f>
        <v>32.250429900000007</v>
      </c>
      <c r="JM5" s="1">
        <f>Table1[[#This Row],[Total_Cost_MUSD]]*Table1[[#This Row],[prob10-failure_rating9]]*1000000/10</f>
        <v>6.450085979999999</v>
      </c>
      <c r="JN5" s="1">
        <f>Table1[[#This Row],[FailureCost_Rating1]]</f>
        <v>22172.170556249999</v>
      </c>
      <c r="JO5" s="1">
        <f>Table1[[#This Row],[failurecost500_rating1]]+Table1[[#This Row],[failurecost100_rating1]]+Table1[[#This Row],[failurecost50_rating1]]+Table1[[#This Row],[failurecost10_rating1]]</f>
        <v>22172.170556249999</v>
      </c>
      <c r="JP5" s="1">
        <f>Table1[[#This Row],[failurecost500_rating2]]+Table1[[#This Row],[failurecost100_rating2]]+Table1[[#This Row],[failurecost50_rating2]]+Table1[[#This Row],[failurecost10_rating2]]</f>
        <v>16125.214950000001</v>
      </c>
      <c r="JQ5" s="1">
        <f>Table1[[#This Row],[failurecost500_rating2]]+Table1[[#This Row],[failurecost100_rating2]]+Table1[[#This Row],[failurecost50_rating2]]+Table1[[#This Row],[failurecost10_rating2]]</f>
        <v>16125.214950000001</v>
      </c>
      <c r="JR5" s="1">
        <f>Table1[[#This Row],[failurecost500_rating3]]+Table1[[#This Row],[failurecost100_rating3]]+Table1[[#This Row],[failurecost50_rating3]]+Table1[[#This Row],[failurecost10_rating3]]</f>
        <v>3483.0464292000006</v>
      </c>
      <c r="JS5" s="1">
        <f>Table1[[#This Row],[failurecost500_rating3]]+Table1[[#This Row],[failurecost100_rating3]]+Table1[[#This Row],[failurecost50_rating3]]+Table1[[#This Row],[failurecost10_rating3]]</f>
        <v>3483.0464292000006</v>
      </c>
      <c r="JT5" s="1">
        <f>Table1[[#This Row],[failurecost500_rating4]]+Table1[[#This Row],[failurecost100_rating4]]+Table1[[#This Row],[failurecost50_rating4]]+Table1[[#This Row],[failurecost10_rating4]]</f>
        <v>1222.2912932099998</v>
      </c>
      <c r="JU5" s="1">
        <f>Table1[[#This Row],[failurecost500_rating4]]+Table1[[#This Row],[failurecost100_rating4]]+Table1[[#This Row],[failurecost50_rating4]]+Table1[[#This Row],[failurecost10_rating4]]</f>
        <v>1222.2912932099998</v>
      </c>
      <c r="JV5" s="1">
        <f>Table1[[#This Row],[failurecost500_rating5]]+Table1[[#This Row],[failurecost100_rating5]]+Table1[[#This Row],[failurecost50_rating5]]+Table1[[#This Row],[failurecost10_rating5]]</f>
        <v>68.596664397300017</v>
      </c>
      <c r="JW5" s="1">
        <f>Table1[[#This Row],[failurecost500_rating5]]+Table1[[#This Row],[failurecost100_rating5]]+Table1[[#This Row],[failurecost50_rating5]]+Table1[[#This Row],[failurecost10_rating5]]</f>
        <v>68.596664397300017</v>
      </c>
    </row>
    <row r="6" spans="1:283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Table1[[#This Row],[Depth10_Soil_vol]]*(9.353+9.027)+(Table1[[#This Row],[Depth10_Soil_vol]]/2.5)*20*1.053+(PI()*Table1[[#This Row],[Depth10_Scour]])*Table1[[#This Row],[DECK_WIDTH_MT_052]]*1.062</f>
        <v>16919.4190908581</v>
      </c>
      <c r="AR6" s="1">
        <f>Table1[[#This Row],[Depth50_Soil_vol]]*(9.353+9.027)+(Table1[[#This Row],[Depth50_Soil_vol]]/2.5)*20*1.053+(PI()*Table1[[#This Row],[Depth50_Scour]])*Table1[[#This Row],[DECK_WIDTH_MT_052]]*1.062</f>
        <v>18202.748839783562</v>
      </c>
      <c r="AS6" s="1">
        <f>Table1[[#This Row],[Depth100_Soil_vol]]*(9.353+9.027)+(Table1[[#This Row],[Depth100_Soil_vol]]/2.5)*20*1.053+(PI()*Table1[[#This Row],[Depth100_Scour]])*Table1[[#This Row],[DECK_WIDTH_MT_052]]*1.062</f>
        <v>18769.361851972091</v>
      </c>
      <c r="AT6" s="1">
        <f>Table1[[#This Row],[Depth500_Soil_vol]]*(9.353+9.027)+(Table1[[#This Row],[Depth500_Soil_vol]]/2.5)*20*1.053+(PI()*Table1[[#This Row],[Depth500_Scour]])*Table1[[#This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>
        <v>24.57844167</v>
      </c>
      <c r="GE6" s="1">
        <v>0</v>
      </c>
      <c r="GF6" s="1">
        <v>0</v>
      </c>
      <c r="GG6" s="1">
        <v>0</v>
      </c>
      <c r="GH6" s="1">
        <v>0</v>
      </c>
      <c r="GI6" s="1">
        <v>3</v>
      </c>
      <c r="GJ6" s="1">
        <f>Table1[[#This Row],[cost_repair_rating1]]</f>
        <v>104687811220.21193</v>
      </c>
      <c r="GK6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104687811220.21193</v>
      </c>
      <c r="GL6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20683337629.56918</v>
      </c>
      <c r="GM6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1294148294.8124053</v>
      </c>
      <c r="GN6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25824622.067876011</v>
      </c>
      <c r="GO6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10640138.491252534</v>
      </c>
      <c r="GP6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5168035.0138791986</v>
      </c>
      <c r="GQ6" s="1">
        <v>0</v>
      </c>
      <c r="GR6" s="1">
        <v>0</v>
      </c>
      <c r="GS6" s="1">
        <v>0</v>
      </c>
      <c r="GT6" s="1">
        <f t="shared" si="0"/>
        <v>2.5000000000000001E-2</v>
      </c>
      <c r="GU6" s="1">
        <v>0.01</v>
      </c>
      <c r="GV6" s="1">
        <v>2.5000000000000001E-3</v>
      </c>
      <c r="GW6" s="1">
        <v>4.0000000000000002E-4</v>
      </c>
      <c r="GX6" s="1">
        <v>6.9999999999999999E-6</v>
      </c>
      <c r="GY6" s="1">
        <v>1.8000000000000001E-4</v>
      </c>
      <c r="GZ6" s="1">
        <v>1.8000000000000001E-4</v>
      </c>
      <c r="HA6" s="1">
        <v>3.9999999999999998E-6</v>
      </c>
      <c r="HB6" s="1">
        <v>2.5000000000000002E-6</v>
      </c>
      <c r="HC6" s="1">
        <f t="shared" si="1"/>
        <v>1.2500000000000001E-2</v>
      </c>
      <c r="HD6" s="1">
        <v>6.0000000000000001E-3</v>
      </c>
      <c r="HE6" s="1">
        <v>2.5000000000000001E-3</v>
      </c>
      <c r="HF6" s="1">
        <v>5.0000000000000001E-4</v>
      </c>
      <c r="HG6" s="1">
        <v>7.9999999999999996E-6</v>
      </c>
      <c r="HH6" s="1">
        <v>2.5000000000000001E-4</v>
      </c>
      <c r="HI6" s="1">
        <v>2.5000000000000001E-4</v>
      </c>
      <c r="HJ6" s="1">
        <v>5.0000000000000004E-6</v>
      </c>
      <c r="HK6" s="1">
        <v>3.0000000000000001E-6</v>
      </c>
      <c r="HL6" s="1">
        <v>0.01</v>
      </c>
      <c r="HM6" s="1">
        <v>6.0000000000000001E-3</v>
      </c>
      <c r="HN6" s="1">
        <v>1.2999999999999999E-3</v>
      </c>
      <c r="HO6" s="1">
        <v>5.0000000000000001E-4</v>
      </c>
      <c r="HP6" s="1">
        <v>7.9999999999999996E-6</v>
      </c>
      <c r="HQ6" s="1">
        <v>2.5000000000000001E-4</v>
      </c>
      <c r="HR6" s="1">
        <v>2.5000000000000001E-4</v>
      </c>
      <c r="HS6" s="1">
        <v>5.0000000000000004E-6</v>
      </c>
      <c r="HT6" s="1">
        <v>3.0000000000000001E-6</v>
      </c>
      <c r="HU6" s="1">
        <v>0.01</v>
      </c>
      <c r="HV6" s="1">
        <v>8.0000000000000002E-3</v>
      </c>
      <c r="HW6" s="1">
        <v>1.6000000000000001E-3</v>
      </c>
      <c r="HX6" s="1">
        <v>5.9999999999999995E-4</v>
      </c>
      <c r="HY6" s="1">
        <v>4.0000000000000003E-5</v>
      </c>
      <c r="HZ6" s="1">
        <v>4.0000000000000002E-4</v>
      </c>
      <c r="IA6" s="1">
        <v>4.0000000000000002E-4</v>
      </c>
      <c r="IB6" s="1">
        <v>2.0000000000000002E-5</v>
      </c>
      <c r="IC6" s="1">
        <v>3.9999999999999998E-6</v>
      </c>
      <c r="ID6" s="1">
        <f>Table1[[#This Row],[Total_Cost_MUSD]]*Table1[[#This Row],[prob500-failure_rating1]]*1000000/500</f>
        <v>1228.9220835000001</v>
      </c>
      <c r="IE6" s="1">
        <f>Table1[[#This Row],[Total_Cost_MUSD]]*Table1[[#This Row],[prob500-failure_rating2]]*1000000/500</f>
        <v>491.56883340000002</v>
      </c>
      <c r="IF6" s="1">
        <f>Table1[[#This Row],[Total_Cost_MUSD]]*Table1[[#This Row],[prob500-failure_rating3]]*1000000/500</f>
        <v>122.89220835</v>
      </c>
      <c r="IG6" s="1">
        <f>Table1[[#This Row],[Total_Cost_MUSD]]*Table1[[#This Row],[prob500-failure_rating4]]*1000000/500</f>
        <v>19.662753336000002</v>
      </c>
      <c r="IH6" s="1">
        <f>Table1[[#This Row],[Total_Cost_MUSD]]*Table1[[#This Row],[prob500-failure_rating5]]*1000000/500</f>
        <v>0.34409818337999998</v>
      </c>
      <c r="II6" s="1">
        <f>Table1[[#This Row],[Total_Cost_MUSD]]*Table1[[#This Row],[prob500-failure_rating6]]*1000000/500</f>
        <v>8.8482390012000014</v>
      </c>
      <c r="IJ6" s="1">
        <f>Table1[[#This Row],[Total_Cost_MUSD]]*Table1[[#This Row],[prob500-failure_rating7]]*1000000/500</f>
        <v>8.8482390012000014</v>
      </c>
      <c r="IK6" s="1">
        <f>Table1[[#This Row],[Total_Cost_MUSD]]*Table1[[#This Row],[prob500-failure_rating8]]*1000000/500</f>
        <v>0.19662753336</v>
      </c>
      <c r="IL6" s="1">
        <f>Table1[[#This Row],[Total_Cost_MUSD]]*Table1[[#This Row],[prob500-failure_rating9]]*1000000/500</f>
        <v>0.12289220835</v>
      </c>
      <c r="IM6" s="1">
        <f>Table1[[#This Row],[Total_Cost_MUSD]]*Table1[[#This Row],[prob100-failure_rating1]]*1000000/100</f>
        <v>3072.3052087500005</v>
      </c>
      <c r="IN6" s="1">
        <f>Table1[[#This Row],[Total_Cost_MUSD]]*Table1[[#This Row],[prob100-failure_rating2]]*1000000/100</f>
        <v>1474.7065001999999</v>
      </c>
      <c r="IO6" s="1">
        <f>Table1[[#This Row],[Total_Cost_MUSD]]*Table1[[#This Row],[prob100-failure_rating3]]*1000000/100</f>
        <v>614.46104175000005</v>
      </c>
      <c r="IP6" s="1">
        <f>Table1[[#This Row],[Total_Cost_MUSD]]*Table1[[#This Row],[prob100-failure_rating4]]*1000000/100</f>
        <v>122.89220835</v>
      </c>
      <c r="IQ6" s="1">
        <f>Table1[[#This Row],[Total_Cost_MUSD]]*Table1[[#This Row],[prob100-failure_rating5]]*1000000/100</f>
        <v>1.9662753336000001</v>
      </c>
      <c r="IR6" s="1">
        <f>Table1[[#This Row],[Total_Cost_MUSD]]*Table1[[#This Row],[prob100-failure_rating6]]*1000000/100</f>
        <v>61.446104175000002</v>
      </c>
      <c r="IS6" s="1">
        <f>Table1[[#This Row],[Total_Cost_MUSD]]*Table1[[#This Row],[prob100-failure_rating7]]*1000000/100</f>
        <v>61.446104175000002</v>
      </c>
      <c r="IT6" s="1">
        <f>Table1[[#This Row],[Total_Cost_MUSD]]*Table1[[#This Row],[prob100-failure_rating8]]*1000000/100</f>
        <v>1.2289220835000001</v>
      </c>
      <c r="IU6" s="1">
        <f>Table1[[#This Row],[Total_Cost_MUSD]]*Table1[[#This Row],[prob100-failure_rating9]]*1000000/100</f>
        <v>0.73735325009999997</v>
      </c>
      <c r="IV6" s="1">
        <f>Table1[[#This Row],[Total_Cost_MUSD]]*Table1[[#This Row],[prob50-failure_rating1]]*1000000/50</f>
        <v>4915.6883340000004</v>
      </c>
      <c r="IW6" s="1">
        <f>Table1[[#This Row],[Total_Cost_MUSD]]*Table1[[#This Row],[prob50-failure_rating2]]*1000000/50</f>
        <v>2949.4130003999999</v>
      </c>
      <c r="IX6" s="1">
        <f>Table1[[#This Row],[Total_Cost_MUSD]]*Table1[[#This Row],[prob50-failure_rating3]]*1000000/50</f>
        <v>639.03948342000001</v>
      </c>
      <c r="IY6" s="1">
        <f>Table1[[#This Row],[Total_Cost_MUSD]]*Table1[[#This Row],[prob50-failure_rating4]]*1000000/50</f>
        <v>245.78441670000001</v>
      </c>
      <c r="IZ6" s="1">
        <f>Table1[[#This Row],[Total_Cost_MUSD]]*Table1[[#This Row],[prob50-failure_rating5]]*1000000/50</f>
        <v>3.9325506672000001</v>
      </c>
      <c r="JA6" s="1">
        <f>Table1[[#This Row],[Total_Cost_MUSD]]*Table1[[#This Row],[prob50-failure_rating6]]*1000000/50</f>
        <v>122.89220835</v>
      </c>
      <c r="JB6" s="1">
        <f>Table1[[#This Row],[Total_Cost_MUSD]]*Table1[[#This Row],[prob50-failure_rating7]]*1000000/50</f>
        <v>122.89220835</v>
      </c>
      <c r="JC6" s="1">
        <f>Table1[[#This Row],[Total_Cost_MUSD]]*Table1[[#This Row],[prob50-failure_rating8]]*1000000/50</f>
        <v>2.4578441670000002</v>
      </c>
      <c r="JD6" s="1">
        <f>Table1[[#This Row],[Total_Cost_MUSD]]*Table1[[#This Row],[prob50-failure_rating9]]*1000000/50</f>
        <v>1.4747065001999999</v>
      </c>
      <c r="JE6" s="1">
        <f>Table1[[#This Row],[Total_Cost_MUSD]]*Table1[[#This Row],[prob10-failure_rating1]]*1000000/10</f>
        <v>24578.44167</v>
      </c>
      <c r="JF6" s="1">
        <f>Table1[[#This Row],[Total_Cost_MUSD]]*Table1[[#This Row],[prob10-failure_rating2]]*1000000/10</f>
        <v>19662.753336000002</v>
      </c>
      <c r="JG6" s="1">
        <f>Table1[[#This Row],[Total_Cost_MUSD]]*Table1[[#This Row],[prob10-failure_rating3]]*1000000/10</f>
        <v>3932.5506672000001</v>
      </c>
      <c r="JH6" s="1">
        <f>Table1[[#This Row],[Total_Cost_MUSD]]*Table1[[#This Row],[prob10-failure_rating4]]*1000000/10</f>
        <v>1474.7065001999999</v>
      </c>
      <c r="JI6" s="1">
        <f>Table1[[#This Row],[Total_Cost_MUSD]]*Table1[[#This Row],[prob10-failure_rating5]]*1000000/10</f>
        <v>98.313766680000001</v>
      </c>
      <c r="JJ6" s="1">
        <f>Table1[[#This Row],[Total_Cost_MUSD]]*Table1[[#This Row],[prob10-failure_rating6]]*1000000/10</f>
        <v>983.13766680000003</v>
      </c>
      <c r="JK6" s="1">
        <f>Table1[[#This Row],[Total_Cost_MUSD]]*Table1[[#This Row],[prob10-failure_rating7]]*1000000/10</f>
        <v>983.13766680000003</v>
      </c>
      <c r="JL6" s="1">
        <f>Table1[[#This Row],[Total_Cost_MUSD]]*Table1[[#This Row],[prob10-failure_rating8]]*1000000/10</f>
        <v>49.15688334</v>
      </c>
      <c r="JM6" s="1">
        <f>Table1[[#This Row],[Total_Cost_MUSD]]*Table1[[#This Row],[prob10-failure_rating9]]*1000000/10</f>
        <v>9.8313766680000008</v>
      </c>
      <c r="JN6" s="1">
        <f>Table1[[#This Row],[FailureCost_Rating1]]</f>
        <v>33795.357296250004</v>
      </c>
      <c r="JO6" s="1">
        <f>Table1[[#This Row],[failurecost500_rating1]]+Table1[[#This Row],[failurecost100_rating1]]+Table1[[#This Row],[failurecost50_rating1]]+Table1[[#This Row],[failurecost10_rating1]]</f>
        <v>33795.357296250004</v>
      </c>
      <c r="JP6" s="1">
        <f>Table1[[#This Row],[failurecost500_rating2]]+Table1[[#This Row],[failurecost100_rating2]]+Table1[[#This Row],[failurecost50_rating2]]+Table1[[#This Row],[failurecost10_rating2]]</f>
        <v>24578.44167</v>
      </c>
      <c r="JQ6" s="1">
        <f>Table1[[#This Row],[failurecost500_rating2]]+Table1[[#This Row],[failurecost100_rating2]]+Table1[[#This Row],[failurecost50_rating2]]+Table1[[#This Row],[failurecost10_rating2]]</f>
        <v>24578.44167</v>
      </c>
      <c r="JR6" s="1">
        <f>Table1[[#This Row],[failurecost500_rating3]]+Table1[[#This Row],[failurecost100_rating3]]+Table1[[#This Row],[failurecost50_rating3]]+Table1[[#This Row],[failurecost10_rating3]]</f>
        <v>5308.9434007199998</v>
      </c>
      <c r="JS6" s="1">
        <f>Table1[[#This Row],[failurecost500_rating3]]+Table1[[#This Row],[failurecost100_rating3]]+Table1[[#This Row],[failurecost50_rating3]]+Table1[[#This Row],[failurecost10_rating3]]</f>
        <v>5308.9434007199998</v>
      </c>
      <c r="JT6" s="1">
        <f>Table1[[#This Row],[failurecost500_rating4]]+Table1[[#This Row],[failurecost100_rating4]]+Table1[[#This Row],[failurecost50_rating4]]+Table1[[#This Row],[failurecost10_rating4]]</f>
        <v>1863.0458785860001</v>
      </c>
      <c r="JU6" s="1">
        <f>Table1[[#This Row],[failurecost500_rating4]]+Table1[[#This Row],[failurecost100_rating4]]+Table1[[#This Row],[failurecost50_rating4]]+Table1[[#This Row],[failurecost10_rating4]]</f>
        <v>1863.0458785860001</v>
      </c>
      <c r="JV6" s="1">
        <f>Table1[[#This Row],[failurecost500_rating5]]+Table1[[#This Row],[failurecost100_rating5]]+Table1[[#This Row],[failurecost50_rating5]]+Table1[[#This Row],[failurecost10_rating5]]</f>
        <v>104.55669086418</v>
      </c>
      <c r="JW6" s="1">
        <f>Table1[[#This Row],[failurecost500_rating5]]+Table1[[#This Row],[failurecost100_rating5]]+Table1[[#This Row],[failurecost50_rating5]]+Table1[[#This Row],[failurecost10_rating5]]</f>
        <v>104.55669086418</v>
      </c>
    </row>
    <row r="7" spans="1:283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Table1[[#This Row],[Depth10_Soil_vol]]*(9.353+9.027)+(Table1[[#This Row],[Depth10_Soil_vol]]/2.5)*20*1.053+(PI()*Table1[[#This Row],[Depth10_Scour]])*Table1[[#This Row],[DECK_WIDTH_MT_052]]*1.062</f>
        <v>11407.250817613454</v>
      </c>
      <c r="AR7" s="1">
        <f>Table1[[#This Row],[Depth50_Soil_vol]]*(9.353+9.027)+(Table1[[#This Row],[Depth50_Soil_vol]]/2.5)*20*1.053+(PI()*Table1[[#This Row],[Depth50_Scour]])*Table1[[#This Row],[DECK_WIDTH_MT_052]]*1.062</f>
        <v>12369.739122689782</v>
      </c>
      <c r="AS7" s="1">
        <f>Table1[[#This Row],[Depth100_Soil_vol]]*(9.353+9.027)+(Table1[[#This Row],[Depth100_Soil_vol]]/2.5)*20*1.053+(PI()*Table1[[#This Row],[Depth100_Scour]])*Table1[[#This Row],[DECK_WIDTH_MT_052]]*1.062</f>
        <v>14750.148906789464</v>
      </c>
      <c r="AT7" s="1">
        <f>Table1[[#This Row],[Depth500_Soil_vol]]*(9.353+9.027)+(Table1[[#This Row],[Depth500_Soil_vol]]/2.5)*20*1.053+(PI()*Table1[[#This Row],[Depth500_Scour]])*Table1[[#This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>
        <v>9.2416624370000005</v>
      </c>
      <c r="GE7" s="1">
        <v>0</v>
      </c>
      <c r="GF7" s="1">
        <v>0</v>
      </c>
      <c r="GG7" s="1">
        <v>0</v>
      </c>
      <c r="GH7" s="1">
        <v>0</v>
      </c>
      <c r="GI7" s="1">
        <v>8</v>
      </c>
      <c r="GJ7" s="1">
        <f>Table1[[#This Row],[cost_repair_rating1]]</f>
        <v>505830596.7040298</v>
      </c>
      <c r="GK7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505830596.7040298</v>
      </c>
      <c r="GL7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100213494.2410937</v>
      </c>
      <c r="GM7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6363484.372058942</v>
      </c>
      <c r="GN7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142044.11495593729</v>
      </c>
      <c r="GO7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62541.692682113629</v>
      </c>
      <c r="GP7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32737.063942860015</v>
      </c>
      <c r="GQ7" s="1">
        <v>0</v>
      </c>
      <c r="GR7" s="1">
        <v>0</v>
      </c>
      <c r="GS7" s="1">
        <v>0</v>
      </c>
      <c r="GT7" s="1">
        <f t="shared" si="0"/>
        <v>2.5000000000000001E-2</v>
      </c>
      <c r="GU7" s="1">
        <v>0.01</v>
      </c>
      <c r="GV7" s="1">
        <v>2.5000000000000001E-3</v>
      </c>
      <c r="GW7" s="1">
        <v>4.0000000000000002E-4</v>
      </c>
      <c r="GX7" s="1">
        <v>6.9999999999999999E-6</v>
      </c>
      <c r="GY7" s="1">
        <v>1.8000000000000001E-4</v>
      </c>
      <c r="GZ7" s="1">
        <v>1.8000000000000001E-4</v>
      </c>
      <c r="HA7" s="1">
        <v>3.9999999999999998E-6</v>
      </c>
      <c r="HB7" s="1">
        <v>2.5000000000000002E-6</v>
      </c>
      <c r="HC7" s="1">
        <f t="shared" si="1"/>
        <v>1.2500000000000001E-2</v>
      </c>
      <c r="HD7" s="1">
        <v>6.0000000000000001E-3</v>
      </c>
      <c r="HE7" s="1">
        <v>2.5000000000000001E-3</v>
      </c>
      <c r="HF7" s="1">
        <v>5.0000000000000001E-4</v>
      </c>
      <c r="HG7" s="1">
        <v>7.9999999999999996E-6</v>
      </c>
      <c r="HH7" s="1">
        <v>2.5000000000000001E-4</v>
      </c>
      <c r="HI7" s="1">
        <v>2.5000000000000001E-4</v>
      </c>
      <c r="HJ7" s="1">
        <v>5.0000000000000004E-6</v>
      </c>
      <c r="HK7" s="1">
        <v>3.0000000000000001E-6</v>
      </c>
      <c r="HL7" s="1">
        <v>0.01</v>
      </c>
      <c r="HM7" s="1">
        <v>6.0000000000000001E-3</v>
      </c>
      <c r="HN7" s="1">
        <v>1.2999999999999999E-3</v>
      </c>
      <c r="HO7" s="1">
        <v>5.0000000000000001E-4</v>
      </c>
      <c r="HP7" s="1">
        <v>7.9999999999999996E-6</v>
      </c>
      <c r="HQ7" s="1">
        <v>2.5000000000000001E-4</v>
      </c>
      <c r="HR7" s="1">
        <v>2.5000000000000001E-4</v>
      </c>
      <c r="HS7" s="1">
        <v>5.0000000000000004E-6</v>
      </c>
      <c r="HT7" s="1">
        <v>3.0000000000000001E-6</v>
      </c>
      <c r="HU7" s="1">
        <v>0.01</v>
      </c>
      <c r="HV7" s="1">
        <v>8.0000000000000002E-3</v>
      </c>
      <c r="HW7" s="1">
        <v>1.6000000000000001E-3</v>
      </c>
      <c r="HX7" s="1">
        <v>5.9999999999999995E-4</v>
      </c>
      <c r="HY7" s="1">
        <v>4.0000000000000003E-5</v>
      </c>
      <c r="HZ7" s="1">
        <v>4.0000000000000002E-4</v>
      </c>
      <c r="IA7" s="1">
        <v>4.0000000000000002E-4</v>
      </c>
      <c r="IB7" s="1">
        <v>2.0000000000000002E-5</v>
      </c>
      <c r="IC7" s="1">
        <v>3.9999999999999998E-6</v>
      </c>
      <c r="ID7" s="1">
        <f>Table1[[#This Row],[Total_Cost_MUSD]]*Table1[[#This Row],[prob500-failure_rating1]]*1000000/500</f>
        <v>462.08312185000005</v>
      </c>
      <c r="IE7" s="1">
        <f>Table1[[#This Row],[Total_Cost_MUSD]]*Table1[[#This Row],[prob500-failure_rating2]]*1000000/500</f>
        <v>184.83324874000002</v>
      </c>
      <c r="IF7" s="1">
        <f>Table1[[#This Row],[Total_Cost_MUSD]]*Table1[[#This Row],[prob500-failure_rating3]]*1000000/500</f>
        <v>46.208312185000004</v>
      </c>
      <c r="IG7" s="1">
        <f>Table1[[#This Row],[Total_Cost_MUSD]]*Table1[[#This Row],[prob500-failure_rating4]]*1000000/500</f>
        <v>7.3933299496000009</v>
      </c>
      <c r="IH7" s="1">
        <f>Table1[[#This Row],[Total_Cost_MUSD]]*Table1[[#This Row],[prob500-failure_rating5]]*1000000/500</f>
        <v>0.12938327411799999</v>
      </c>
      <c r="II7" s="1">
        <f>Table1[[#This Row],[Total_Cost_MUSD]]*Table1[[#This Row],[prob500-failure_rating6]]*1000000/500</f>
        <v>3.3269984773200005</v>
      </c>
      <c r="IJ7" s="1">
        <f>Table1[[#This Row],[Total_Cost_MUSD]]*Table1[[#This Row],[prob500-failure_rating7]]*1000000/500</f>
        <v>3.3269984773200005</v>
      </c>
      <c r="IK7" s="1">
        <f>Table1[[#This Row],[Total_Cost_MUSD]]*Table1[[#This Row],[prob500-failure_rating8]]*1000000/500</f>
        <v>7.3933299495999999E-2</v>
      </c>
      <c r="IL7" s="1">
        <f>Table1[[#This Row],[Total_Cost_MUSD]]*Table1[[#This Row],[prob500-failure_rating9]]*1000000/500</f>
        <v>4.6208312185000003E-2</v>
      </c>
      <c r="IM7" s="1">
        <f>Table1[[#This Row],[Total_Cost_MUSD]]*Table1[[#This Row],[prob100-failure_rating1]]*1000000/100</f>
        <v>1155.2078046250001</v>
      </c>
      <c r="IN7" s="1">
        <f>Table1[[#This Row],[Total_Cost_MUSD]]*Table1[[#This Row],[prob100-failure_rating2]]*1000000/100</f>
        <v>554.49974622000013</v>
      </c>
      <c r="IO7" s="1">
        <f>Table1[[#This Row],[Total_Cost_MUSD]]*Table1[[#This Row],[prob100-failure_rating3]]*1000000/100</f>
        <v>231.041560925</v>
      </c>
      <c r="IP7" s="1">
        <f>Table1[[#This Row],[Total_Cost_MUSD]]*Table1[[#This Row],[prob100-failure_rating4]]*1000000/100</f>
        <v>46.208312184999997</v>
      </c>
      <c r="IQ7" s="1">
        <f>Table1[[#This Row],[Total_Cost_MUSD]]*Table1[[#This Row],[prob100-failure_rating5]]*1000000/100</f>
        <v>0.73933299496000005</v>
      </c>
      <c r="IR7" s="1">
        <f>Table1[[#This Row],[Total_Cost_MUSD]]*Table1[[#This Row],[prob100-failure_rating6]]*1000000/100</f>
        <v>23.104156092499998</v>
      </c>
      <c r="IS7" s="1">
        <f>Table1[[#This Row],[Total_Cost_MUSD]]*Table1[[#This Row],[prob100-failure_rating7]]*1000000/100</f>
        <v>23.104156092499998</v>
      </c>
      <c r="IT7" s="1">
        <f>Table1[[#This Row],[Total_Cost_MUSD]]*Table1[[#This Row],[prob100-failure_rating8]]*1000000/100</f>
        <v>0.46208312185000006</v>
      </c>
      <c r="IU7" s="1">
        <f>Table1[[#This Row],[Total_Cost_MUSD]]*Table1[[#This Row],[prob100-failure_rating9]]*1000000/100</f>
        <v>0.27724987311000004</v>
      </c>
      <c r="IV7" s="1">
        <f>Table1[[#This Row],[Total_Cost_MUSD]]*Table1[[#This Row],[prob50-failure_rating1]]*1000000/50</f>
        <v>1848.3324874</v>
      </c>
      <c r="IW7" s="1">
        <f>Table1[[#This Row],[Total_Cost_MUSD]]*Table1[[#This Row],[prob50-failure_rating2]]*1000000/50</f>
        <v>1108.9994924400003</v>
      </c>
      <c r="IX7" s="1">
        <f>Table1[[#This Row],[Total_Cost_MUSD]]*Table1[[#This Row],[prob50-failure_rating3]]*1000000/50</f>
        <v>240.283223362</v>
      </c>
      <c r="IY7" s="1">
        <f>Table1[[#This Row],[Total_Cost_MUSD]]*Table1[[#This Row],[prob50-failure_rating4]]*1000000/50</f>
        <v>92.416624369999994</v>
      </c>
      <c r="IZ7" s="1">
        <f>Table1[[#This Row],[Total_Cost_MUSD]]*Table1[[#This Row],[prob50-failure_rating5]]*1000000/50</f>
        <v>1.4786659899200001</v>
      </c>
      <c r="JA7" s="1">
        <f>Table1[[#This Row],[Total_Cost_MUSD]]*Table1[[#This Row],[prob50-failure_rating6]]*1000000/50</f>
        <v>46.208312184999997</v>
      </c>
      <c r="JB7" s="1">
        <f>Table1[[#This Row],[Total_Cost_MUSD]]*Table1[[#This Row],[prob50-failure_rating7]]*1000000/50</f>
        <v>46.208312184999997</v>
      </c>
      <c r="JC7" s="1">
        <f>Table1[[#This Row],[Total_Cost_MUSD]]*Table1[[#This Row],[prob50-failure_rating8]]*1000000/50</f>
        <v>0.92416624370000011</v>
      </c>
      <c r="JD7" s="1">
        <f>Table1[[#This Row],[Total_Cost_MUSD]]*Table1[[#This Row],[prob50-failure_rating9]]*1000000/50</f>
        <v>0.55449974622000009</v>
      </c>
      <c r="JE7" s="1">
        <f>Table1[[#This Row],[Total_Cost_MUSD]]*Table1[[#This Row],[prob10-failure_rating1]]*1000000/10</f>
        <v>9241.6624370000009</v>
      </c>
      <c r="JF7" s="1">
        <f>Table1[[#This Row],[Total_Cost_MUSD]]*Table1[[#This Row],[prob10-failure_rating2]]*1000000/10</f>
        <v>7393.3299495999991</v>
      </c>
      <c r="JG7" s="1">
        <f>Table1[[#This Row],[Total_Cost_MUSD]]*Table1[[#This Row],[prob10-failure_rating3]]*1000000/10</f>
        <v>1478.6659899200001</v>
      </c>
      <c r="JH7" s="1">
        <f>Table1[[#This Row],[Total_Cost_MUSD]]*Table1[[#This Row],[prob10-failure_rating4]]*1000000/10</f>
        <v>554.49974622000002</v>
      </c>
      <c r="JI7" s="1">
        <f>Table1[[#This Row],[Total_Cost_MUSD]]*Table1[[#This Row],[prob10-failure_rating5]]*1000000/10</f>
        <v>36.966649748000002</v>
      </c>
      <c r="JJ7" s="1">
        <f>Table1[[#This Row],[Total_Cost_MUSD]]*Table1[[#This Row],[prob10-failure_rating6]]*1000000/10</f>
        <v>369.66649748000003</v>
      </c>
      <c r="JK7" s="1">
        <f>Table1[[#This Row],[Total_Cost_MUSD]]*Table1[[#This Row],[prob10-failure_rating7]]*1000000/10</f>
        <v>369.66649748000003</v>
      </c>
      <c r="JL7" s="1">
        <f>Table1[[#This Row],[Total_Cost_MUSD]]*Table1[[#This Row],[prob10-failure_rating8]]*1000000/10</f>
        <v>18.483324874000001</v>
      </c>
      <c r="JM7" s="1">
        <f>Table1[[#This Row],[Total_Cost_MUSD]]*Table1[[#This Row],[prob10-failure_rating9]]*1000000/10</f>
        <v>3.6966649748</v>
      </c>
      <c r="JN7" s="1">
        <f>Table1[[#This Row],[FailureCost_Rating1]]</f>
        <v>12707.285850875001</v>
      </c>
      <c r="JO7" s="1">
        <f>Table1[[#This Row],[failurecost500_rating1]]+Table1[[#This Row],[failurecost100_rating1]]+Table1[[#This Row],[failurecost50_rating1]]+Table1[[#This Row],[failurecost10_rating1]]</f>
        <v>12707.285850875001</v>
      </c>
      <c r="JP7" s="1">
        <f>Table1[[#This Row],[failurecost500_rating2]]+Table1[[#This Row],[failurecost100_rating2]]+Table1[[#This Row],[failurecost50_rating2]]+Table1[[#This Row],[failurecost10_rating2]]</f>
        <v>9241.662436999999</v>
      </c>
      <c r="JQ7" s="1">
        <f>Table1[[#This Row],[failurecost500_rating2]]+Table1[[#This Row],[failurecost100_rating2]]+Table1[[#This Row],[failurecost50_rating2]]+Table1[[#This Row],[failurecost10_rating2]]</f>
        <v>9241.662436999999</v>
      </c>
      <c r="JR7" s="1">
        <f>Table1[[#This Row],[failurecost500_rating3]]+Table1[[#This Row],[failurecost100_rating3]]+Table1[[#This Row],[failurecost50_rating3]]+Table1[[#This Row],[failurecost10_rating3]]</f>
        <v>1996.199086392</v>
      </c>
      <c r="JS7" s="1">
        <f>Table1[[#This Row],[failurecost500_rating3]]+Table1[[#This Row],[failurecost100_rating3]]+Table1[[#This Row],[failurecost50_rating3]]+Table1[[#This Row],[failurecost10_rating3]]</f>
        <v>1996.199086392</v>
      </c>
      <c r="JT7" s="1">
        <f>Table1[[#This Row],[failurecost500_rating4]]+Table1[[#This Row],[failurecost100_rating4]]+Table1[[#This Row],[failurecost50_rating4]]+Table1[[#This Row],[failurecost10_rating4]]</f>
        <v>700.5180127246</v>
      </c>
      <c r="JU7" s="1">
        <f>Table1[[#This Row],[failurecost500_rating4]]+Table1[[#This Row],[failurecost100_rating4]]+Table1[[#This Row],[failurecost50_rating4]]+Table1[[#This Row],[failurecost10_rating4]]</f>
        <v>700.5180127246</v>
      </c>
      <c r="JV7" s="1">
        <f>Table1[[#This Row],[failurecost500_rating5]]+Table1[[#This Row],[failurecost100_rating5]]+Table1[[#This Row],[failurecost50_rating5]]+Table1[[#This Row],[failurecost10_rating5]]</f>
        <v>39.314032006998005</v>
      </c>
      <c r="JW7" s="1">
        <f>Table1[[#This Row],[failurecost500_rating5]]+Table1[[#This Row],[failurecost100_rating5]]+Table1[[#This Row],[failurecost50_rating5]]+Table1[[#This Row],[failurecost10_rating5]]</f>
        <v>39.314032006998005</v>
      </c>
    </row>
    <row r="8" spans="1:283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Table1[[#This Row],[Depth10_Soil_vol]]*(9.353+9.027)+(Table1[[#This Row],[Depth10_Soil_vol]]/2.5)*20*1.053+(PI()*Table1[[#This Row],[Depth10_Scour]])*Table1[[#This Row],[DECK_WIDTH_MT_052]]*1.062</f>
        <v>16463.256386162553</v>
      </c>
      <c r="AR8" s="1">
        <f>Table1[[#This Row],[Depth50_Soil_vol]]*(9.353+9.027)+(Table1[[#This Row],[Depth50_Soil_vol]]/2.5)*20*1.053+(PI()*Table1[[#This Row],[Depth50_Scour]])*Table1[[#This Row],[DECK_WIDTH_MT_052]]*1.062</f>
        <v>18935.802677782114</v>
      </c>
      <c r="AS8" s="1">
        <f>Table1[[#This Row],[Depth100_Soil_vol]]*(9.353+9.027)+(Table1[[#This Row],[Depth100_Soil_vol]]/2.5)*20*1.053+(PI()*Table1[[#This Row],[Depth100_Scour]])*Table1[[#This Row],[DECK_WIDTH_MT_052]]*1.062</f>
        <v>19959.892643325038</v>
      </c>
      <c r="AT8" s="1">
        <f>Table1[[#This Row],[Depth500_Soil_vol]]*(9.353+9.027)+(Table1[[#This Row],[Depth500_Soil_vol]]/2.5)*20*1.053+(PI()*Table1[[#This Row],[Depth500_Scour]])*Table1[[#This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>
        <v>47.935071469999997</v>
      </c>
      <c r="GE8" s="1">
        <v>0</v>
      </c>
      <c r="GF8" s="1">
        <v>0</v>
      </c>
      <c r="GG8" s="1">
        <v>0</v>
      </c>
      <c r="GH8" s="1">
        <v>0</v>
      </c>
      <c r="GI8" s="1">
        <v>9</v>
      </c>
      <c r="GJ8" s="1">
        <f>Table1[[#This Row],[cost_repair_rating1]]</f>
        <v>177785096559.00015</v>
      </c>
      <c r="GK8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177785096559.00015</v>
      </c>
      <c r="GL8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35123599000.460983</v>
      </c>
      <c r="GM8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2197100311.6826406</v>
      </c>
      <c r="GN8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43750959.421597503</v>
      </c>
      <c r="GO8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18001540.032207396</v>
      </c>
      <c r="GP8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8729150.9118573647</v>
      </c>
      <c r="GQ8" s="1">
        <v>0</v>
      </c>
      <c r="GR8" s="1">
        <v>0</v>
      </c>
      <c r="GS8" s="1">
        <v>0</v>
      </c>
      <c r="GT8" s="1">
        <f t="shared" si="0"/>
        <v>2.5000000000000001E-2</v>
      </c>
      <c r="GU8" s="1">
        <v>0.01</v>
      </c>
      <c r="GV8" s="1">
        <v>2.5000000000000001E-3</v>
      </c>
      <c r="GW8" s="1">
        <v>4.0000000000000002E-4</v>
      </c>
      <c r="GX8" s="1">
        <v>6.9999999999999999E-6</v>
      </c>
      <c r="GY8" s="1">
        <v>1.8000000000000001E-4</v>
      </c>
      <c r="GZ8" s="1">
        <v>1.8000000000000001E-4</v>
      </c>
      <c r="HA8" s="1">
        <v>3.9999999999999998E-6</v>
      </c>
      <c r="HB8" s="1">
        <v>2.5000000000000002E-6</v>
      </c>
      <c r="HC8" s="1">
        <f t="shared" si="1"/>
        <v>1.2500000000000001E-2</v>
      </c>
      <c r="HD8" s="1">
        <v>6.0000000000000001E-3</v>
      </c>
      <c r="HE8" s="1">
        <v>2.5000000000000001E-3</v>
      </c>
      <c r="HF8" s="1">
        <v>5.0000000000000001E-4</v>
      </c>
      <c r="HG8" s="1">
        <v>7.9999999999999996E-6</v>
      </c>
      <c r="HH8" s="1">
        <v>2.5000000000000001E-4</v>
      </c>
      <c r="HI8" s="1">
        <v>2.5000000000000001E-4</v>
      </c>
      <c r="HJ8" s="1">
        <v>5.0000000000000004E-6</v>
      </c>
      <c r="HK8" s="1">
        <v>3.0000000000000001E-6</v>
      </c>
      <c r="HL8" s="1">
        <v>0.01</v>
      </c>
      <c r="HM8" s="1">
        <v>6.0000000000000001E-3</v>
      </c>
      <c r="HN8" s="1">
        <v>1.2999999999999999E-3</v>
      </c>
      <c r="HO8" s="1">
        <v>5.0000000000000001E-4</v>
      </c>
      <c r="HP8" s="1">
        <v>7.9999999999999996E-6</v>
      </c>
      <c r="HQ8" s="1">
        <v>2.5000000000000001E-4</v>
      </c>
      <c r="HR8" s="1">
        <v>2.5000000000000001E-4</v>
      </c>
      <c r="HS8" s="1">
        <v>5.0000000000000004E-6</v>
      </c>
      <c r="HT8" s="1">
        <v>3.0000000000000001E-6</v>
      </c>
      <c r="HU8" s="1">
        <v>0.01</v>
      </c>
      <c r="HV8" s="1">
        <v>8.0000000000000002E-3</v>
      </c>
      <c r="HW8" s="1">
        <v>1.6000000000000001E-3</v>
      </c>
      <c r="HX8" s="1">
        <v>5.9999999999999995E-4</v>
      </c>
      <c r="HY8" s="1">
        <v>4.0000000000000003E-5</v>
      </c>
      <c r="HZ8" s="1">
        <v>4.0000000000000002E-4</v>
      </c>
      <c r="IA8" s="1">
        <v>4.0000000000000002E-4</v>
      </c>
      <c r="IB8" s="1">
        <v>2.0000000000000002E-5</v>
      </c>
      <c r="IC8" s="1">
        <v>3.9999999999999998E-6</v>
      </c>
      <c r="ID8" s="1">
        <f>Table1[[#This Row],[Total_Cost_MUSD]]*Table1[[#This Row],[prob500-failure_rating1]]*1000000/500</f>
        <v>2396.7535735000001</v>
      </c>
      <c r="IE8" s="1">
        <f>Table1[[#This Row],[Total_Cost_MUSD]]*Table1[[#This Row],[prob500-failure_rating2]]*1000000/500</f>
        <v>958.70142939999994</v>
      </c>
      <c r="IF8" s="1">
        <f>Table1[[#This Row],[Total_Cost_MUSD]]*Table1[[#This Row],[prob500-failure_rating3]]*1000000/500</f>
        <v>239.67535734999998</v>
      </c>
      <c r="IG8" s="1">
        <f>Table1[[#This Row],[Total_Cost_MUSD]]*Table1[[#This Row],[prob500-failure_rating4]]*1000000/500</f>
        <v>38.348057175999998</v>
      </c>
      <c r="IH8" s="1">
        <f>Table1[[#This Row],[Total_Cost_MUSD]]*Table1[[#This Row],[prob500-failure_rating5]]*1000000/500</f>
        <v>0.67109100058000004</v>
      </c>
      <c r="II8" s="1">
        <f>Table1[[#This Row],[Total_Cost_MUSD]]*Table1[[#This Row],[prob500-failure_rating6]]*1000000/500</f>
        <v>17.2566257292</v>
      </c>
      <c r="IJ8" s="1">
        <f>Table1[[#This Row],[Total_Cost_MUSD]]*Table1[[#This Row],[prob500-failure_rating7]]*1000000/500</f>
        <v>17.2566257292</v>
      </c>
      <c r="IK8" s="1">
        <f>Table1[[#This Row],[Total_Cost_MUSD]]*Table1[[#This Row],[prob500-failure_rating8]]*1000000/500</f>
        <v>0.38348057176</v>
      </c>
      <c r="IL8" s="1">
        <f>Table1[[#This Row],[Total_Cost_MUSD]]*Table1[[#This Row],[prob500-failure_rating9]]*1000000/500</f>
        <v>0.23967535734999998</v>
      </c>
      <c r="IM8" s="1">
        <f>Table1[[#This Row],[Total_Cost_MUSD]]*Table1[[#This Row],[prob100-failure_rating1]]*1000000/100</f>
        <v>5991.8839337499994</v>
      </c>
      <c r="IN8" s="1">
        <f>Table1[[#This Row],[Total_Cost_MUSD]]*Table1[[#This Row],[prob100-failure_rating2]]*1000000/100</f>
        <v>2876.1042881999997</v>
      </c>
      <c r="IO8" s="1">
        <f>Table1[[#This Row],[Total_Cost_MUSD]]*Table1[[#This Row],[prob100-failure_rating3]]*1000000/100</f>
        <v>1198.3767867499998</v>
      </c>
      <c r="IP8" s="1">
        <f>Table1[[#This Row],[Total_Cost_MUSD]]*Table1[[#This Row],[prob100-failure_rating4]]*1000000/100</f>
        <v>239.67535735000001</v>
      </c>
      <c r="IQ8" s="1">
        <f>Table1[[#This Row],[Total_Cost_MUSD]]*Table1[[#This Row],[prob100-failure_rating5]]*1000000/100</f>
        <v>3.8348057175999997</v>
      </c>
      <c r="IR8" s="1">
        <f>Table1[[#This Row],[Total_Cost_MUSD]]*Table1[[#This Row],[prob100-failure_rating6]]*1000000/100</f>
        <v>119.83767867500001</v>
      </c>
      <c r="IS8" s="1">
        <f>Table1[[#This Row],[Total_Cost_MUSD]]*Table1[[#This Row],[prob100-failure_rating7]]*1000000/100</f>
        <v>119.83767867500001</v>
      </c>
      <c r="IT8" s="1">
        <f>Table1[[#This Row],[Total_Cost_MUSD]]*Table1[[#This Row],[prob100-failure_rating8]]*1000000/100</f>
        <v>2.3967535734999998</v>
      </c>
      <c r="IU8" s="1">
        <f>Table1[[#This Row],[Total_Cost_MUSD]]*Table1[[#This Row],[prob100-failure_rating9]]*1000000/100</f>
        <v>1.4380521440999998</v>
      </c>
      <c r="IV8" s="1">
        <f>Table1[[#This Row],[Total_Cost_MUSD]]*Table1[[#This Row],[prob50-failure_rating1]]*1000000/50</f>
        <v>9587.0142939999987</v>
      </c>
      <c r="IW8" s="1">
        <f>Table1[[#This Row],[Total_Cost_MUSD]]*Table1[[#This Row],[prob50-failure_rating2]]*1000000/50</f>
        <v>5752.2085763999994</v>
      </c>
      <c r="IX8" s="1">
        <f>Table1[[#This Row],[Total_Cost_MUSD]]*Table1[[#This Row],[prob50-failure_rating3]]*1000000/50</f>
        <v>1246.3118582199997</v>
      </c>
      <c r="IY8" s="1">
        <f>Table1[[#This Row],[Total_Cost_MUSD]]*Table1[[#This Row],[prob50-failure_rating4]]*1000000/50</f>
        <v>479.35071470000003</v>
      </c>
      <c r="IZ8" s="1">
        <f>Table1[[#This Row],[Total_Cost_MUSD]]*Table1[[#This Row],[prob50-failure_rating5]]*1000000/50</f>
        <v>7.6696114351999993</v>
      </c>
      <c r="JA8" s="1">
        <f>Table1[[#This Row],[Total_Cost_MUSD]]*Table1[[#This Row],[prob50-failure_rating6]]*1000000/50</f>
        <v>239.67535735000001</v>
      </c>
      <c r="JB8" s="1">
        <f>Table1[[#This Row],[Total_Cost_MUSD]]*Table1[[#This Row],[prob50-failure_rating7]]*1000000/50</f>
        <v>239.67535735000001</v>
      </c>
      <c r="JC8" s="1">
        <f>Table1[[#This Row],[Total_Cost_MUSD]]*Table1[[#This Row],[prob50-failure_rating8]]*1000000/50</f>
        <v>4.7935071469999997</v>
      </c>
      <c r="JD8" s="1">
        <f>Table1[[#This Row],[Total_Cost_MUSD]]*Table1[[#This Row],[prob50-failure_rating9]]*1000000/50</f>
        <v>2.8761042881999996</v>
      </c>
      <c r="JE8" s="1">
        <f>Table1[[#This Row],[Total_Cost_MUSD]]*Table1[[#This Row],[prob10-failure_rating1]]*1000000/10</f>
        <v>47935.071469999995</v>
      </c>
      <c r="JF8" s="1">
        <f>Table1[[#This Row],[Total_Cost_MUSD]]*Table1[[#This Row],[prob10-failure_rating2]]*1000000/10</f>
        <v>38348.057176000002</v>
      </c>
      <c r="JG8" s="1">
        <f>Table1[[#This Row],[Total_Cost_MUSD]]*Table1[[#This Row],[prob10-failure_rating3]]*1000000/10</f>
        <v>7669.6114351999986</v>
      </c>
      <c r="JH8" s="1">
        <f>Table1[[#This Row],[Total_Cost_MUSD]]*Table1[[#This Row],[prob10-failure_rating4]]*1000000/10</f>
        <v>2876.1042881999992</v>
      </c>
      <c r="JI8" s="1">
        <f>Table1[[#This Row],[Total_Cost_MUSD]]*Table1[[#This Row],[prob10-failure_rating5]]*1000000/10</f>
        <v>191.74028587999999</v>
      </c>
      <c r="JJ8" s="1">
        <f>Table1[[#This Row],[Total_Cost_MUSD]]*Table1[[#This Row],[prob10-failure_rating6]]*1000000/10</f>
        <v>1917.4028587999996</v>
      </c>
      <c r="JK8" s="1">
        <f>Table1[[#This Row],[Total_Cost_MUSD]]*Table1[[#This Row],[prob10-failure_rating7]]*1000000/10</f>
        <v>1917.4028587999996</v>
      </c>
      <c r="JL8" s="1">
        <f>Table1[[#This Row],[Total_Cost_MUSD]]*Table1[[#This Row],[prob10-failure_rating8]]*1000000/10</f>
        <v>95.870142939999994</v>
      </c>
      <c r="JM8" s="1">
        <f>Table1[[#This Row],[Total_Cost_MUSD]]*Table1[[#This Row],[prob10-failure_rating9]]*1000000/10</f>
        <v>19.174028587999999</v>
      </c>
      <c r="JN8" s="1">
        <f>Table1[[#This Row],[FailureCost_Rating1]]</f>
        <v>65910.723271249997</v>
      </c>
      <c r="JO8" s="1">
        <f>Table1[[#This Row],[failurecost500_rating1]]+Table1[[#This Row],[failurecost100_rating1]]+Table1[[#This Row],[failurecost50_rating1]]+Table1[[#This Row],[failurecost10_rating1]]</f>
        <v>65910.723271249997</v>
      </c>
      <c r="JP8" s="1">
        <f>Table1[[#This Row],[failurecost500_rating2]]+Table1[[#This Row],[failurecost100_rating2]]+Table1[[#This Row],[failurecost50_rating2]]+Table1[[#This Row],[failurecost10_rating2]]</f>
        <v>47935.071470000003</v>
      </c>
      <c r="JQ8" s="1">
        <f>Table1[[#This Row],[failurecost500_rating2]]+Table1[[#This Row],[failurecost100_rating2]]+Table1[[#This Row],[failurecost50_rating2]]+Table1[[#This Row],[failurecost10_rating2]]</f>
        <v>47935.071470000003</v>
      </c>
      <c r="JR8" s="1">
        <f>Table1[[#This Row],[failurecost500_rating3]]+Table1[[#This Row],[failurecost100_rating3]]+Table1[[#This Row],[failurecost50_rating3]]+Table1[[#This Row],[failurecost10_rating3]]</f>
        <v>10353.975437519999</v>
      </c>
      <c r="JS8" s="1">
        <f>Table1[[#This Row],[failurecost500_rating3]]+Table1[[#This Row],[failurecost100_rating3]]+Table1[[#This Row],[failurecost50_rating3]]+Table1[[#This Row],[failurecost10_rating3]]</f>
        <v>10353.975437519999</v>
      </c>
      <c r="JT8" s="1">
        <f>Table1[[#This Row],[failurecost500_rating4]]+Table1[[#This Row],[failurecost100_rating4]]+Table1[[#This Row],[failurecost50_rating4]]+Table1[[#This Row],[failurecost10_rating4]]</f>
        <v>3633.4784174259994</v>
      </c>
      <c r="JU8" s="1">
        <f>Table1[[#This Row],[failurecost500_rating4]]+Table1[[#This Row],[failurecost100_rating4]]+Table1[[#This Row],[failurecost50_rating4]]+Table1[[#This Row],[failurecost10_rating4]]</f>
        <v>3633.4784174259994</v>
      </c>
      <c r="JV8" s="1">
        <f>Table1[[#This Row],[failurecost500_rating5]]+Table1[[#This Row],[failurecost100_rating5]]+Table1[[#This Row],[failurecost50_rating5]]+Table1[[#This Row],[failurecost10_rating5]]</f>
        <v>203.91579403338</v>
      </c>
      <c r="JW8" s="1">
        <f>Table1[[#This Row],[failurecost500_rating5]]+Table1[[#This Row],[failurecost100_rating5]]+Table1[[#This Row],[failurecost50_rating5]]+Table1[[#This Row],[failurecost10_rating5]]</f>
        <v>203.91579403338</v>
      </c>
    </row>
    <row r="9" spans="1:283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Table1[[#This Row],[Depth10_Soil_vol]]*(9.353+9.027)+(Table1[[#This Row],[Depth10_Soil_vol]]/2.5)*20*1.053+(PI()*Table1[[#This Row],[Depth10_Scour]])*Table1[[#This Row],[DECK_WIDTH_MT_052]]*1.062</f>
        <v>6829.712539120831</v>
      </c>
      <c r="AR9" s="1">
        <f>Table1[[#This Row],[Depth50_Soil_vol]]*(9.353+9.027)+(Table1[[#This Row],[Depth50_Soil_vol]]/2.5)*20*1.053+(PI()*Table1[[#This Row],[Depth50_Scour]])*Table1[[#This Row],[DECK_WIDTH_MT_052]]*1.062</f>
        <v>7284.9335218547822</v>
      </c>
      <c r="AS9" s="1">
        <f>Table1[[#This Row],[Depth100_Soil_vol]]*(9.353+9.027)+(Table1[[#This Row],[Depth100_Soil_vol]]/2.5)*20*1.053+(PI()*Table1[[#This Row],[Depth100_Scour]])*Table1[[#This Row],[DECK_WIDTH_MT_052]]*1.062</f>
        <v>7678.6049905512346</v>
      </c>
      <c r="AT9" s="1">
        <f>Table1[[#This Row],[Depth500_Soil_vol]]*(9.353+9.027)+(Table1[[#This Row],[Depth500_Soil_vol]]/2.5)*20*1.053+(PI()*Table1[[#This Row],[Depth500_Scour]])*Table1[[#This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>
        <v>42.732621100000003</v>
      </c>
      <c r="GE9" s="1">
        <v>0</v>
      </c>
      <c r="GF9" s="1">
        <v>0</v>
      </c>
      <c r="GG9" s="1">
        <v>0</v>
      </c>
      <c r="GH9" s="1">
        <v>0</v>
      </c>
      <c r="GI9" s="1">
        <v>5</v>
      </c>
      <c r="GJ9" s="1">
        <f>Table1[[#This Row],[cost_repair_rating1]]</f>
        <v>3600645560.0816669</v>
      </c>
      <c r="GK9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3600645560.0816669</v>
      </c>
      <c r="GL9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712029322.02927423</v>
      </c>
      <c r="GM9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44768878.25041686</v>
      </c>
      <c r="GN9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928451.90257789567</v>
      </c>
      <c r="GO9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391880.98032205307</v>
      </c>
      <c r="GP9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195824.36195734623</v>
      </c>
      <c r="GQ9" s="1">
        <v>0</v>
      </c>
      <c r="GR9" s="1">
        <v>0</v>
      </c>
      <c r="GS9" s="1">
        <v>0</v>
      </c>
      <c r="GT9" s="1">
        <f t="shared" si="0"/>
        <v>2.5000000000000001E-2</v>
      </c>
      <c r="GU9" s="1">
        <v>0.01</v>
      </c>
      <c r="GV9" s="1">
        <v>2.5000000000000001E-3</v>
      </c>
      <c r="GW9" s="1">
        <v>4.0000000000000002E-4</v>
      </c>
      <c r="GX9" s="1">
        <v>6.9999999999999999E-6</v>
      </c>
      <c r="GY9" s="1">
        <v>1.8000000000000001E-4</v>
      </c>
      <c r="GZ9" s="1">
        <v>1.8000000000000001E-4</v>
      </c>
      <c r="HA9" s="1">
        <v>3.9999999999999998E-6</v>
      </c>
      <c r="HB9" s="1">
        <v>2.5000000000000002E-6</v>
      </c>
      <c r="HC9" s="1">
        <f t="shared" si="1"/>
        <v>1.2500000000000001E-2</v>
      </c>
      <c r="HD9" s="1">
        <v>6.0000000000000001E-3</v>
      </c>
      <c r="HE9" s="1">
        <v>2.5000000000000001E-3</v>
      </c>
      <c r="HF9" s="1">
        <v>5.0000000000000001E-4</v>
      </c>
      <c r="HG9" s="1">
        <v>7.9999999999999996E-6</v>
      </c>
      <c r="HH9" s="1">
        <v>2.5000000000000001E-4</v>
      </c>
      <c r="HI9" s="1">
        <v>2.5000000000000001E-4</v>
      </c>
      <c r="HJ9" s="1">
        <v>5.0000000000000004E-6</v>
      </c>
      <c r="HK9" s="1">
        <v>3.0000000000000001E-6</v>
      </c>
      <c r="HL9" s="1">
        <v>0.01</v>
      </c>
      <c r="HM9" s="1">
        <v>6.0000000000000001E-3</v>
      </c>
      <c r="HN9" s="1">
        <v>1.2999999999999999E-3</v>
      </c>
      <c r="HO9" s="1">
        <v>5.0000000000000001E-4</v>
      </c>
      <c r="HP9" s="1">
        <v>7.9999999999999996E-6</v>
      </c>
      <c r="HQ9" s="1">
        <v>2.5000000000000001E-4</v>
      </c>
      <c r="HR9" s="1">
        <v>2.5000000000000001E-4</v>
      </c>
      <c r="HS9" s="1">
        <v>5.0000000000000004E-6</v>
      </c>
      <c r="HT9" s="1">
        <v>3.0000000000000001E-6</v>
      </c>
      <c r="HU9" s="1">
        <v>0.01</v>
      </c>
      <c r="HV9" s="1">
        <v>8.0000000000000002E-3</v>
      </c>
      <c r="HW9" s="1">
        <v>1.6000000000000001E-3</v>
      </c>
      <c r="HX9" s="1">
        <v>5.9999999999999995E-4</v>
      </c>
      <c r="HY9" s="1">
        <v>4.0000000000000003E-5</v>
      </c>
      <c r="HZ9" s="1">
        <v>4.0000000000000002E-4</v>
      </c>
      <c r="IA9" s="1">
        <v>4.0000000000000002E-4</v>
      </c>
      <c r="IB9" s="1">
        <v>2.0000000000000002E-5</v>
      </c>
      <c r="IC9" s="1">
        <v>3.9999999999999998E-6</v>
      </c>
      <c r="ID9" s="1">
        <f>Table1[[#This Row],[Total_Cost_MUSD]]*Table1[[#This Row],[prob500-failure_rating1]]*1000000/500</f>
        <v>2136.6310550000003</v>
      </c>
      <c r="IE9" s="1">
        <f>Table1[[#This Row],[Total_Cost_MUSD]]*Table1[[#This Row],[prob500-failure_rating2]]*1000000/500</f>
        <v>854.652422</v>
      </c>
      <c r="IF9" s="1">
        <f>Table1[[#This Row],[Total_Cost_MUSD]]*Table1[[#This Row],[prob500-failure_rating3]]*1000000/500</f>
        <v>213.6631055</v>
      </c>
      <c r="IG9" s="1">
        <f>Table1[[#This Row],[Total_Cost_MUSD]]*Table1[[#This Row],[prob500-failure_rating4]]*1000000/500</f>
        <v>34.186096880000008</v>
      </c>
      <c r="IH9" s="1">
        <f>Table1[[#This Row],[Total_Cost_MUSD]]*Table1[[#This Row],[prob500-failure_rating5]]*1000000/500</f>
        <v>0.59825669540000004</v>
      </c>
      <c r="II9" s="1">
        <f>Table1[[#This Row],[Total_Cost_MUSD]]*Table1[[#This Row],[prob500-failure_rating6]]*1000000/500</f>
        <v>15.383743596</v>
      </c>
      <c r="IJ9" s="1">
        <f>Table1[[#This Row],[Total_Cost_MUSD]]*Table1[[#This Row],[prob500-failure_rating7]]*1000000/500</f>
        <v>15.383743596</v>
      </c>
      <c r="IK9" s="1">
        <f>Table1[[#This Row],[Total_Cost_MUSD]]*Table1[[#This Row],[prob500-failure_rating8]]*1000000/500</f>
        <v>0.3418609688</v>
      </c>
      <c r="IL9" s="1">
        <f>Table1[[#This Row],[Total_Cost_MUSD]]*Table1[[#This Row],[prob500-failure_rating9]]*1000000/500</f>
        <v>0.21366310550000006</v>
      </c>
      <c r="IM9" s="1">
        <f>Table1[[#This Row],[Total_Cost_MUSD]]*Table1[[#This Row],[prob100-failure_rating1]]*1000000/100</f>
        <v>5341.5776375000005</v>
      </c>
      <c r="IN9" s="1">
        <f>Table1[[#This Row],[Total_Cost_MUSD]]*Table1[[#This Row],[prob100-failure_rating2]]*1000000/100</f>
        <v>2563.9572660000003</v>
      </c>
      <c r="IO9" s="1">
        <f>Table1[[#This Row],[Total_Cost_MUSD]]*Table1[[#This Row],[prob100-failure_rating3]]*1000000/100</f>
        <v>1068.3155274999999</v>
      </c>
      <c r="IP9" s="1">
        <f>Table1[[#This Row],[Total_Cost_MUSD]]*Table1[[#This Row],[prob100-failure_rating4]]*1000000/100</f>
        <v>213.66310550000003</v>
      </c>
      <c r="IQ9" s="1">
        <f>Table1[[#This Row],[Total_Cost_MUSD]]*Table1[[#This Row],[prob100-failure_rating5]]*1000000/100</f>
        <v>3.4186096880000001</v>
      </c>
      <c r="IR9" s="1">
        <f>Table1[[#This Row],[Total_Cost_MUSD]]*Table1[[#This Row],[prob100-failure_rating6]]*1000000/100</f>
        <v>106.83155275000001</v>
      </c>
      <c r="IS9" s="1">
        <f>Table1[[#This Row],[Total_Cost_MUSD]]*Table1[[#This Row],[prob100-failure_rating7]]*1000000/100</f>
        <v>106.83155275000001</v>
      </c>
      <c r="IT9" s="1">
        <f>Table1[[#This Row],[Total_Cost_MUSD]]*Table1[[#This Row],[prob100-failure_rating8]]*1000000/100</f>
        <v>2.1366310550000005</v>
      </c>
      <c r="IU9" s="1">
        <f>Table1[[#This Row],[Total_Cost_MUSD]]*Table1[[#This Row],[prob100-failure_rating9]]*1000000/100</f>
        <v>1.2819786330000003</v>
      </c>
      <c r="IV9" s="1">
        <f>Table1[[#This Row],[Total_Cost_MUSD]]*Table1[[#This Row],[prob50-failure_rating1]]*1000000/50</f>
        <v>8546.5242199999993</v>
      </c>
      <c r="IW9" s="1">
        <f>Table1[[#This Row],[Total_Cost_MUSD]]*Table1[[#This Row],[prob50-failure_rating2]]*1000000/50</f>
        <v>5127.9145320000007</v>
      </c>
      <c r="IX9" s="1">
        <f>Table1[[#This Row],[Total_Cost_MUSD]]*Table1[[#This Row],[prob50-failure_rating3]]*1000000/50</f>
        <v>1111.0481485999999</v>
      </c>
      <c r="IY9" s="1">
        <f>Table1[[#This Row],[Total_Cost_MUSD]]*Table1[[#This Row],[prob50-failure_rating4]]*1000000/50</f>
        <v>427.32621100000006</v>
      </c>
      <c r="IZ9" s="1">
        <f>Table1[[#This Row],[Total_Cost_MUSD]]*Table1[[#This Row],[prob50-failure_rating5]]*1000000/50</f>
        <v>6.8372193760000002</v>
      </c>
      <c r="JA9" s="1">
        <f>Table1[[#This Row],[Total_Cost_MUSD]]*Table1[[#This Row],[prob50-failure_rating6]]*1000000/50</f>
        <v>213.66310550000003</v>
      </c>
      <c r="JB9" s="1">
        <f>Table1[[#This Row],[Total_Cost_MUSD]]*Table1[[#This Row],[prob50-failure_rating7]]*1000000/50</f>
        <v>213.66310550000003</v>
      </c>
      <c r="JC9" s="1">
        <f>Table1[[#This Row],[Total_Cost_MUSD]]*Table1[[#This Row],[prob50-failure_rating8]]*1000000/50</f>
        <v>4.273262110000001</v>
      </c>
      <c r="JD9" s="1">
        <f>Table1[[#This Row],[Total_Cost_MUSD]]*Table1[[#This Row],[prob50-failure_rating9]]*1000000/50</f>
        <v>2.5639572660000005</v>
      </c>
      <c r="JE9" s="1">
        <f>Table1[[#This Row],[Total_Cost_MUSD]]*Table1[[#This Row],[prob10-failure_rating1]]*1000000/10</f>
        <v>42732.621100000004</v>
      </c>
      <c r="JF9" s="1">
        <f>Table1[[#This Row],[Total_Cost_MUSD]]*Table1[[#This Row],[prob10-failure_rating2]]*1000000/10</f>
        <v>34186.096880000005</v>
      </c>
      <c r="JG9" s="1">
        <f>Table1[[#This Row],[Total_Cost_MUSD]]*Table1[[#This Row],[prob10-failure_rating3]]*1000000/10</f>
        <v>6837.2193760000009</v>
      </c>
      <c r="JH9" s="1">
        <f>Table1[[#This Row],[Total_Cost_MUSD]]*Table1[[#This Row],[prob10-failure_rating4]]*1000000/10</f>
        <v>2563.9572659999999</v>
      </c>
      <c r="JI9" s="1">
        <f>Table1[[#This Row],[Total_Cost_MUSD]]*Table1[[#This Row],[prob10-failure_rating5]]*1000000/10</f>
        <v>170.93048440000004</v>
      </c>
      <c r="JJ9" s="1">
        <f>Table1[[#This Row],[Total_Cost_MUSD]]*Table1[[#This Row],[prob10-failure_rating6]]*1000000/10</f>
        <v>1709.3048440000002</v>
      </c>
      <c r="JK9" s="1">
        <f>Table1[[#This Row],[Total_Cost_MUSD]]*Table1[[#This Row],[prob10-failure_rating7]]*1000000/10</f>
        <v>1709.3048440000002</v>
      </c>
      <c r="JL9" s="1">
        <f>Table1[[#This Row],[Total_Cost_MUSD]]*Table1[[#This Row],[prob10-failure_rating8]]*1000000/10</f>
        <v>85.46524220000002</v>
      </c>
      <c r="JM9" s="1">
        <f>Table1[[#This Row],[Total_Cost_MUSD]]*Table1[[#This Row],[prob10-failure_rating9]]*1000000/10</f>
        <v>17.09304844</v>
      </c>
      <c r="JN9" s="1">
        <f>Table1[[#This Row],[FailureCost_Rating1]]</f>
        <v>58757.3540125</v>
      </c>
      <c r="JO9" s="1">
        <f>Table1[[#This Row],[failurecost500_rating1]]+Table1[[#This Row],[failurecost100_rating1]]+Table1[[#This Row],[failurecost50_rating1]]+Table1[[#This Row],[failurecost10_rating1]]</f>
        <v>58757.3540125</v>
      </c>
      <c r="JP9" s="1">
        <f>Table1[[#This Row],[failurecost500_rating2]]+Table1[[#This Row],[failurecost100_rating2]]+Table1[[#This Row],[failurecost50_rating2]]+Table1[[#This Row],[failurecost10_rating2]]</f>
        <v>42732.621100000004</v>
      </c>
      <c r="JQ9" s="1">
        <f>Table1[[#This Row],[failurecost500_rating2]]+Table1[[#This Row],[failurecost100_rating2]]+Table1[[#This Row],[failurecost50_rating2]]+Table1[[#This Row],[failurecost10_rating2]]</f>
        <v>42732.621100000004</v>
      </c>
      <c r="JR9" s="1">
        <f>Table1[[#This Row],[failurecost500_rating3]]+Table1[[#This Row],[failurecost100_rating3]]+Table1[[#This Row],[failurecost50_rating3]]+Table1[[#This Row],[failurecost10_rating3]]</f>
        <v>9230.2461576000005</v>
      </c>
      <c r="JS9" s="1">
        <f>Table1[[#This Row],[failurecost500_rating3]]+Table1[[#This Row],[failurecost100_rating3]]+Table1[[#This Row],[failurecost50_rating3]]+Table1[[#This Row],[failurecost10_rating3]]</f>
        <v>9230.2461576000005</v>
      </c>
      <c r="JT9" s="1">
        <f>Table1[[#This Row],[failurecost500_rating4]]+Table1[[#This Row],[failurecost100_rating4]]+Table1[[#This Row],[failurecost50_rating4]]+Table1[[#This Row],[failurecost10_rating4]]</f>
        <v>3239.1326793799999</v>
      </c>
      <c r="JU9" s="1">
        <f>Table1[[#This Row],[failurecost500_rating4]]+Table1[[#This Row],[failurecost100_rating4]]+Table1[[#This Row],[failurecost50_rating4]]+Table1[[#This Row],[failurecost10_rating4]]</f>
        <v>3239.1326793799999</v>
      </c>
      <c r="JV9" s="1">
        <f>Table1[[#This Row],[failurecost500_rating5]]+Table1[[#This Row],[failurecost100_rating5]]+Table1[[#This Row],[failurecost50_rating5]]+Table1[[#This Row],[failurecost10_rating5]]</f>
        <v>181.78457015940003</v>
      </c>
      <c r="JW9" s="1">
        <f>Table1[[#This Row],[failurecost500_rating5]]+Table1[[#This Row],[failurecost100_rating5]]+Table1[[#This Row],[failurecost50_rating5]]+Table1[[#This Row],[failurecost10_rating5]]</f>
        <v>181.78457015940003</v>
      </c>
    </row>
    <row r="10" spans="1:283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Table1[[#This Row],[Depth10_Soil_vol]]*(9.353+9.027)+(Table1[[#This Row],[Depth10_Soil_vol]]/2.5)*20*1.053+(PI()*Table1[[#This Row],[Depth10_Scour]])*Table1[[#This Row],[DECK_WIDTH_MT_052]]*1.062</f>
        <v>2767.3671308174216</v>
      </c>
      <c r="AR10" s="1">
        <f>Table1[[#This Row],[Depth50_Soil_vol]]*(9.353+9.027)+(Table1[[#This Row],[Depth50_Soil_vol]]/2.5)*20*1.053+(PI()*Table1[[#This Row],[Depth50_Scour]])*Table1[[#This Row],[DECK_WIDTH_MT_052]]*1.062</f>
        <v>2942.0444801705157</v>
      </c>
      <c r="AS10" s="1">
        <f>Table1[[#This Row],[Depth100_Soil_vol]]*(9.353+9.027)+(Table1[[#This Row],[Depth100_Soil_vol]]/2.5)*20*1.053+(PI()*Table1[[#This Row],[Depth100_Scour]])*Table1[[#This Row],[DECK_WIDTH_MT_052]]*1.062</f>
        <v>3019.9468768096358</v>
      </c>
      <c r="AT10" s="1">
        <f>Table1[[#This Row],[Depth500_Soil_vol]]*(9.353+9.027)+(Table1[[#This Row],[Depth500_Soil_vol]]/2.5)*20*1.053+(PI()*Table1[[#This Row],[Depth500_Scour]])*Table1[[#This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>
        <v>17.884614809999999</v>
      </c>
      <c r="GE10" s="1">
        <v>0</v>
      </c>
      <c r="GF10" s="1">
        <v>0</v>
      </c>
      <c r="GG10" s="1">
        <v>0</v>
      </c>
      <c r="GH10" s="1">
        <v>0</v>
      </c>
      <c r="GI10" s="1">
        <v>4</v>
      </c>
      <c r="GJ10" s="1">
        <f>Table1[[#This Row],[cost_repair_rating1]]</f>
        <v>23691862044.21793</v>
      </c>
      <c r="GK10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23691862044.21793</v>
      </c>
      <c r="GL10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4681902210.6373529</v>
      </c>
      <c r="GM10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293303736.41489887</v>
      </c>
      <c r="GN10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5910719.8211493744</v>
      </c>
      <c r="GO10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2450703.6449185004</v>
      </c>
      <c r="GP10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1199364.4658748589</v>
      </c>
      <c r="GQ10" s="1">
        <v>0</v>
      </c>
      <c r="GR10" s="1">
        <v>0</v>
      </c>
      <c r="GS10" s="1">
        <v>0</v>
      </c>
      <c r="GT10" s="1">
        <f t="shared" si="0"/>
        <v>2.5000000000000001E-2</v>
      </c>
      <c r="GU10" s="1">
        <v>0.01</v>
      </c>
      <c r="GV10" s="1">
        <v>2.5000000000000001E-3</v>
      </c>
      <c r="GW10" s="1">
        <v>4.0000000000000002E-4</v>
      </c>
      <c r="GX10" s="1">
        <v>6.9999999999999999E-6</v>
      </c>
      <c r="GY10" s="1">
        <v>1.8000000000000001E-4</v>
      </c>
      <c r="GZ10" s="1">
        <v>1.8000000000000001E-4</v>
      </c>
      <c r="HA10" s="1">
        <v>3.9999999999999998E-6</v>
      </c>
      <c r="HB10" s="1">
        <v>2.5000000000000002E-6</v>
      </c>
      <c r="HC10" s="1">
        <f t="shared" si="1"/>
        <v>1.2500000000000001E-2</v>
      </c>
      <c r="HD10" s="1">
        <v>6.0000000000000001E-3</v>
      </c>
      <c r="HE10" s="1">
        <v>2.5000000000000001E-3</v>
      </c>
      <c r="HF10" s="1">
        <v>5.0000000000000001E-4</v>
      </c>
      <c r="HG10" s="1">
        <v>7.9999999999999996E-6</v>
      </c>
      <c r="HH10" s="1">
        <v>2.5000000000000001E-4</v>
      </c>
      <c r="HI10" s="1">
        <v>2.5000000000000001E-4</v>
      </c>
      <c r="HJ10" s="1">
        <v>5.0000000000000004E-6</v>
      </c>
      <c r="HK10" s="1">
        <v>3.0000000000000001E-6</v>
      </c>
      <c r="HL10" s="1">
        <v>0.01</v>
      </c>
      <c r="HM10" s="1">
        <v>6.0000000000000001E-3</v>
      </c>
      <c r="HN10" s="1">
        <v>1.2999999999999999E-3</v>
      </c>
      <c r="HO10" s="1">
        <v>5.0000000000000001E-4</v>
      </c>
      <c r="HP10" s="1">
        <v>7.9999999999999996E-6</v>
      </c>
      <c r="HQ10" s="1">
        <v>2.5000000000000001E-4</v>
      </c>
      <c r="HR10" s="1">
        <v>2.5000000000000001E-4</v>
      </c>
      <c r="HS10" s="1">
        <v>5.0000000000000004E-6</v>
      </c>
      <c r="HT10" s="1">
        <v>3.0000000000000001E-6</v>
      </c>
      <c r="HU10" s="1">
        <v>0.01</v>
      </c>
      <c r="HV10" s="1">
        <v>8.0000000000000002E-3</v>
      </c>
      <c r="HW10" s="1">
        <v>1.6000000000000001E-3</v>
      </c>
      <c r="HX10" s="1">
        <v>5.9999999999999995E-4</v>
      </c>
      <c r="HY10" s="1">
        <v>4.0000000000000003E-5</v>
      </c>
      <c r="HZ10" s="1">
        <v>4.0000000000000002E-4</v>
      </c>
      <c r="IA10" s="1">
        <v>4.0000000000000002E-4</v>
      </c>
      <c r="IB10" s="1">
        <v>2.0000000000000002E-5</v>
      </c>
      <c r="IC10" s="1">
        <v>3.9999999999999998E-6</v>
      </c>
      <c r="ID10" s="1">
        <f>Table1[[#This Row],[Total_Cost_MUSD]]*Table1[[#This Row],[prob500-failure_rating1]]*1000000/500</f>
        <v>894.23074049999991</v>
      </c>
      <c r="IE10" s="1">
        <f>Table1[[#This Row],[Total_Cost_MUSD]]*Table1[[#This Row],[prob500-failure_rating2]]*1000000/500</f>
        <v>357.69229619999999</v>
      </c>
      <c r="IF10" s="1">
        <f>Table1[[#This Row],[Total_Cost_MUSD]]*Table1[[#This Row],[prob500-failure_rating3]]*1000000/500</f>
        <v>89.423074049999997</v>
      </c>
      <c r="IG10" s="1">
        <f>Table1[[#This Row],[Total_Cost_MUSD]]*Table1[[#This Row],[prob500-failure_rating4]]*1000000/500</f>
        <v>14.307691847999999</v>
      </c>
      <c r="IH10" s="1">
        <f>Table1[[#This Row],[Total_Cost_MUSD]]*Table1[[#This Row],[prob500-failure_rating5]]*1000000/500</f>
        <v>0.25038460734000001</v>
      </c>
      <c r="II10" s="1">
        <f>Table1[[#This Row],[Total_Cost_MUSD]]*Table1[[#This Row],[prob500-failure_rating6]]*1000000/500</f>
        <v>6.4384613315999992</v>
      </c>
      <c r="IJ10" s="1">
        <f>Table1[[#This Row],[Total_Cost_MUSD]]*Table1[[#This Row],[prob500-failure_rating7]]*1000000/500</f>
        <v>6.4384613315999992</v>
      </c>
      <c r="IK10" s="1">
        <f>Table1[[#This Row],[Total_Cost_MUSD]]*Table1[[#This Row],[prob500-failure_rating8]]*1000000/500</f>
        <v>0.14307691847999998</v>
      </c>
      <c r="IL10" s="1">
        <f>Table1[[#This Row],[Total_Cost_MUSD]]*Table1[[#This Row],[prob500-failure_rating9]]*1000000/500</f>
        <v>8.9423074050000009E-2</v>
      </c>
      <c r="IM10" s="1">
        <f>Table1[[#This Row],[Total_Cost_MUSD]]*Table1[[#This Row],[prob100-failure_rating1]]*1000000/100</f>
        <v>2235.5768512499999</v>
      </c>
      <c r="IN10" s="1">
        <f>Table1[[#This Row],[Total_Cost_MUSD]]*Table1[[#This Row],[prob100-failure_rating2]]*1000000/100</f>
        <v>1073.0768885999998</v>
      </c>
      <c r="IO10" s="1">
        <f>Table1[[#This Row],[Total_Cost_MUSD]]*Table1[[#This Row],[prob100-failure_rating3]]*1000000/100</f>
        <v>447.11537024999996</v>
      </c>
      <c r="IP10" s="1">
        <f>Table1[[#This Row],[Total_Cost_MUSD]]*Table1[[#This Row],[prob100-failure_rating4]]*1000000/100</f>
        <v>89.423074049999997</v>
      </c>
      <c r="IQ10" s="1">
        <f>Table1[[#This Row],[Total_Cost_MUSD]]*Table1[[#This Row],[prob100-failure_rating5]]*1000000/100</f>
        <v>1.4307691847999999</v>
      </c>
      <c r="IR10" s="1">
        <f>Table1[[#This Row],[Total_Cost_MUSD]]*Table1[[#This Row],[prob100-failure_rating6]]*1000000/100</f>
        <v>44.711537024999998</v>
      </c>
      <c r="IS10" s="1">
        <f>Table1[[#This Row],[Total_Cost_MUSD]]*Table1[[#This Row],[prob100-failure_rating7]]*1000000/100</f>
        <v>44.711537024999998</v>
      </c>
      <c r="IT10" s="1">
        <f>Table1[[#This Row],[Total_Cost_MUSD]]*Table1[[#This Row],[prob100-failure_rating8]]*1000000/100</f>
        <v>0.89423074050000007</v>
      </c>
      <c r="IU10" s="1">
        <f>Table1[[#This Row],[Total_Cost_MUSD]]*Table1[[#This Row],[prob100-failure_rating9]]*1000000/100</f>
        <v>0.53653844429999997</v>
      </c>
      <c r="IV10" s="1">
        <f>Table1[[#This Row],[Total_Cost_MUSD]]*Table1[[#This Row],[prob50-failure_rating1]]*1000000/50</f>
        <v>3576.9229619999996</v>
      </c>
      <c r="IW10" s="1">
        <f>Table1[[#This Row],[Total_Cost_MUSD]]*Table1[[#This Row],[prob50-failure_rating2]]*1000000/50</f>
        <v>2146.1537771999997</v>
      </c>
      <c r="IX10" s="1">
        <f>Table1[[#This Row],[Total_Cost_MUSD]]*Table1[[#This Row],[prob50-failure_rating3]]*1000000/50</f>
        <v>464.99998505999991</v>
      </c>
      <c r="IY10" s="1">
        <f>Table1[[#This Row],[Total_Cost_MUSD]]*Table1[[#This Row],[prob50-failure_rating4]]*1000000/50</f>
        <v>178.84614809999999</v>
      </c>
      <c r="IZ10" s="1">
        <f>Table1[[#This Row],[Total_Cost_MUSD]]*Table1[[#This Row],[prob50-failure_rating5]]*1000000/50</f>
        <v>2.8615383695999999</v>
      </c>
      <c r="JA10" s="1">
        <f>Table1[[#This Row],[Total_Cost_MUSD]]*Table1[[#This Row],[prob50-failure_rating6]]*1000000/50</f>
        <v>89.423074049999997</v>
      </c>
      <c r="JB10" s="1">
        <f>Table1[[#This Row],[Total_Cost_MUSD]]*Table1[[#This Row],[prob50-failure_rating7]]*1000000/50</f>
        <v>89.423074049999997</v>
      </c>
      <c r="JC10" s="1">
        <f>Table1[[#This Row],[Total_Cost_MUSD]]*Table1[[#This Row],[prob50-failure_rating8]]*1000000/50</f>
        <v>1.7884614810000001</v>
      </c>
      <c r="JD10" s="1">
        <f>Table1[[#This Row],[Total_Cost_MUSD]]*Table1[[#This Row],[prob50-failure_rating9]]*1000000/50</f>
        <v>1.0730768885999999</v>
      </c>
      <c r="JE10" s="1">
        <f>Table1[[#This Row],[Total_Cost_MUSD]]*Table1[[#This Row],[prob10-failure_rating1]]*1000000/10</f>
        <v>17884.614809999999</v>
      </c>
      <c r="JF10" s="1">
        <f>Table1[[#This Row],[Total_Cost_MUSD]]*Table1[[#This Row],[prob10-failure_rating2]]*1000000/10</f>
        <v>14307.691847999999</v>
      </c>
      <c r="JG10" s="1">
        <f>Table1[[#This Row],[Total_Cost_MUSD]]*Table1[[#This Row],[prob10-failure_rating3]]*1000000/10</f>
        <v>2861.5383695999999</v>
      </c>
      <c r="JH10" s="1">
        <f>Table1[[#This Row],[Total_Cost_MUSD]]*Table1[[#This Row],[prob10-failure_rating4]]*1000000/10</f>
        <v>1073.0768886000001</v>
      </c>
      <c r="JI10" s="1">
        <f>Table1[[#This Row],[Total_Cost_MUSD]]*Table1[[#This Row],[prob10-failure_rating5]]*1000000/10</f>
        <v>71.538459240000009</v>
      </c>
      <c r="JJ10" s="1">
        <f>Table1[[#This Row],[Total_Cost_MUSD]]*Table1[[#This Row],[prob10-failure_rating6]]*1000000/10</f>
        <v>715.38459239999997</v>
      </c>
      <c r="JK10" s="1">
        <f>Table1[[#This Row],[Total_Cost_MUSD]]*Table1[[#This Row],[prob10-failure_rating7]]*1000000/10</f>
        <v>715.38459239999997</v>
      </c>
      <c r="JL10" s="1">
        <f>Table1[[#This Row],[Total_Cost_MUSD]]*Table1[[#This Row],[prob10-failure_rating8]]*1000000/10</f>
        <v>35.769229620000004</v>
      </c>
      <c r="JM10" s="1">
        <f>Table1[[#This Row],[Total_Cost_MUSD]]*Table1[[#This Row],[prob10-failure_rating9]]*1000000/10</f>
        <v>7.1538459239999996</v>
      </c>
      <c r="JN10" s="1">
        <f>Table1[[#This Row],[FailureCost_Rating1]]</f>
        <v>24591.345363749999</v>
      </c>
      <c r="JO10" s="1">
        <f>Table1[[#This Row],[failurecost500_rating1]]+Table1[[#This Row],[failurecost100_rating1]]+Table1[[#This Row],[failurecost50_rating1]]+Table1[[#This Row],[failurecost10_rating1]]</f>
        <v>24591.345363749999</v>
      </c>
      <c r="JP10" s="1">
        <f>Table1[[#This Row],[failurecost500_rating2]]+Table1[[#This Row],[failurecost100_rating2]]+Table1[[#This Row],[failurecost50_rating2]]+Table1[[#This Row],[failurecost10_rating2]]</f>
        <v>17884.614809999999</v>
      </c>
      <c r="JQ10" s="1">
        <f>Table1[[#This Row],[failurecost500_rating2]]+Table1[[#This Row],[failurecost100_rating2]]+Table1[[#This Row],[failurecost50_rating2]]+Table1[[#This Row],[failurecost10_rating2]]</f>
        <v>17884.614809999999</v>
      </c>
      <c r="JR10" s="1">
        <f>Table1[[#This Row],[failurecost500_rating3]]+Table1[[#This Row],[failurecost100_rating3]]+Table1[[#This Row],[failurecost50_rating3]]+Table1[[#This Row],[failurecost10_rating3]]</f>
        <v>3863.0767989599999</v>
      </c>
      <c r="JS10" s="1">
        <f>Table1[[#This Row],[failurecost500_rating3]]+Table1[[#This Row],[failurecost100_rating3]]+Table1[[#This Row],[failurecost50_rating3]]+Table1[[#This Row],[failurecost10_rating3]]</f>
        <v>3863.0767989599999</v>
      </c>
      <c r="JT10" s="1">
        <f>Table1[[#This Row],[failurecost500_rating4]]+Table1[[#This Row],[failurecost100_rating4]]+Table1[[#This Row],[failurecost50_rating4]]+Table1[[#This Row],[failurecost10_rating4]]</f>
        <v>1355.6538025980001</v>
      </c>
      <c r="JU10" s="1">
        <f>Table1[[#This Row],[failurecost500_rating4]]+Table1[[#This Row],[failurecost100_rating4]]+Table1[[#This Row],[failurecost50_rating4]]+Table1[[#This Row],[failurecost10_rating4]]</f>
        <v>1355.6538025980001</v>
      </c>
      <c r="JV10" s="1">
        <f>Table1[[#This Row],[failurecost500_rating5]]+Table1[[#This Row],[failurecost100_rating5]]+Table1[[#This Row],[failurecost50_rating5]]+Table1[[#This Row],[failurecost10_rating5]]</f>
        <v>76.081151401740016</v>
      </c>
      <c r="JW10" s="1">
        <f>Table1[[#This Row],[failurecost500_rating5]]+Table1[[#This Row],[failurecost100_rating5]]+Table1[[#This Row],[failurecost50_rating5]]+Table1[[#This Row],[failurecost10_rating5]]</f>
        <v>76.081151401740016</v>
      </c>
    </row>
    <row r="11" spans="1:283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Table1[[#This Row],[Depth10_Soil_vol]]*(9.353+9.027)+(Table1[[#This Row],[Depth10_Soil_vol]]/2.5)*20*1.053+(PI()*Table1[[#This Row],[Depth10_Scour]])*Table1[[#This Row],[DECK_WIDTH_MT_052]]*1.062</f>
        <v>12912.070383440046</v>
      </c>
      <c r="AR11" s="1">
        <f>Table1[[#This Row],[Depth50_Soil_vol]]*(9.353+9.027)+(Table1[[#This Row],[Depth50_Soil_vol]]/2.5)*20*1.053+(PI()*Table1[[#This Row],[Depth50_Scour]])*Table1[[#This Row],[DECK_WIDTH_MT_052]]*1.062</f>
        <v>13809.829327894035</v>
      </c>
      <c r="AS11" s="1">
        <f>Table1[[#This Row],[Depth100_Soil_vol]]*(9.353+9.027)+(Table1[[#This Row],[Depth100_Soil_vol]]/2.5)*20*1.053+(PI()*Table1[[#This Row],[Depth100_Scour]])*Table1[[#This Row],[DECK_WIDTH_MT_052]]*1.062</f>
        <v>14209.20261771438</v>
      </c>
      <c r="AT11" s="1">
        <f>Table1[[#This Row],[Depth500_Soil_vol]]*(9.353+9.027)+(Table1[[#This Row],[Depth500_Soil_vol]]/2.5)*20*1.053+(PI()*Table1[[#This Row],[Depth500_Scour]])*Table1[[#This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>
        <v>61.928876150000001</v>
      </c>
      <c r="GE11" s="1">
        <v>0</v>
      </c>
      <c r="GF11" s="1">
        <v>0</v>
      </c>
      <c r="GG11" s="1">
        <v>0</v>
      </c>
      <c r="GH11" s="1">
        <v>0</v>
      </c>
      <c r="GI11" s="1">
        <v>4</v>
      </c>
      <c r="GJ11" s="1">
        <f>Table1[[#This Row],[cost_repair_rating1]]</f>
        <v>1186106855.5317302</v>
      </c>
      <c r="GK11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1186106855.5317302</v>
      </c>
      <c r="GL11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234746733.25355038</v>
      </c>
      <c r="GM11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14825111.062900113</v>
      </c>
      <c r="GN11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318008.09000540501</v>
      </c>
      <c r="GO11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136941.23916502667</v>
      </c>
      <c r="GP11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69990.588168980103</v>
      </c>
      <c r="GQ11" s="1">
        <v>0</v>
      </c>
      <c r="GR11" s="1">
        <v>0</v>
      </c>
      <c r="GS11" s="1">
        <v>0</v>
      </c>
      <c r="GT11" s="1">
        <f t="shared" si="0"/>
        <v>2.5000000000000001E-2</v>
      </c>
      <c r="GU11" s="1">
        <v>0.01</v>
      </c>
      <c r="GV11" s="1">
        <v>2.5000000000000001E-3</v>
      </c>
      <c r="GW11" s="1">
        <v>4.0000000000000002E-4</v>
      </c>
      <c r="GX11" s="1">
        <v>6.9999999999999999E-6</v>
      </c>
      <c r="GY11" s="1">
        <v>1.8000000000000001E-4</v>
      </c>
      <c r="GZ11" s="1">
        <v>1.8000000000000001E-4</v>
      </c>
      <c r="HA11" s="1">
        <v>3.9999999999999998E-6</v>
      </c>
      <c r="HB11" s="1">
        <v>2.5000000000000002E-6</v>
      </c>
      <c r="HC11" s="1">
        <f t="shared" si="1"/>
        <v>1.2500000000000001E-2</v>
      </c>
      <c r="HD11" s="1">
        <v>6.0000000000000001E-3</v>
      </c>
      <c r="HE11" s="1">
        <v>2.5000000000000001E-3</v>
      </c>
      <c r="HF11" s="1">
        <v>5.0000000000000001E-4</v>
      </c>
      <c r="HG11" s="1">
        <v>7.9999999999999996E-6</v>
      </c>
      <c r="HH11" s="1">
        <v>2.5000000000000001E-4</v>
      </c>
      <c r="HI11" s="1">
        <v>2.5000000000000001E-4</v>
      </c>
      <c r="HJ11" s="1">
        <v>5.0000000000000004E-6</v>
      </c>
      <c r="HK11" s="1">
        <v>3.0000000000000001E-6</v>
      </c>
      <c r="HL11" s="1">
        <v>0.01</v>
      </c>
      <c r="HM11" s="1">
        <v>6.0000000000000001E-3</v>
      </c>
      <c r="HN11" s="1">
        <v>1.2999999999999999E-3</v>
      </c>
      <c r="HO11" s="1">
        <v>5.0000000000000001E-4</v>
      </c>
      <c r="HP11" s="1">
        <v>7.9999999999999996E-6</v>
      </c>
      <c r="HQ11" s="1">
        <v>2.5000000000000001E-4</v>
      </c>
      <c r="HR11" s="1">
        <v>2.5000000000000001E-4</v>
      </c>
      <c r="HS11" s="1">
        <v>5.0000000000000004E-6</v>
      </c>
      <c r="HT11" s="1">
        <v>3.0000000000000001E-6</v>
      </c>
      <c r="HU11" s="1">
        <v>0.01</v>
      </c>
      <c r="HV11" s="1">
        <v>8.0000000000000002E-3</v>
      </c>
      <c r="HW11" s="1">
        <v>1.6000000000000001E-3</v>
      </c>
      <c r="HX11" s="1">
        <v>5.9999999999999995E-4</v>
      </c>
      <c r="HY11" s="1">
        <v>4.0000000000000003E-5</v>
      </c>
      <c r="HZ11" s="1">
        <v>4.0000000000000002E-4</v>
      </c>
      <c r="IA11" s="1">
        <v>4.0000000000000002E-4</v>
      </c>
      <c r="IB11" s="1">
        <v>2.0000000000000002E-5</v>
      </c>
      <c r="IC11" s="1">
        <v>3.9999999999999998E-6</v>
      </c>
      <c r="ID11" s="1">
        <f>Table1[[#This Row],[Total_Cost_MUSD]]*Table1[[#This Row],[prob500-failure_rating1]]*1000000/500</f>
        <v>3096.4438075000003</v>
      </c>
      <c r="IE11" s="1">
        <f>Table1[[#This Row],[Total_Cost_MUSD]]*Table1[[#This Row],[prob500-failure_rating2]]*1000000/500</f>
        <v>1238.5775230000002</v>
      </c>
      <c r="IF11" s="1">
        <f>Table1[[#This Row],[Total_Cost_MUSD]]*Table1[[#This Row],[prob500-failure_rating3]]*1000000/500</f>
        <v>309.64438075000004</v>
      </c>
      <c r="IG11" s="1">
        <f>Table1[[#This Row],[Total_Cost_MUSD]]*Table1[[#This Row],[prob500-failure_rating4]]*1000000/500</f>
        <v>49.543100920000008</v>
      </c>
      <c r="IH11" s="1">
        <f>Table1[[#This Row],[Total_Cost_MUSD]]*Table1[[#This Row],[prob500-failure_rating5]]*1000000/500</f>
        <v>0.86700426610000003</v>
      </c>
      <c r="II11" s="1">
        <f>Table1[[#This Row],[Total_Cost_MUSD]]*Table1[[#This Row],[prob500-failure_rating6]]*1000000/500</f>
        <v>22.294395414000004</v>
      </c>
      <c r="IJ11" s="1">
        <f>Table1[[#This Row],[Total_Cost_MUSD]]*Table1[[#This Row],[prob500-failure_rating7]]*1000000/500</f>
        <v>22.294395414000004</v>
      </c>
      <c r="IK11" s="1">
        <f>Table1[[#This Row],[Total_Cost_MUSD]]*Table1[[#This Row],[prob500-failure_rating8]]*1000000/500</f>
        <v>0.49543100919999999</v>
      </c>
      <c r="IL11" s="1">
        <f>Table1[[#This Row],[Total_Cost_MUSD]]*Table1[[#This Row],[prob500-failure_rating9]]*1000000/500</f>
        <v>0.30964438075000006</v>
      </c>
      <c r="IM11" s="1">
        <f>Table1[[#This Row],[Total_Cost_MUSD]]*Table1[[#This Row],[prob100-failure_rating1]]*1000000/100</f>
        <v>7741.1095187500005</v>
      </c>
      <c r="IN11" s="1">
        <f>Table1[[#This Row],[Total_Cost_MUSD]]*Table1[[#This Row],[prob100-failure_rating2]]*1000000/100</f>
        <v>3715.7325690000002</v>
      </c>
      <c r="IO11" s="1">
        <f>Table1[[#This Row],[Total_Cost_MUSD]]*Table1[[#This Row],[prob100-failure_rating3]]*1000000/100</f>
        <v>1548.2219037500001</v>
      </c>
      <c r="IP11" s="1">
        <f>Table1[[#This Row],[Total_Cost_MUSD]]*Table1[[#This Row],[prob100-failure_rating4]]*1000000/100</f>
        <v>309.64438074999998</v>
      </c>
      <c r="IQ11" s="1">
        <f>Table1[[#This Row],[Total_Cost_MUSD]]*Table1[[#This Row],[prob100-failure_rating5]]*1000000/100</f>
        <v>4.9543100920000001</v>
      </c>
      <c r="IR11" s="1">
        <f>Table1[[#This Row],[Total_Cost_MUSD]]*Table1[[#This Row],[prob100-failure_rating6]]*1000000/100</f>
        <v>154.82219037499999</v>
      </c>
      <c r="IS11" s="1">
        <f>Table1[[#This Row],[Total_Cost_MUSD]]*Table1[[#This Row],[prob100-failure_rating7]]*1000000/100</f>
        <v>154.82219037499999</v>
      </c>
      <c r="IT11" s="1">
        <f>Table1[[#This Row],[Total_Cost_MUSD]]*Table1[[#This Row],[prob100-failure_rating8]]*1000000/100</f>
        <v>3.0964438075000005</v>
      </c>
      <c r="IU11" s="1">
        <f>Table1[[#This Row],[Total_Cost_MUSD]]*Table1[[#This Row],[prob100-failure_rating9]]*1000000/100</f>
        <v>1.8578662845</v>
      </c>
      <c r="IV11" s="1">
        <f>Table1[[#This Row],[Total_Cost_MUSD]]*Table1[[#This Row],[prob50-failure_rating1]]*1000000/50</f>
        <v>12385.775230000001</v>
      </c>
      <c r="IW11" s="1">
        <f>Table1[[#This Row],[Total_Cost_MUSD]]*Table1[[#This Row],[prob50-failure_rating2]]*1000000/50</f>
        <v>7431.4651380000005</v>
      </c>
      <c r="IX11" s="1">
        <f>Table1[[#This Row],[Total_Cost_MUSD]]*Table1[[#This Row],[prob50-failure_rating3]]*1000000/50</f>
        <v>1610.1507798999999</v>
      </c>
      <c r="IY11" s="1">
        <f>Table1[[#This Row],[Total_Cost_MUSD]]*Table1[[#This Row],[prob50-failure_rating4]]*1000000/50</f>
        <v>619.28876149999996</v>
      </c>
      <c r="IZ11" s="1">
        <f>Table1[[#This Row],[Total_Cost_MUSD]]*Table1[[#This Row],[prob50-failure_rating5]]*1000000/50</f>
        <v>9.9086201840000001</v>
      </c>
      <c r="JA11" s="1">
        <f>Table1[[#This Row],[Total_Cost_MUSD]]*Table1[[#This Row],[prob50-failure_rating6]]*1000000/50</f>
        <v>309.64438074999998</v>
      </c>
      <c r="JB11" s="1">
        <f>Table1[[#This Row],[Total_Cost_MUSD]]*Table1[[#This Row],[prob50-failure_rating7]]*1000000/50</f>
        <v>309.64438074999998</v>
      </c>
      <c r="JC11" s="1">
        <f>Table1[[#This Row],[Total_Cost_MUSD]]*Table1[[#This Row],[prob50-failure_rating8]]*1000000/50</f>
        <v>6.192887615000001</v>
      </c>
      <c r="JD11" s="1">
        <f>Table1[[#This Row],[Total_Cost_MUSD]]*Table1[[#This Row],[prob50-failure_rating9]]*1000000/50</f>
        <v>3.715732569</v>
      </c>
      <c r="JE11" s="1">
        <f>Table1[[#This Row],[Total_Cost_MUSD]]*Table1[[#This Row],[prob10-failure_rating1]]*1000000/10</f>
        <v>61928.876150000004</v>
      </c>
      <c r="JF11" s="1">
        <f>Table1[[#This Row],[Total_Cost_MUSD]]*Table1[[#This Row],[prob10-failure_rating2]]*1000000/10</f>
        <v>49543.100919999997</v>
      </c>
      <c r="JG11" s="1">
        <f>Table1[[#This Row],[Total_Cost_MUSD]]*Table1[[#This Row],[prob10-failure_rating3]]*1000000/10</f>
        <v>9908.6201840000012</v>
      </c>
      <c r="JH11" s="1">
        <f>Table1[[#This Row],[Total_Cost_MUSD]]*Table1[[#This Row],[prob10-failure_rating4]]*1000000/10</f>
        <v>3715.7325689999998</v>
      </c>
      <c r="JI11" s="1">
        <f>Table1[[#This Row],[Total_Cost_MUSD]]*Table1[[#This Row],[prob10-failure_rating5]]*1000000/10</f>
        <v>247.71550460000003</v>
      </c>
      <c r="JJ11" s="1">
        <f>Table1[[#This Row],[Total_Cost_MUSD]]*Table1[[#This Row],[prob10-failure_rating6]]*1000000/10</f>
        <v>2477.1550460000003</v>
      </c>
      <c r="JK11" s="1">
        <f>Table1[[#This Row],[Total_Cost_MUSD]]*Table1[[#This Row],[prob10-failure_rating7]]*1000000/10</f>
        <v>2477.1550460000003</v>
      </c>
      <c r="JL11" s="1">
        <f>Table1[[#This Row],[Total_Cost_MUSD]]*Table1[[#This Row],[prob10-failure_rating8]]*1000000/10</f>
        <v>123.85775230000002</v>
      </c>
      <c r="JM11" s="1">
        <f>Table1[[#This Row],[Total_Cost_MUSD]]*Table1[[#This Row],[prob10-failure_rating9]]*1000000/10</f>
        <v>24.77155046</v>
      </c>
      <c r="JN11" s="1">
        <f>Table1[[#This Row],[FailureCost_Rating1]]</f>
        <v>85152.204706250006</v>
      </c>
      <c r="JO11" s="1">
        <f>Table1[[#This Row],[failurecost500_rating1]]+Table1[[#This Row],[failurecost100_rating1]]+Table1[[#This Row],[failurecost50_rating1]]+Table1[[#This Row],[failurecost10_rating1]]</f>
        <v>85152.204706250006</v>
      </c>
      <c r="JP11" s="1">
        <f>Table1[[#This Row],[failurecost500_rating2]]+Table1[[#This Row],[failurecost100_rating2]]+Table1[[#This Row],[failurecost50_rating2]]+Table1[[#This Row],[failurecost10_rating2]]</f>
        <v>61928.876149999996</v>
      </c>
      <c r="JQ11" s="1">
        <f>Table1[[#This Row],[failurecost500_rating2]]+Table1[[#This Row],[failurecost100_rating2]]+Table1[[#This Row],[failurecost50_rating2]]+Table1[[#This Row],[failurecost10_rating2]]</f>
        <v>61928.876149999996</v>
      </c>
      <c r="JR11" s="1">
        <f>Table1[[#This Row],[failurecost500_rating3]]+Table1[[#This Row],[failurecost100_rating3]]+Table1[[#This Row],[failurecost50_rating3]]+Table1[[#This Row],[failurecost10_rating3]]</f>
        <v>13376.637248400002</v>
      </c>
      <c r="JS11" s="1">
        <f>Table1[[#This Row],[failurecost500_rating3]]+Table1[[#This Row],[failurecost100_rating3]]+Table1[[#This Row],[failurecost50_rating3]]+Table1[[#This Row],[failurecost10_rating3]]</f>
        <v>13376.637248400002</v>
      </c>
      <c r="JT11" s="1">
        <f>Table1[[#This Row],[failurecost500_rating4]]+Table1[[#This Row],[failurecost100_rating4]]+Table1[[#This Row],[failurecost50_rating4]]+Table1[[#This Row],[failurecost10_rating4]]</f>
        <v>4694.2088121699999</v>
      </c>
      <c r="JU11" s="1">
        <f>Table1[[#This Row],[failurecost500_rating4]]+Table1[[#This Row],[failurecost100_rating4]]+Table1[[#This Row],[failurecost50_rating4]]+Table1[[#This Row],[failurecost10_rating4]]</f>
        <v>4694.2088121699999</v>
      </c>
      <c r="JV11" s="1">
        <f>Table1[[#This Row],[failurecost500_rating5]]+Table1[[#This Row],[failurecost100_rating5]]+Table1[[#This Row],[failurecost50_rating5]]+Table1[[#This Row],[failurecost10_rating5]]</f>
        <v>263.44543914210004</v>
      </c>
      <c r="JW11" s="1">
        <f>Table1[[#This Row],[failurecost500_rating5]]+Table1[[#This Row],[failurecost100_rating5]]+Table1[[#This Row],[failurecost50_rating5]]+Table1[[#This Row],[failurecost10_rating5]]</f>
        <v>263.44543914210004</v>
      </c>
    </row>
    <row r="12" spans="1:283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Table1[[#This Row],[Depth10_Soil_vol]]*(9.353+9.027)+(Table1[[#This Row],[Depth10_Soil_vol]]/2.5)*20*1.053+(PI()*Table1[[#This Row],[Depth10_Scour]])*Table1[[#This Row],[DECK_WIDTH_MT_052]]*1.062</f>
        <v>6737.4062355001524</v>
      </c>
      <c r="AR12" s="1">
        <f>Table1[[#This Row],[Depth50_Soil_vol]]*(9.353+9.027)+(Table1[[#This Row],[Depth50_Soil_vol]]/2.5)*20*1.053+(PI()*Table1[[#This Row],[Depth50_Scour]])*Table1[[#This Row],[DECK_WIDTH_MT_052]]*1.062</f>
        <v>7415.8873465101096</v>
      </c>
      <c r="AS12" s="1">
        <f>Table1[[#This Row],[Depth100_Soil_vol]]*(9.353+9.027)+(Table1[[#This Row],[Depth100_Soil_vol]]/2.5)*20*1.053+(PI()*Table1[[#This Row],[Depth100_Scour]])*Table1[[#This Row],[DECK_WIDTH_MT_052]]*1.062</f>
        <v>7705.9386938101106</v>
      </c>
      <c r="AT12" s="1">
        <f>Table1[[#This Row],[Depth500_Soil_vol]]*(9.353+9.027)+(Table1[[#This Row],[Depth500_Soil_vol]]/2.5)*20*1.053+(PI()*Table1[[#This Row],[Depth500_Scour]])*Table1[[#This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>
        <v>12.298697430000001</v>
      </c>
      <c r="GE12" s="1">
        <v>0</v>
      </c>
      <c r="GF12" s="1">
        <v>0</v>
      </c>
      <c r="GG12" s="1">
        <v>0</v>
      </c>
      <c r="GH12" s="1">
        <v>0</v>
      </c>
      <c r="GI12" s="1">
        <v>5</v>
      </c>
      <c r="GJ12" s="1">
        <f>Table1[[#This Row],[cost_repair_rating1]]</f>
        <v>13681948284.860691</v>
      </c>
      <c r="GK12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13681948284.860691</v>
      </c>
      <c r="GL12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2704148821.2789412</v>
      </c>
      <c r="GM12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169530036.32359749</v>
      </c>
      <c r="GN12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3436640.9207827519</v>
      </c>
      <c r="GO12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1430250.6998210447</v>
      </c>
      <c r="GP12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703083.95836385002</v>
      </c>
      <c r="GQ12" s="1">
        <v>0</v>
      </c>
      <c r="GR12" s="1">
        <v>0</v>
      </c>
      <c r="GS12" s="1">
        <v>0</v>
      </c>
      <c r="GT12" s="1">
        <f t="shared" si="0"/>
        <v>2.5000000000000001E-2</v>
      </c>
      <c r="GU12" s="1">
        <v>0.01</v>
      </c>
      <c r="GV12" s="1">
        <v>2.5000000000000001E-3</v>
      </c>
      <c r="GW12" s="1">
        <v>4.0000000000000002E-4</v>
      </c>
      <c r="GX12" s="1">
        <v>6.9999999999999999E-6</v>
      </c>
      <c r="GY12" s="1">
        <v>1.8000000000000001E-4</v>
      </c>
      <c r="GZ12" s="1">
        <v>1.8000000000000001E-4</v>
      </c>
      <c r="HA12" s="1">
        <v>3.9999999999999998E-6</v>
      </c>
      <c r="HB12" s="1">
        <v>2.5000000000000002E-6</v>
      </c>
      <c r="HC12" s="1">
        <f t="shared" si="1"/>
        <v>1.2500000000000001E-2</v>
      </c>
      <c r="HD12" s="1">
        <v>6.0000000000000001E-3</v>
      </c>
      <c r="HE12" s="1">
        <v>2.5000000000000001E-3</v>
      </c>
      <c r="HF12" s="1">
        <v>5.0000000000000001E-4</v>
      </c>
      <c r="HG12" s="1">
        <v>7.9999999999999996E-6</v>
      </c>
      <c r="HH12" s="1">
        <v>2.5000000000000001E-4</v>
      </c>
      <c r="HI12" s="1">
        <v>2.5000000000000001E-4</v>
      </c>
      <c r="HJ12" s="1">
        <v>5.0000000000000004E-6</v>
      </c>
      <c r="HK12" s="1">
        <v>3.0000000000000001E-6</v>
      </c>
      <c r="HL12" s="1">
        <v>0.01</v>
      </c>
      <c r="HM12" s="1">
        <v>6.0000000000000001E-3</v>
      </c>
      <c r="HN12" s="1">
        <v>1.2999999999999999E-3</v>
      </c>
      <c r="HO12" s="1">
        <v>5.0000000000000001E-4</v>
      </c>
      <c r="HP12" s="1">
        <v>7.9999999999999996E-6</v>
      </c>
      <c r="HQ12" s="1">
        <v>2.5000000000000001E-4</v>
      </c>
      <c r="HR12" s="1">
        <v>2.5000000000000001E-4</v>
      </c>
      <c r="HS12" s="1">
        <v>5.0000000000000004E-6</v>
      </c>
      <c r="HT12" s="1">
        <v>3.0000000000000001E-6</v>
      </c>
      <c r="HU12" s="1">
        <v>0.01</v>
      </c>
      <c r="HV12" s="1">
        <v>8.0000000000000002E-3</v>
      </c>
      <c r="HW12" s="1">
        <v>1.6000000000000001E-3</v>
      </c>
      <c r="HX12" s="1">
        <v>5.9999999999999995E-4</v>
      </c>
      <c r="HY12" s="1">
        <v>4.0000000000000003E-5</v>
      </c>
      <c r="HZ12" s="1">
        <v>4.0000000000000002E-4</v>
      </c>
      <c r="IA12" s="1">
        <v>4.0000000000000002E-4</v>
      </c>
      <c r="IB12" s="1">
        <v>2.0000000000000002E-5</v>
      </c>
      <c r="IC12" s="1">
        <v>3.9999999999999998E-6</v>
      </c>
      <c r="ID12" s="1">
        <f>Table1[[#This Row],[Total_Cost_MUSD]]*Table1[[#This Row],[prob500-failure_rating1]]*1000000/500</f>
        <v>614.93487149999999</v>
      </c>
      <c r="IE12" s="1">
        <f>Table1[[#This Row],[Total_Cost_MUSD]]*Table1[[#This Row],[prob500-failure_rating2]]*1000000/500</f>
        <v>245.97394860000003</v>
      </c>
      <c r="IF12" s="1">
        <f>Table1[[#This Row],[Total_Cost_MUSD]]*Table1[[#This Row],[prob500-failure_rating3]]*1000000/500</f>
        <v>61.493487150000007</v>
      </c>
      <c r="IG12" s="1">
        <f>Table1[[#This Row],[Total_Cost_MUSD]]*Table1[[#This Row],[prob500-failure_rating4]]*1000000/500</f>
        <v>9.8389579440000006</v>
      </c>
      <c r="IH12" s="1">
        <f>Table1[[#This Row],[Total_Cost_MUSD]]*Table1[[#This Row],[prob500-failure_rating5]]*1000000/500</f>
        <v>0.17218176402000002</v>
      </c>
      <c r="II12" s="1">
        <f>Table1[[#This Row],[Total_Cost_MUSD]]*Table1[[#This Row],[prob500-failure_rating6]]*1000000/500</f>
        <v>4.4275310748000001</v>
      </c>
      <c r="IJ12" s="1">
        <f>Table1[[#This Row],[Total_Cost_MUSD]]*Table1[[#This Row],[prob500-failure_rating7]]*1000000/500</f>
        <v>4.4275310748000001</v>
      </c>
      <c r="IK12" s="1">
        <f>Table1[[#This Row],[Total_Cost_MUSD]]*Table1[[#This Row],[prob500-failure_rating8]]*1000000/500</f>
        <v>9.838957944E-2</v>
      </c>
      <c r="IL12" s="1">
        <f>Table1[[#This Row],[Total_Cost_MUSD]]*Table1[[#This Row],[prob500-failure_rating9]]*1000000/500</f>
        <v>6.1493487149999998E-2</v>
      </c>
      <c r="IM12" s="1">
        <f>Table1[[#This Row],[Total_Cost_MUSD]]*Table1[[#This Row],[prob100-failure_rating1]]*1000000/100</f>
        <v>1537.33717875</v>
      </c>
      <c r="IN12" s="1">
        <f>Table1[[#This Row],[Total_Cost_MUSD]]*Table1[[#This Row],[prob100-failure_rating2]]*1000000/100</f>
        <v>737.92184580000003</v>
      </c>
      <c r="IO12" s="1">
        <f>Table1[[#This Row],[Total_Cost_MUSD]]*Table1[[#This Row],[prob100-failure_rating3]]*1000000/100</f>
        <v>307.46743575000005</v>
      </c>
      <c r="IP12" s="1">
        <f>Table1[[#This Row],[Total_Cost_MUSD]]*Table1[[#This Row],[prob100-failure_rating4]]*1000000/100</f>
        <v>61.493487150000007</v>
      </c>
      <c r="IQ12" s="1">
        <f>Table1[[#This Row],[Total_Cost_MUSD]]*Table1[[#This Row],[prob100-failure_rating5]]*1000000/100</f>
        <v>0.98389579440000008</v>
      </c>
      <c r="IR12" s="1">
        <f>Table1[[#This Row],[Total_Cost_MUSD]]*Table1[[#This Row],[prob100-failure_rating6]]*1000000/100</f>
        <v>30.746743575000004</v>
      </c>
      <c r="IS12" s="1">
        <f>Table1[[#This Row],[Total_Cost_MUSD]]*Table1[[#This Row],[prob100-failure_rating7]]*1000000/100</f>
        <v>30.746743575000004</v>
      </c>
      <c r="IT12" s="1">
        <f>Table1[[#This Row],[Total_Cost_MUSD]]*Table1[[#This Row],[prob100-failure_rating8]]*1000000/100</f>
        <v>0.61493487150000004</v>
      </c>
      <c r="IU12" s="1">
        <f>Table1[[#This Row],[Total_Cost_MUSD]]*Table1[[#This Row],[prob100-failure_rating9]]*1000000/100</f>
        <v>0.36896092290000004</v>
      </c>
      <c r="IV12" s="1">
        <f>Table1[[#This Row],[Total_Cost_MUSD]]*Table1[[#This Row],[prob50-failure_rating1]]*1000000/50</f>
        <v>2459.7394860000004</v>
      </c>
      <c r="IW12" s="1">
        <f>Table1[[#This Row],[Total_Cost_MUSD]]*Table1[[#This Row],[prob50-failure_rating2]]*1000000/50</f>
        <v>1475.8436916000001</v>
      </c>
      <c r="IX12" s="1">
        <f>Table1[[#This Row],[Total_Cost_MUSD]]*Table1[[#This Row],[prob50-failure_rating3]]*1000000/50</f>
        <v>319.76613318000005</v>
      </c>
      <c r="IY12" s="1">
        <f>Table1[[#This Row],[Total_Cost_MUSD]]*Table1[[#This Row],[prob50-failure_rating4]]*1000000/50</f>
        <v>122.98697430000001</v>
      </c>
      <c r="IZ12" s="1">
        <f>Table1[[#This Row],[Total_Cost_MUSD]]*Table1[[#This Row],[prob50-failure_rating5]]*1000000/50</f>
        <v>1.9677915888000002</v>
      </c>
      <c r="JA12" s="1">
        <f>Table1[[#This Row],[Total_Cost_MUSD]]*Table1[[#This Row],[prob50-failure_rating6]]*1000000/50</f>
        <v>61.493487150000007</v>
      </c>
      <c r="JB12" s="1">
        <f>Table1[[#This Row],[Total_Cost_MUSD]]*Table1[[#This Row],[prob50-failure_rating7]]*1000000/50</f>
        <v>61.493487150000007</v>
      </c>
      <c r="JC12" s="1">
        <f>Table1[[#This Row],[Total_Cost_MUSD]]*Table1[[#This Row],[prob50-failure_rating8]]*1000000/50</f>
        <v>1.2298697430000001</v>
      </c>
      <c r="JD12" s="1">
        <f>Table1[[#This Row],[Total_Cost_MUSD]]*Table1[[#This Row],[prob50-failure_rating9]]*1000000/50</f>
        <v>0.73792184580000009</v>
      </c>
      <c r="JE12" s="1">
        <f>Table1[[#This Row],[Total_Cost_MUSD]]*Table1[[#This Row],[prob10-failure_rating1]]*1000000/10</f>
        <v>12298.697430000002</v>
      </c>
      <c r="JF12" s="1">
        <f>Table1[[#This Row],[Total_Cost_MUSD]]*Table1[[#This Row],[prob10-failure_rating2]]*1000000/10</f>
        <v>9838.9579440000016</v>
      </c>
      <c r="JG12" s="1">
        <f>Table1[[#This Row],[Total_Cost_MUSD]]*Table1[[#This Row],[prob10-failure_rating3]]*1000000/10</f>
        <v>1967.7915888</v>
      </c>
      <c r="JH12" s="1">
        <f>Table1[[#This Row],[Total_Cost_MUSD]]*Table1[[#This Row],[prob10-failure_rating4]]*1000000/10</f>
        <v>737.92184579999991</v>
      </c>
      <c r="JI12" s="1">
        <f>Table1[[#This Row],[Total_Cost_MUSD]]*Table1[[#This Row],[prob10-failure_rating5]]*1000000/10</f>
        <v>49.194789720000003</v>
      </c>
      <c r="JJ12" s="1">
        <f>Table1[[#This Row],[Total_Cost_MUSD]]*Table1[[#This Row],[prob10-failure_rating6]]*1000000/10</f>
        <v>491.9478972</v>
      </c>
      <c r="JK12" s="1">
        <f>Table1[[#This Row],[Total_Cost_MUSD]]*Table1[[#This Row],[prob10-failure_rating7]]*1000000/10</f>
        <v>491.9478972</v>
      </c>
      <c r="JL12" s="1">
        <f>Table1[[#This Row],[Total_Cost_MUSD]]*Table1[[#This Row],[prob10-failure_rating8]]*1000000/10</f>
        <v>24.597394860000001</v>
      </c>
      <c r="JM12" s="1">
        <f>Table1[[#This Row],[Total_Cost_MUSD]]*Table1[[#This Row],[prob10-failure_rating9]]*1000000/10</f>
        <v>4.9194789720000003</v>
      </c>
      <c r="JN12" s="1">
        <f>Table1[[#This Row],[FailureCost_Rating1]]</f>
        <v>16910.70896625</v>
      </c>
      <c r="JO12" s="1">
        <f>Table1[[#This Row],[failurecost500_rating1]]+Table1[[#This Row],[failurecost100_rating1]]+Table1[[#This Row],[failurecost50_rating1]]+Table1[[#This Row],[failurecost10_rating1]]</f>
        <v>16910.70896625</v>
      </c>
      <c r="JP12" s="1">
        <f>Table1[[#This Row],[failurecost500_rating2]]+Table1[[#This Row],[failurecost100_rating2]]+Table1[[#This Row],[failurecost50_rating2]]+Table1[[#This Row],[failurecost10_rating2]]</f>
        <v>12298.697430000002</v>
      </c>
      <c r="JQ12" s="1">
        <f>Table1[[#This Row],[failurecost500_rating2]]+Table1[[#This Row],[failurecost100_rating2]]+Table1[[#This Row],[failurecost50_rating2]]+Table1[[#This Row],[failurecost10_rating2]]</f>
        <v>12298.697430000002</v>
      </c>
      <c r="JR12" s="1">
        <f>Table1[[#This Row],[failurecost500_rating3]]+Table1[[#This Row],[failurecost100_rating3]]+Table1[[#This Row],[failurecost50_rating3]]+Table1[[#This Row],[failurecost10_rating3]]</f>
        <v>2656.51864488</v>
      </c>
      <c r="JS12" s="1">
        <f>Table1[[#This Row],[failurecost500_rating3]]+Table1[[#This Row],[failurecost100_rating3]]+Table1[[#This Row],[failurecost50_rating3]]+Table1[[#This Row],[failurecost10_rating3]]</f>
        <v>2656.51864488</v>
      </c>
      <c r="JT12" s="1">
        <f>Table1[[#This Row],[failurecost500_rating4]]+Table1[[#This Row],[failurecost100_rating4]]+Table1[[#This Row],[failurecost50_rating4]]+Table1[[#This Row],[failurecost10_rating4]]</f>
        <v>932.24126519399988</v>
      </c>
      <c r="JU12" s="1">
        <f>Table1[[#This Row],[failurecost500_rating4]]+Table1[[#This Row],[failurecost100_rating4]]+Table1[[#This Row],[failurecost50_rating4]]+Table1[[#This Row],[failurecost10_rating4]]</f>
        <v>932.24126519399988</v>
      </c>
      <c r="JV12" s="1">
        <f>Table1[[#This Row],[failurecost500_rating5]]+Table1[[#This Row],[failurecost100_rating5]]+Table1[[#This Row],[failurecost50_rating5]]+Table1[[#This Row],[failurecost10_rating5]]</f>
        <v>52.318658867220002</v>
      </c>
      <c r="JW12" s="1">
        <f>Table1[[#This Row],[failurecost500_rating5]]+Table1[[#This Row],[failurecost100_rating5]]+Table1[[#This Row],[failurecost50_rating5]]+Table1[[#This Row],[failurecost10_rating5]]</f>
        <v>52.318658867220002</v>
      </c>
    </row>
    <row r="13" spans="1:283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Table1[[#This Row],[Depth10_Soil_vol]]*(9.353+9.027)+(Table1[[#This Row],[Depth10_Soil_vol]]/2.5)*20*1.053+(PI()*Table1[[#This Row],[Depth10_Scour]])*Table1[[#This Row],[DECK_WIDTH_MT_052]]*1.062</f>
        <v>6992.666213599131</v>
      </c>
      <c r="AR13" s="1">
        <f>Table1[[#This Row],[Depth50_Soil_vol]]*(9.353+9.027)+(Table1[[#This Row],[Depth50_Soil_vol]]/2.5)*20*1.053+(PI()*Table1[[#This Row],[Depth50_Scour]])*Table1[[#This Row],[DECK_WIDTH_MT_052]]*1.062</f>
        <v>8975.9969727162606</v>
      </c>
      <c r="AS13" s="1">
        <f>Table1[[#This Row],[Depth100_Soil_vol]]*(9.353+9.027)+(Table1[[#This Row],[Depth100_Soil_vol]]/2.5)*20*1.053+(PI()*Table1[[#This Row],[Depth100_Scour]])*Table1[[#This Row],[DECK_WIDTH_MT_052]]*1.062</f>
        <v>9724.0394899581861</v>
      </c>
      <c r="AT13" s="1">
        <f>Table1[[#This Row],[Depth500_Soil_vol]]*(9.353+9.027)+(Table1[[#This Row],[Depth500_Soil_vol]]/2.5)*20*1.053+(PI()*Table1[[#This Row],[Depth500_Scour]])*Table1[[#This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>
        <v>25.743303220000001</v>
      </c>
      <c r="GE13" s="1">
        <v>0</v>
      </c>
      <c r="GF13" s="1">
        <v>0</v>
      </c>
      <c r="GG13" s="1">
        <v>0</v>
      </c>
      <c r="GH13" s="1">
        <v>0</v>
      </c>
      <c r="GI13" s="1">
        <v>5</v>
      </c>
      <c r="GJ13" s="1">
        <f>Table1[[#This Row],[cost_repair_rating1]]</f>
        <v>524583206.91135591</v>
      </c>
      <c r="GK13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524583206.91135591</v>
      </c>
      <c r="GL13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103923123.37034591</v>
      </c>
      <c r="GM13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6597153.0388061292</v>
      </c>
      <c r="GN13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146952.95286054647</v>
      </c>
      <c r="GO13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64628.404780012599</v>
      </c>
      <c r="GP13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33787.78708295957</v>
      </c>
      <c r="GQ13" s="1">
        <v>0</v>
      </c>
      <c r="GR13" s="1">
        <v>0</v>
      </c>
      <c r="GS13" s="1">
        <v>0</v>
      </c>
      <c r="GT13" s="1">
        <f t="shared" si="0"/>
        <v>2.5000000000000001E-2</v>
      </c>
      <c r="GU13" s="1">
        <v>0.01</v>
      </c>
      <c r="GV13" s="1">
        <v>2.5000000000000001E-3</v>
      </c>
      <c r="GW13" s="1">
        <v>4.0000000000000002E-4</v>
      </c>
      <c r="GX13" s="1">
        <v>6.9999999999999999E-6</v>
      </c>
      <c r="GY13" s="1">
        <v>1.8000000000000001E-4</v>
      </c>
      <c r="GZ13" s="1">
        <v>1.8000000000000001E-4</v>
      </c>
      <c r="HA13" s="1">
        <v>3.9999999999999998E-6</v>
      </c>
      <c r="HB13" s="1">
        <v>2.5000000000000002E-6</v>
      </c>
      <c r="HC13" s="1">
        <f t="shared" si="1"/>
        <v>1.2500000000000001E-2</v>
      </c>
      <c r="HD13" s="1">
        <v>6.0000000000000001E-3</v>
      </c>
      <c r="HE13" s="1">
        <v>2.5000000000000001E-3</v>
      </c>
      <c r="HF13" s="1">
        <v>5.0000000000000001E-4</v>
      </c>
      <c r="HG13" s="1">
        <v>7.9999999999999996E-6</v>
      </c>
      <c r="HH13" s="1">
        <v>2.5000000000000001E-4</v>
      </c>
      <c r="HI13" s="1">
        <v>2.5000000000000001E-4</v>
      </c>
      <c r="HJ13" s="1">
        <v>5.0000000000000004E-6</v>
      </c>
      <c r="HK13" s="1">
        <v>3.0000000000000001E-6</v>
      </c>
      <c r="HL13" s="1">
        <v>0.01</v>
      </c>
      <c r="HM13" s="1">
        <v>6.0000000000000001E-3</v>
      </c>
      <c r="HN13" s="1">
        <v>1.2999999999999999E-3</v>
      </c>
      <c r="HO13" s="1">
        <v>5.0000000000000001E-4</v>
      </c>
      <c r="HP13" s="1">
        <v>7.9999999999999996E-6</v>
      </c>
      <c r="HQ13" s="1">
        <v>2.5000000000000001E-4</v>
      </c>
      <c r="HR13" s="1">
        <v>2.5000000000000001E-4</v>
      </c>
      <c r="HS13" s="1">
        <v>5.0000000000000004E-6</v>
      </c>
      <c r="HT13" s="1">
        <v>3.0000000000000001E-6</v>
      </c>
      <c r="HU13" s="1">
        <v>0.01</v>
      </c>
      <c r="HV13" s="1">
        <v>8.0000000000000002E-3</v>
      </c>
      <c r="HW13" s="1">
        <v>1.6000000000000001E-3</v>
      </c>
      <c r="HX13" s="1">
        <v>5.9999999999999995E-4</v>
      </c>
      <c r="HY13" s="1">
        <v>4.0000000000000003E-5</v>
      </c>
      <c r="HZ13" s="1">
        <v>4.0000000000000002E-4</v>
      </c>
      <c r="IA13" s="1">
        <v>4.0000000000000002E-4</v>
      </c>
      <c r="IB13" s="1">
        <v>2.0000000000000002E-5</v>
      </c>
      <c r="IC13" s="1">
        <v>3.9999999999999998E-6</v>
      </c>
      <c r="ID13" s="1">
        <f>Table1[[#This Row],[Total_Cost_MUSD]]*Table1[[#This Row],[prob500-failure_rating1]]*1000000/500</f>
        <v>1287.1651610000001</v>
      </c>
      <c r="IE13" s="1">
        <f>Table1[[#This Row],[Total_Cost_MUSD]]*Table1[[#This Row],[prob500-failure_rating2]]*1000000/500</f>
        <v>514.86606440000003</v>
      </c>
      <c r="IF13" s="1">
        <f>Table1[[#This Row],[Total_Cost_MUSD]]*Table1[[#This Row],[prob500-failure_rating3]]*1000000/500</f>
        <v>128.71651610000001</v>
      </c>
      <c r="IG13" s="1">
        <f>Table1[[#This Row],[Total_Cost_MUSD]]*Table1[[#This Row],[prob500-failure_rating4]]*1000000/500</f>
        <v>20.594642576000002</v>
      </c>
      <c r="IH13" s="1">
        <f>Table1[[#This Row],[Total_Cost_MUSD]]*Table1[[#This Row],[prob500-failure_rating5]]*1000000/500</f>
        <v>0.36040624507999997</v>
      </c>
      <c r="II13" s="1">
        <f>Table1[[#This Row],[Total_Cost_MUSD]]*Table1[[#This Row],[prob500-failure_rating6]]*1000000/500</f>
        <v>9.2675891592000017</v>
      </c>
      <c r="IJ13" s="1">
        <f>Table1[[#This Row],[Total_Cost_MUSD]]*Table1[[#This Row],[prob500-failure_rating7]]*1000000/500</f>
        <v>9.2675891592000017</v>
      </c>
      <c r="IK13" s="1">
        <f>Table1[[#This Row],[Total_Cost_MUSD]]*Table1[[#This Row],[prob500-failure_rating8]]*1000000/500</f>
        <v>0.20594642576</v>
      </c>
      <c r="IL13" s="1">
        <f>Table1[[#This Row],[Total_Cost_MUSD]]*Table1[[#This Row],[prob500-failure_rating9]]*1000000/500</f>
        <v>0.12871651610000004</v>
      </c>
      <c r="IM13" s="1">
        <f>Table1[[#This Row],[Total_Cost_MUSD]]*Table1[[#This Row],[prob100-failure_rating1]]*1000000/100</f>
        <v>3217.9129025000002</v>
      </c>
      <c r="IN13" s="1">
        <f>Table1[[#This Row],[Total_Cost_MUSD]]*Table1[[#This Row],[prob100-failure_rating2]]*1000000/100</f>
        <v>1544.5981932000004</v>
      </c>
      <c r="IO13" s="1">
        <f>Table1[[#This Row],[Total_Cost_MUSD]]*Table1[[#This Row],[prob100-failure_rating3]]*1000000/100</f>
        <v>643.58258050000006</v>
      </c>
      <c r="IP13" s="1">
        <f>Table1[[#This Row],[Total_Cost_MUSD]]*Table1[[#This Row],[prob100-failure_rating4]]*1000000/100</f>
        <v>128.71651610000001</v>
      </c>
      <c r="IQ13" s="1">
        <f>Table1[[#This Row],[Total_Cost_MUSD]]*Table1[[#This Row],[prob100-failure_rating5]]*1000000/100</f>
        <v>2.0594642575999997</v>
      </c>
      <c r="IR13" s="1">
        <f>Table1[[#This Row],[Total_Cost_MUSD]]*Table1[[#This Row],[prob100-failure_rating6]]*1000000/100</f>
        <v>64.358258050000003</v>
      </c>
      <c r="IS13" s="1">
        <f>Table1[[#This Row],[Total_Cost_MUSD]]*Table1[[#This Row],[prob100-failure_rating7]]*1000000/100</f>
        <v>64.358258050000003</v>
      </c>
      <c r="IT13" s="1">
        <f>Table1[[#This Row],[Total_Cost_MUSD]]*Table1[[#This Row],[prob100-failure_rating8]]*1000000/100</f>
        <v>1.2871651610000003</v>
      </c>
      <c r="IU13" s="1">
        <f>Table1[[#This Row],[Total_Cost_MUSD]]*Table1[[#This Row],[prob100-failure_rating9]]*1000000/100</f>
        <v>0.77229909660000007</v>
      </c>
      <c r="IV13" s="1">
        <f>Table1[[#This Row],[Total_Cost_MUSD]]*Table1[[#This Row],[prob50-failure_rating1]]*1000000/50</f>
        <v>5148.6606440000005</v>
      </c>
      <c r="IW13" s="1">
        <f>Table1[[#This Row],[Total_Cost_MUSD]]*Table1[[#This Row],[prob50-failure_rating2]]*1000000/50</f>
        <v>3089.1963864000008</v>
      </c>
      <c r="IX13" s="1">
        <f>Table1[[#This Row],[Total_Cost_MUSD]]*Table1[[#This Row],[prob50-failure_rating3]]*1000000/50</f>
        <v>669.32588371999998</v>
      </c>
      <c r="IY13" s="1">
        <f>Table1[[#This Row],[Total_Cost_MUSD]]*Table1[[#This Row],[prob50-failure_rating4]]*1000000/50</f>
        <v>257.43303220000001</v>
      </c>
      <c r="IZ13" s="1">
        <f>Table1[[#This Row],[Total_Cost_MUSD]]*Table1[[#This Row],[prob50-failure_rating5]]*1000000/50</f>
        <v>4.1189285151999995</v>
      </c>
      <c r="JA13" s="1">
        <f>Table1[[#This Row],[Total_Cost_MUSD]]*Table1[[#This Row],[prob50-failure_rating6]]*1000000/50</f>
        <v>128.71651610000001</v>
      </c>
      <c r="JB13" s="1">
        <f>Table1[[#This Row],[Total_Cost_MUSD]]*Table1[[#This Row],[prob50-failure_rating7]]*1000000/50</f>
        <v>128.71651610000001</v>
      </c>
      <c r="JC13" s="1">
        <f>Table1[[#This Row],[Total_Cost_MUSD]]*Table1[[#This Row],[prob50-failure_rating8]]*1000000/50</f>
        <v>2.5743303220000007</v>
      </c>
      <c r="JD13" s="1">
        <f>Table1[[#This Row],[Total_Cost_MUSD]]*Table1[[#This Row],[prob50-failure_rating9]]*1000000/50</f>
        <v>1.5445981932000001</v>
      </c>
      <c r="JE13" s="1">
        <f>Table1[[#This Row],[Total_Cost_MUSD]]*Table1[[#This Row],[prob10-failure_rating1]]*1000000/10</f>
        <v>25743.303220000002</v>
      </c>
      <c r="JF13" s="1">
        <f>Table1[[#This Row],[Total_Cost_MUSD]]*Table1[[#This Row],[prob10-failure_rating2]]*1000000/10</f>
        <v>20594.642576000002</v>
      </c>
      <c r="JG13" s="1">
        <f>Table1[[#This Row],[Total_Cost_MUSD]]*Table1[[#This Row],[prob10-failure_rating3]]*1000000/10</f>
        <v>4118.9285152000002</v>
      </c>
      <c r="JH13" s="1">
        <f>Table1[[#This Row],[Total_Cost_MUSD]]*Table1[[#This Row],[prob10-failure_rating4]]*1000000/10</f>
        <v>1544.5981932</v>
      </c>
      <c r="JI13" s="1">
        <f>Table1[[#This Row],[Total_Cost_MUSD]]*Table1[[#This Row],[prob10-failure_rating5]]*1000000/10</f>
        <v>102.97321288000003</v>
      </c>
      <c r="JJ13" s="1">
        <f>Table1[[#This Row],[Total_Cost_MUSD]]*Table1[[#This Row],[prob10-failure_rating6]]*1000000/10</f>
        <v>1029.7321288000001</v>
      </c>
      <c r="JK13" s="1">
        <f>Table1[[#This Row],[Total_Cost_MUSD]]*Table1[[#This Row],[prob10-failure_rating7]]*1000000/10</f>
        <v>1029.7321288000001</v>
      </c>
      <c r="JL13" s="1">
        <f>Table1[[#This Row],[Total_Cost_MUSD]]*Table1[[#This Row],[prob10-failure_rating8]]*1000000/10</f>
        <v>51.486606440000017</v>
      </c>
      <c r="JM13" s="1">
        <f>Table1[[#This Row],[Total_Cost_MUSD]]*Table1[[#This Row],[prob10-failure_rating9]]*1000000/10</f>
        <v>10.297321287999999</v>
      </c>
      <c r="JN13" s="1">
        <f>Table1[[#This Row],[FailureCost_Rating1]]</f>
        <v>35397.041927500002</v>
      </c>
      <c r="JO13" s="1">
        <f>Table1[[#This Row],[failurecost500_rating1]]+Table1[[#This Row],[failurecost100_rating1]]+Table1[[#This Row],[failurecost50_rating1]]+Table1[[#This Row],[failurecost10_rating1]]</f>
        <v>35397.041927500002</v>
      </c>
      <c r="JP13" s="1">
        <f>Table1[[#This Row],[failurecost500_rating2]]+Table1[[#This Row],[failurecost100_rating2]]+Table1[[#This Row],[failurecost50_rating2]]+Table1[[#This Row],[failurecost10_rating2]]</f>
        <v>25743.303220000002</v>
      </c>
      <c r="JQ13" s="1">
        <f>Table1[[#This Row],[failurecost500_rating2]]+Table1[[#This Row],[failurecost100_rating2]]+Table1[[#This Row],[failurecost50_rating2]]+Table1[[#This Row],[failurecost10_rating2]]</f>
        <v>25743.303220000002</v>
      </c>
      <c r="JR13" s="1">
        <f>Table1[[#This Row],[failurecost500_rating3]]+Table1[[#This Row],[failurecost100_rating3]]+Table1[[#This Row],[failurecost50_rating3]]+Table1[[#This Row],[failurecost10_rating3]]</f>
        <v>5560.5534955200001</v>
      </c>
      <c r="JS13" s="1">
        <f>Table1[[#This Row],[failurecost500_rating3]]+Table1[[#This Row],[failurecost100_rating3]]+Table1[[#This Row],[failurecost50_rating3]]+Table1[[#This Row],[failurecost10_rating3]]</f>
        <v>5560.5534955200001</v>
      </c>
      <c r="JT13" s="1">
        <f>Table1[[#This Row],[failurecost500_rating4]]+Table1[[#This Row],[failurecost100_rating4]]+Table1[[#This Row],[failurecost50_rating4]]+Table1[[#This Row],[failurecost10_rating4]]</f>
        <v>1951.3423840760001</v>
      </c>
      <c r="JU13" s="1">
        <f>Table1[[#This Row],[failurecost500_rating4]]+Table1[[#This Row],[failurecost100_rating4]]+Table1[[#This Row],[failurecost50_rating4]]+Table1[[#This Row],[failurecost10_rating4]]</f>
        <v>1951.3423840760001</v>
      </c>
      <c r="JV13" s="1">
        <f>Table1[[#This Row],[failurecost500_rating5]]+Table1[[#This Row],[failurecost100_rating5]]+Table1[[#This Row],[failurecost50_rating5]]+Table1[[#This Row],[failurecost10_rating5]]</f>
        <v>109.51201189788003</v>
      </c>
      <c r="JW13" s="1">
        <f>Table1[[#This Row],[failurecost500_rating5]]+Table1[[#This Row],[failurecost100_rating5]]+Table1[[#This Row],[failurecost50_rating5]]+Table1[[#This Row],[failurecost10_rating5]]</f>
        <v>109.51201189788003</v>
      </c>
    </row>
    <row r="14" spans="1:283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Table1[[#This Row],[Depth10_Soil_vol]]*(9.353+9.027)+(Table1[[#This Row],[Depth10_Soil_vol]]/2.5)*20*1.053+(PI()*Table1[[#This Row],[Depth10_Scour]])*Table1[[#This Row],[DECK_WIDTH_MT_052]]*1.062</f>
        <v>13653.389769605932</v>
      </c>
      <c r="AR14" s="1">
        <f>Table1[[#This Row],[Depth50_Soil_vol]]*(9.353+9.027)+(Table1[[#This Row],[Depth50_Soil_vol]]/2.5)*20*1.053+(PI()*Table1[[#This Row],[Depth50_Scour]])*Table1[[#This Row],[DECK_WIDTH_MT_052]]*1.062</f>
        <v>14501.430182908143</v>
      </c>
      <c r="AS14" s="1">
        <f>Table1[[#This Row],[Depth100_Soil_vol]]*(9.353+9.027)+(Table1[[#This Row],[Depth100_Soil_vol]]/2.5)*20*1.053+(PI()*Table1[[#This Row],[Depth100_Scour]])*Table1[[#This Row],[DECK_WIDTH_MT_052]]*1.062</f>
        <v>14880.875971506524</v>
      </c>
      <c r="AT14" s="1">
        <f>Table1[[#This Row],[Depth500_Soil_vol]]*(9.353+9.027)+(Table1[[#This Row],[Depth500_Soil_vol]]/2.5)*20*1.053+(PI()*Table1[[#This Row],[Depth500_Scour]])*Table1[[#This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>
        <v>83.517219859999997</v>
      </c>
      <c r="GE14" s="1">
        <v>0</v>
      </c>
      <c r="GF14" s="1">
        <v>0</v>
      </c>
      <c r="GG14" s="1">
        <v>0</v>
      </c>
      <c r="GH14" s="1">
        <v>0</v>
      </c>
      <c r="GI14" s="1">
        <v>9</v>
      </c>
      <c r="GJ14" s="1">
        <f>Table1[[#This Row],[cost_repair_rating1]]</f>
        <v>727475938.92405903</v>
      </c>
      <c r="GK14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727475938.92405903</v>
      </c>
      <c r="GL14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144054588.6879037</v>
      </c>
      <c r="GM14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9123643.8840693291</v>
      </c>
      <c r="GN14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199906.39633900824</v>
      </c>
      <c r="GO14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87131.16381886306</v>
      </c>
      <c r="GP14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45123.160389161778</v>
      </c>
      <c r="GQ14" s="1">
        <v>0</v>
      </c>
      <c r="GR14" s="1">
        <v>0</v>
      </c>
      <c r="GS14" s="1">
        <v>0</v>
      </c>
      <c r="GT14" s="1">
        <f t="shared" si="0"/>
        <v>2.5000000000000001E-2</v>
      </c>
      <c r="GU14" s="1">
        <v>0.01</v>
      </c>
      <c r="GV14" s="1">
        <v>2.5000000000000001E-3</v>
      </c>
      <c r="GW14" s="1">
        <v>4.0000000000000002E-4</v>
      </c>
      <c r="GX14" s="1">
        <v>6.9999999999999999E-6</v>
      </c>
      <c r="GY14" s="1">
        <v>1.8000000000000001E-4</v>
      </c>
      <c r="GZ14" s="1">
        <v>1.8000000000000001E-4</v>
      </c>
      <c r="HA14" s="1">
        <v>3.9999999999999998E-6</v>
      </c>
      <c r="HB14" s="1">
        <v>2.5000000000000002E-6</v>
      </c>
      <c r="HC14" s="1">
        <f t="shared" si="1"/>
        <v>1.2500000000000001E-2</v>
      </c>
      <c r="HD14" s="1">
        <v>6.0000000000000001E-3</v>
      </c>
      <c r="HE14" s="1">
        <v>2.5000000000000001E-3</v>
      </c>
      <c r="HF14" s="1">
        <v>5.0000000000000001E-4</v>
      </c>
      <c r="HG14" s="1">
        <v>7.9999999999999996E-6</v>
      </c>
      <c r="HH14" s="1">
        <v>2.5000000000000001E-4</v>
      </c>
      <c r="HI14" s="1">
        <v>2.5000000000000001E-4</v>
      </c>
      <c r="HJ14" s="1">
        <v>5.0000000000000004E-6</v>
      </c>
      <c r="HK14" s="1">
        <v>3.0000000000000001E-6</v>
      </c>
      <c r="HL14" s="1">
        <v>0.01</v>
      </c>
      <c r="HM14" s="1">
        <v>6.0000000000000001E-3</v>
      </c>
      <c r="HN14" s="1">
        <v>1.2999999999999999E-3</v>
      </c>
      <c r="HO14" s="1">
        <v>5.0000000000000001E-4</v>
      </c>
      <c r="HP14" s="1">
        <v>7.9999999999999996E-6</v>
      </c>
      <c r="HQ14" s="1">
        <v>2.5000000000000001E-4</v>
      </c>
      <c r="HR14" s="1">
        <v>2.5000000000000001E-4</v>
      </c>
      <c r="HS14" s="1">
        <v>5.0000000000000004E-6</v>
      </c>
      <c r="HT14" s="1">
        <v>3.0000000000000001E-6</v>
      </c>
      <c r="HU14" s="1">
        <v>0.01</v>
      </c>
      <c r="HV14" s="1">
        <v>8.0000000000000002E-3</v>
      </c>
      <c r="HW14" s="1">
        <v>1.6000000000000001E-3</v>
      </c>
      <c r="HX14" s="1">
        <v>5.9999999999999995E-4</v>
      </c>
      <c r="HY14" s="1">
        <v>4.0000000000000003E-5</v>
      </c>
      <c r="HZ14" s="1">
        <v>4.0000000000000002E-4</v>
      </c>
      <c r="IA14" s="1">
        <v>4.0000000000000002E-4</v>
      </c>
      <c r="IB14" s="1">
        <v>2.0000000000000002E-5</v>
      </c>
      <c r="IC14" s="1">
        <v>3.9999999999999998E-6</v>
      </c>
      <c r="ID14" s="1">
        <f>Table1[[#This Row],[Total_Cost_MUSD]]*Table1[[#This Row],[prob500-failure_rating1]]*1000000/500</f>
        <v>4175.8609930000002</v>
      </c>
      <c r="IE14" s="1">
        <f>Table1[[#This Row],[Total_Cost_MUSD]]*Table1[[#This Row],[prob500-failure_rating2]]*1000000/500</f>
        <v>1670.3443972</v>
      </c>
      <c r="IF14" s="1">
        <f>Table1[[#This Row],[Total_Cost_MUSD]]*Table1[[#This Row],[prob500-failure_rating3]]*1000000/500</f>
        <v>417.5860993</v>
      </c>
      <c r="IG14" s="1">
        <f>Table1[[#This Row],[Total_Cost_MUSD]]*Table1[[#This Row],[prob500-failure_rating4]]*1000000/500</f>
        <v>66.813775888000009</v>
      </c>
      <c r="IH14" s="1">
        <f>Table1[[#This Row],[Total_Cost_MUSD]]*Table1[[#This Row],[prob500-failure_rating5]]*1000000/500</f>
        <v>1.1692410780399998</v>
      </c>
      <c r="II14" s="1">
        <f>Table1[[#This Row],[Total_Cost_MUSD]]*Table1[[#This Row],[prob500-failure_rating6]]*1000000/500</f>
        <v>30.066199149600003</v>
      </c>
      <c r="IJ14" s="1">
        <f>Table1[[#This Row],[Total_Cost_MUSD]]*Table1[[#This Row],[prob500-failure_rating7]]*1000000/500</f>
        <v>30.066199149600003</v>
      </c>
      <c r="IK14" s="1">
        <f>Table1[[#This Row],[Total_Cost_MUSD]]*Table1[[#This Row],[prob500-failure_rating8]]*1000000/500</f>
        <v>0.66813775887999993</v>
      </c>
      <c r="IL14" s="1">
        <f>Table1[[#This Row],[Total_Cost_MUSD]]*Table1[[#This Row],[prob500-failure_rating9]]*1000000/500</f>
        <v>0.41758609930000007</v>
      </c>
      <c r="IM14" s="1">
        <f>Table1[[#This Row],[Total_Cost_MUSD]]*Table1[[#This Row],[prob100-failure_rating1]]*1000000/100</f>
        <v>10439.6524825</v>
      </c>
      <c r="IN14" s="1">
        <f>Table1[[#This Row],[Total_Cost_MUSD]]*Table1[[#This Row],[prob100-failure_rating2]]*1000000/100</f>
        <v>5011.0331915999996</v>
      </c>
      <c r="IO14" s="1">
        <f>Table1[[#This Row],[Total_Cost_MUSD]]*Table1[[#This Row],[prob100-failure_rating3]]*1000000/100</f>
        <v>2087.9304965000001</v>
      </c>
      <c r="IP14" s="1">
        <f>Table1[[#This Row],[Total_Cost_MUSD]]*Table1[[#This Row],[prob100-failure_rating4]]*1000000/100</f>
        <v>417.58609930000006</v>
      </c>
      <c r="IQ14" s="1">
        <f>Table1[[#This Row],[Total_Cost_MUSD]]*Table1[[#This Row],[prob100-failure_rating5]]*1000000/100</f>
        <v>6.6813775888000002</v>
      </c>
      <c r="IR14" s="1">
        <f>Table1[[#This Row],[Total_Cost_MUSD]]*Table1[[#This Row],[prob100-failure_rating6]]*1000000/100</f>
        <v>208.79304965000003</v>
      </c>
      <c r="IS14" s="1">
        <f>Table1[[#This Row],[Total_Cost_MUSD]]*Table1[[#This Row],[prob100-failure_rating7]]*1000000/100</f>
        <v>208.79304965000003</v>
      </c>
      <c r="IT14" s="1">
        <f>Table1[[#This Row],[Total_Cost_MUSD]]*Table1[[#This Row],[prob100-failure_rating8]]*1000000/100</f>
        <v>4.1758609930000006</v>
      </c>
      <c r="IU14" s="1">
        <f>Table1[[#This Row],[Total_Cost_MUSD]]*Table1[[#This Row],[prob100-failure_rating9]]*1000000/100</f>
        <v>2.5055165958000001</v>
      </c>
      <c r="IV14" s="1">
        <f>Table1[[#This Row],[Total_Cost_MUSD]]*Table1[[#This Row],[prob50-failure_rating1]]*1000000/50</f>
        <v>16703.443972000001</v>
      </c>
      <c r="IW14" s="1">
        <f>Table1[[#This Row],[Total_Cost_MUSD]]*Table1[[#This Row],[prob50-failure_rating2]]*1000000/50</f>
        <v>10022.066383199999</v>
      </c>
      <c r="IX14" s="1">
        <f>Table1[[#This Row],[Total_Cost_MUSD]]*Table1[[#This Row],[prob50-failure_rating3]]*1000000/50</f>
        <v>2171.44771636</v>
      </c>
      <c r="IY14" s="1">
        <f>Table1[[#This Row],[Total_Cost_MUSD]]*Table1[[#This Row],[prob50-failure_rating4]]*1000000/50</f>
        <v>835.17219860000012</v>
      </c>
      <c r="IZ14" s="1">
        <f>Table1[[#This Row],[Total_Cost_MUSD]]*Table1[[#This Row],[prob50-failure_rating5]]*1000000/50</f>
        <v>13.3627551776</v>
      </c>
      <c r="JA14" s="1">
        <f>Table1[[#This Row],[Total_Cost_MUSD]]*Table1[[#This Row],[prob50-failure_rating6]]*1000000/50</f>
        <v>417.58609930000006</v>
      </c>
      <c r="JB14" s="1">
        <f>Table1[[#This Row],[Total_Cost_MUSD]]*Table1[[#This Row],[prob50-failure_rating7]]*1000000/50</f>
        <v>417.58609930000006</v>
      </c>
      <c r="JC14" s="1">
        <f>Table1[[#This Row],[Total_Cost_MUSD]]*Table1[[#This Row],[prob50-failure_rating8]]*1000000/50</f>
        <v>8.3517219860000012</v>
      </c>
      <c r="JD14" s="1">
        <f>Table1[[#This Row],[Total_Cost_MUSD]]*Table1[[#This Row],[prob50-failure_rating9]]*1000000/50</f>
        <v>5.0110331916000002</v>
      </c>
      <c r="JE14" s="1">
        <f>Table1[[#This Row],[Total_Cost_MUSD]]*Table1[[#This Row],[prob10-failure_rating1]]*1000000/10</f>
        <v>83517.219859999997</v>
      </c>
      <c r="JF14" s="1">
        <f>Table1[[#This Row],[Total_Cost_MUSD]]*Table1[[#This Row],[prob10-failure_rating2]]*1000000/10</f>
        <v>66813.775888000004</v>
      </c>
      <c r="JG14" s="1">
        <f>Table1[[#This Row],[Total_Cost_MUSD]]*Table1[[#This Row],[prob10-failure_rating3]]*1000000/10</f>
        <v>13362.7551776</v>
      </c>
      <c r="JH14" s="1">
        <f>Table1[[#This Row],[Total_Cost_MUSD]]*Table1[[#This Row],[prob10-failure_rating4]]*1000000/10</f>
        <v>5011.0331915999996</v>
      </c>
      <c r="JI14" s="1">
        <f>Table1[[#This Row],[Total_Cost_MUSD]]*Table1[[#This Row],[prob10-failure_rating5]]*1000000/10</f>
        <v>334.06887944000005</v>
      </c>
      <c r="JJ14" s="1">
        <f>Table1[[#This Row],[Total_Cost_MUSD]]*Table1[[#This Row],[prob10-failure_rating6]]*1000000/10</f>
        <v>3340.6887944</v>
      </c>
      <c r="JK14" s="1">
        <f>Table1[[#This Row],[Total_Cost_MUSD]]*Table1[[#This Row],[prob10-failure_rating7]]*1000000/10</f>
        <v>3340.6887944</v>
      </c>
      <c r="JL14" s="1">
        <f>Table1[[#This Row],[Total_Cost_MUSD]]*Table1[[#This Row],[prob10-failure_rating8]]*1000000/10</f>
        <v>167.03443972000002</v>
      </c>
      <c r="JM14" s="1">
        <f>Table1[[#This Row],[Total_Cost_MUSD]]*Table1[[#This Row],[prob10-failure_rating9]]*1000000/10</f>
        <v>33.406887943999998</v>
      </c>
      <c r="JN14" s="1">
        <f>Table1[[#This Row],[FailureCost_Rating1]]</f>
        <v>114836.17730749999</v>
      </c>
      <c r="JO14" s="1">
        <f>Table1[[#This Row],[failurecost500_rating1]]+Table1[[#This Row],[failurecost100_rating1]]+Table1[[#This Row],[failurecost50_rating1]]+Table1[[#This Row],[failurecost10_rating1]]</f>
        <v>114836.17730749999</v>
      </c>
      <c r="JP14" s="1">
        <f>Table1[[#This Row],[failurecost500_rating2]]+Table1[[#This Row],[failurecost100_rating2]]+Table1[[#This Row],[failurecost50_rating2]]+Table1[[#This Row],[failurecost10_rating2]]</f>
        <v>83517.219860000012</v>
      </c>
      <c r="JQ14" s="1">
        <f>Table1[[#This Row],[failurecost500_rating2]]+Table1[[#This Row],[failurecost100_rating2]]+Table1[[#This Row],[failurecost50_rating2]]+Table1[[#This Row],[failurecost10_rating2]]</f>
        <v>83517.219860000012</v>
      </c>
      <c r="JR14" s="1">
        <f>Table1[[#This Row],[failurecost500_rating3]]+Table1[[#This Row],[failurecost100_rating3]]+Table1[[#This Row],[failurecost50_rating3]]+Table1[[#This Row],[failurecost10_rating3]]</f>
        <v>18039.719489759998</v>
      </c>
      <c r="JS14" s="1">
        <f>Table1[[#This Row],[failurecost500_rating3]]+Table1[[#This Row],[failurecost100_rating3]]+Table1[[#This Row],[failurecost50_rating3]]+Table1[[#This Row],[failurecost10_rating3]]</f>
        <v>18039.719489759998</v>
      </c>
      <c r="JT14" s="1">
        <f>Table1[[#This Row],[failurecost500_rating4]]+Table1[[#This Row],[failurecost100_rating4]]+Table1[[#This Row],[failurecost50_rating4]]+Table1[[#This Row],[failurecost10_rating4]]</f>
        <v>6330.6052653879997</v>
      </c>
      <c r="JU14" s="1">
        <f>Table1[[#This Row],[failurecost500_rating4]]+Table1[[#This Row],[failurecost100_rating4]]+Table1[[#This Row],[failurecost50_rating4]]+Table1[[#This Row],[failurecost10_rating4]]</f>
        <v>6330.6052653879997</v>
      </c>
      <c r="JV14" s="1">
        <f>Table1[[#This Row],[failurecost500_rating5]]+Table1[[#This Row],[failurecost100_rating5]]+Table1[[#This Row],[failurecost50_rating5]]+Table1[[#This Row],[failurecost10_rating5]]</f>
        <v>355.28225328444006</v>
      </c>
      <c r="JW14" s="1">
        <f>Table1[[#This Row],[failurecost500_rating5]]+Table1[[#This Row],[failurecost100_rating5]]+Table1[[#This Row],[failurecost50_rating5]]+Table1[[#This Row],[failurecost10_rating5]]</f>
        <v>355.28225328444006</v>
      </c>
    </row>
    <row r="15" spans="1:283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Table1[[#This Row],[Depth10_Soil_vol]]*(9.353+9.027)+(Table1[[#This Row],[Depth10_Soil_vol]]/2.5)*20*1.053+(PI()*Table1[[#This Row],[Depth10_Scour]])*Table1[[#This Row],[DECK_WIDTH_MT_052]]*1.062</f>
        <v>9589.4503766877388</v>
      </c>
      <c r="AR15" s="1">
        <f>Table1[[#This Row],[Depth50_Soil_vol]]*(9.353+9.027)+(Table1[[#This Row],[Depth50_Soil_vol]]/2.5)*20*1.053+(PI()*Table1[[#This Row],[Depth50_Scour]])*Table1[[#This Row],[DECK_WIDTH_MT_052]]*1.062</f>
        <v>10089.839206196759</v>
      </c>
      <c r="AS15" s="1">
        <f>Table1[[#This Row],[Depth100_Soil_vol]]*(9.353+9.027)+(Table1[[#This Row],[Depth100_Soil_vol]]/2.5)*20*1.053+(PI()*Table1[[#This Row],[Depth100_Scour]])*Table1[[#This Row],[DECK_WIDTH_MT_052]]*1.062</f>
        <v>10312.30726316059</v>
      </c>
      <c r="AT15" s="1">
        <f>Table1[[#This Row],[Depth500_Soil_vol]]*(9.353+9.027)+(Table1[[#This Row],[Depth500_Soil_vol]]/2.5)*20*1.053+(PI()*Table1[[#This Row],[Depth500_Scour]])*Table1[[#This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>
        <v>51.219814960000001</v>
      </c>
      <c r="GE15" s="1">
        <v>0</v>
      </c>
      <c r="GF15" s="1">
        <v>0.25</v>
      </c>
      <c r="GG15" s="1">
        <v>0.5</v>
      </c>
      <c r="GH15" s="1">
        <v>0.75</v>
      </c>
      <c r="GI15" s="1">
        <v>8</v>
      </c>
      <c r="GJ15" s="1">
        <f>Table1[[#This Row],[cost_repair_rating1]]</f>
        <v>391550928.78822935</v>
      </c>
      <c r="GK15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391550928.78822935</v>
      </c>
      <c r="GL15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77604248.829044953</v>
      </c>
      <c r="GM15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4938464.958715884</v>
      </c>
      <c r="GN15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111957.94950804404</v>
      </c>
      <c r="GO15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49711.815020633418</v>
      </c>
      <c r="GP15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26252.85315047083</v>
      </c>
      <c r="GQ15" s="1">
        <v>0</v>
      </c>
      <c r="GR15" s="1">
        <v>0</v>
      </c>
      <c r="GS15" s="1">
        <v>0</v>
      </c>
      <c r="GT15" s="1">
        <f t="shared" si="0"/>
        <v>2.5000000000000001E-2</v>
      </c>
      <c r="GU15" s="1">
        <v>0.01</v>
      </c>
      <c r="GV15" s="1">
        <v>2.5000000000000001E-3</v>
      </c>
      <c r="GW15" s="1">
        <v>4.0000000000000002E-4</v>
      </c>
      <c r="GX15" s="1">
        <v>6.9999999999999999E-6</v>
      </c>
      <c r="GY15" s="1">
        <v>1.8000000000000001E-4</v>
      </c>
      <c r="GZ15" s="1">
        <v>1.8000000000000001E-4</v>
      </c>
      <c r="HA15" s="1">
        <v>3.9999999999999998E-6</v>
      </c>
      <c r="HB15" s="1">
        <v>2.5000000000000002E-6</v>
      </c>
      <c r="HC15" s="1">
        <f t="shared" si="1"/>
        <v>1.2500000000000001E-2</v>
      </c>
      <c r="HD15" s="1">
        <v>6.0000000000000001E-3</v>
      </c>
      <c r="HE15" s="1">
        <v>2.5000000000000001E-3</v>
      </c>
      <c r="HF15" s="1">
        <v>5.0000000000000001E-4</v>
      </c>
      <c r="HG15" s="1">
        <v>7.9999999999999996E-6</v>
      </c>
      <c r="HH15" s="1">
        <v>2.5000000000000001E-4</v>
      </c>
      <c r="HI15" s="1">
        <v>2.5000000000000001E-4</v>
      </c>
      <c r="HJ15" s="1">
        <v>5.0000000000000004E-6</v>
      </c>
      <c r="HK15" s="1">
        <v>3.0000000000000001E-6</v>
      </c>
      <c r="HL15" s="1">
        <v>0.01</v>
      </c>
      <c r="HM15" s="1">
        <v>6.0000000000000001E-3</v>
      </c>
      <c r="HN15" s="1">
        <v>1.2999999999999999E-3</v>
      </c>
      <c r="HO15" s="1">
        <v>5.0000000000000001E-4</v>
      </c>
      <c r="HP15" s="1">
        <v>7.9999999999999996E-6</v>
      </c>
      <c r="HQ15" s="1">
        <v>2.5000000000000001E-4</v>
      </c>
      <c r="HR15" s="1">
        <v>2.5000000000000001E-4</v>
      </c>
      <c r="HS15" s="1">
        <v>5.0000000000000004E-6</v>
      </c>
      <c r="HT15" s="1">
        <v>3.0000000000000001E-6</v>
      </c>
      <c r="HU15" s="1">
        <v>0.01</v>
      </c>
      <c r="HV15" s="1">
        <v>8.0000000000000002E-3</v>
      </c>
      <c r="HW15" s="1">
        <v>1.6000000000000001E-3</v>
      </c>
      <c r="HX15" s="1">
        <v>5.9999999999999995E-4</v>
      </c>
      <c r="HY15" s="1">
        <v>4.0000000000000003E-5</v>
      </c>
      <c r="HZ15" s="1">
        <v>4.0000000000000002E-4</v>
      </c>
      <c r="IA15" s="1">
        <v>4.0000000000000002E-4</v>
      </c>
      <c r="IB15" s="1">
        <v>2.0000000000000002E-5</v>
      </c>
      <c r="IC15" s="1">
        <v>3.9999999999999998E-6</v>
      </c>
      <c r="ID15" s="1">
        <f>Table1[[#This Row],[Total_Cost_MUSD]]*Table1[[#This Row],[prob500-failure_rating1]]*1000000/500</f>
        <v>2560.9907480000002</v>
      </c>
      <c r="IE15" s="1">
        <f>Table1[[#This Row],[Total_Cost_MUSD]]*Table1[[#This Row],[prob500-failure_rating2]]*1000000/500</f>
        <v>1024.3962991999999</v>
      </c>
      <c r="IF15" s="1">
        <f>Table1[[#This Row],[Total_Cost_MUSD]]*Table1[[#This Row],[prob500-failure_rating3]]*1000000/500</f>
        <v>256.09907479999998</v>
      </c>
      <c r="IG15" s="1">
        <f>Table1[[#This Row],[Total_Cost_MUSD]]*Table1[[#This Row],[prob500-failure_rating4]]*1000000/500</f>
        <v>40.975851968000001</v>
      </c>
      <c r="IH15" s="1">
        <f>Table1[[#This Row],[Total_Cost_MUSD]]*Table1[[#This Row],[prob500-failure_rating5]]*1000000/500</f>
        <v>0.71707740943999998</v>
      </c>
      <c r="II15" s="1">
        <f>Table1[[#This Row],[Total_Cost_MUSD]]*Table1[[#This Row],[prob500-failure_rating6]]*1000000/500</f>
        <v>18.439133385599998</v>
      </c>
      <c r="IJ15" s="1">
        <f>Table1[[#This Row],[Total_Cost_MUSD]]*Table1[[#This Row],[prob500-failure_rating7]]*1000000/500</f>
        <v>18.439133385599998</v>
      </c>
      <c r="IK15" s="1">
        <f>Table1[[#This Row],[Total_Cost_MUSD]]*Table1[[#This Row],[prob500-failure_rating8]]*1000000/500</f>
        <v>0.40975851967999993</v>
      </c>
      <c r="IL15" s="1">
        <f>Table1[[#This Row],[Total_Cost_MUSD]]*Table1[[#This Row],[prob500-failure_rating9]]*1000000/500</f>
        <v>0.25609907480000005</v>
      </c>
      <c r="IM15" s="1">
        <f>Table1[[#This Row],[Total_Cost_MUSD]]*Table1[[#This Row],[prob100-failure_rating1]]*1000000/100</f>
        <v>6402.4768700000004</v>
      </c>
      <c r="IN15" s="1">
        <f>Table1[[#This Row],[Total_Cost_MUSD]]*Table1[[#This Row],[prob100-failure_rating2]]*1000000/100</f>
        <v>3073.1888976</v>
      </c>
      <c r="IO15" s="1">
        <f>Table1[[#This Row],[Total_Cost_MUSD]]*Table1[[#This Row],[prob100-failure_rating3]]*1000000/100</f>
        <v>1280.4953740000001</v>
      </c>
      <c r="IP15" s="1">
        <f>Table1[[#This Row],[Total_Cost_MUSD]]*Table1[[#This Row],[prob100-failure_rating4]]*1000000/100</f>
        <v>256.09907479999998</v>
      </c>
      <c r="IQ15" s="1">
        <f>Table1[[#This Row],[Total_Cost_MUSD]]*Table1[[#This Row],[prob100-failure_rating5]]*1000000/100</f>
        <v>4.0975851967999999</v>
      </c>
      <c r="IR15" s="1">
        <f>Table1[[#This Row],[Total_Cost_MUSD]]*Table1[[#This Row],[prob100-failure_rating6]]*1000000/100</f>
        <v>128.04953739999999</v>
      </c>
      <c r="IS15" s="1">
        <f>Table1[[#This Row],[Total_Cost_MUSD]]*Table1[[#This Row],[prob100-failure_rating7]]*1000000/100</f>
        <v>128.04953739999999</v>
      </c>
      <c r="IT15" s="1">
        <f>Table1[[#This Row],[Total_Cost_MUSD]]*Table1[[#This Row],[prob100-failure_rating8]]*1000000/100</f>
        <v>2.5609907480000005</v>
      </c>
      <c r="IU15" s="1">
        <f>Table1[[#This Row],[Total_Cost_MUSD]]*Table1[[#This Row],[prob100-failure_rating9]]*1000000/100</f>
        <v>1.5365944487999998</v>
      </c>
      <c r="IV15" s="1">
        <f>Table1[[#This Row],[Total_Cost_MUSD]]*Table1[[#This Row],[prob50-failure_rating1]]*1000000/50</f>
        <v>10243.962992000001</v>
      </c>
      <c r="IW15" s="1">
        <f>Table1[[#This Row],[Total_Cost_MUSD]]*Table1[[#This Row],[prob50-failure_rating2]]*1000000/50</f>
        <v>6146.3777952</v>
      </c>
      <c r="IX15" s="1">
        <f>Table1[[#This Row],[Total_Cost_MUSD]]*Table1[[#This Row],[prob50-failure_rating3]]*1000000/50</f>
        <v>1331.71518896</v>
      </c>
      <c r="IY15" s="1">
        <f>Table1[[#This Row],[Total_Cost_MUSD]]*Table1[[#This Row],[prob50-failure_rating4]]*1000000/50</f>
        <v>512.19814959999997</v>
      </c>
      <c r="IZ15" s="1">
        <f>Table1[[#This Row],[Total_Cost_MUSD]]*Table1[[#This Row],[prob50-failure_rating5]]*1000000/50</f>
        <v>8.1951703935999998</v>
      </c>
      <c r="JA15" s="1">
        <f>Table1[[#This Row],[Total_Cost_MUSD]]*Table1[[#This Row],[prob50-failure_rating6]]*1000000/50</f>
        <v>256.09907479999998</v>
      </c>
      <c r="JB15" s="1">
        <f>Table1[[#This Row],[Total_Cost_MUSD]]*Table1[[#This Row],[prob50-failure_rating7]]*1000000/50</f>
        <v>256.09907479999998</v>
      </c>
      <c r="JC15" s="1">
        <f>Table1[[#This Row],[Total_Cost_MUSD]]*Table1[[#This Row],[prob50-failure_rating8]]*1000000/50</f>
        <v>5.121981496000001</v>
      </c>
      <c r="JD15" s="1">
        <f>Table1[[#This Row],[Total_Cost_MUSD]]*Table1[[#This Row],[prob50-failure_rating9]]*1000000/50</f>
        <v>3.0731888975999997</v>
      </c>
      <c r="JE15" s="1">
        <f>Table1[[#This Row],[Total_Cost_MUSD]]*Table1[[#This Row],[prob10-failure_rating1]]*1000000/10</f>
        <v>51219.814960000003</v>
      </c>
      <c r="JF15" s="1">
        <f>Table1[[#This Row],[Total_Cost_MUSD]]*Table1[[#This Row],[prob10-failure_rating2]]*1000000/10</f>
        <v>40975.851967999995</v>
      </c>
      <c r="JG15" s="1">
        <f>Table1[[#This Row],[Total_Cost_MUSD]]*Table1[[#This Row],[prob10-failure_rating3]]*1000000/10</f>
        <v>8195.1703936000013</v>
      </c>
      <c r="JH15" s="1">
        <f>Table1[[#This Row],[Total_Cost_MUSD]]*Table1[[#This Row],[prob10-failure_rating4]]*1000000/10</f>
        <v>3073.1888976</v>
      </c>
      <c r="JI15" s="1">
        <f>Table1[[#This Row],[Total_Cost_MUSD]]*Table1[[#This Row],[prob10-failure_rating5]]*1000000/10</f>
        <v>204.87925984000003</v>
      </c>
      <c r="JJ15" s="1">
        <f>Table1[[#This Row],[Total_Cost_MUSD]]*Table1[[#This Row],[prob10-failure_rating6]]*1000000/10</f>
        <v>2048.7925984000003</v>
      </c>
      <c r="JK15" s="1">
        <f>Table1[[#This Row],[Total_Cost_MUSD]]*Table1[[#This Row],[prob10-failure_rating7]]*1000000/10</f>
        <v>2048.7925984000003</v>
      </c>
      <c r="JL15" s="1">
        <f>Table1[[#This Row],[Total_Cost_MUSD]]*Table1[[#This Row],[prob10-failure_rating8]]*1000000/10</f>
        <v>102.43962992000002</v>
      </c>
      <c r="JM15" s="1">
        <f>Table1[[#This Row],[Total_Cost_MUSD]]*Table1[[#This Row],[prob10-failure_rating9]]*1000000/10</f>
        <v>20.487925983999997</v>
      </c>
      <c r="JN15" s="1">
        <f>Table1[[#This Row],[FailureCost_Rating1]]</f>
        <v>70427.245569999999</v>
      </c>
      <c r="JO15" s="1">
        <f>Table1[[#This Row],[failurecost500_rating1]]+Table1[[#This Row],[failurecost100_rating1]]+Table1[[#This Row],[failurecost50_rating1]]+Table1[[#This Row],[failurecost10_rating1]]</f>
        <v>70427.245569999999</v>
      </c>
      <c r="JP15" s="1">
        <f>Table1[[#This Row],[failurecost500_rating2]]+Table1[[#This Row],[failurecost100_rating2]]+Table1[[#This Row],[failurecost50_rating2]]+Table1[[#This Row],[failurecost10_rating2]]</f>
        <v>51219.814959999996</v>
      </c>
      <c r="JQ15" s="1">
        <f>Table1[[#This Row],[failurecost500_rating2]]+Table1[[#This Row],[failurecost100_rating2]]+Table1[[#This Row],[failurecost50_rating2]]+Table1[[#This Row],[failurecost10_rating2]]</f>
        <v>51219.814959999996</v>
      </c>
      <c r="JR15" s="1">
        <f>Table1[[#This Row],[failurecost500_rating3]]+Table1[[#This Row],[failurecost100_rating3]]+Table1[[#This Row],[failurecost50_rating3]]+Table1[[#This Row],[failurecost10_rating3]]</f>
        <v>11063.480031360001</v>
      </c>
      <c r="JS15" s="1">
        <f>Table1[[#This Row],[failurecost500_rating3]]+Table1[[#This Row],[failurecost100_rating3]]+Table1[[#This Row],[failurecost50_rating3]]+Table1[[#This Row],[failurecost10_rating3]]</f>
        <v>11063.480031360001</v>
      </c>
      <c r="JT15" s="1">
        <f>Table1[[#This Row],[failurecost500_rating4]]+Table1[[#This Row],[failurecost100_rating4]]+Table1[[#This Row],[failurecost50_rating4]]+Table1[[#This Row],[failurecost10_rating4]]</f>
        <v>3882.4619739680002</v>
      </c>
      <c r="JU15" s="1">
        <f>Table1[[#This Row],[failurecost500_rating4]]+Table1[[#This Row],[failurecost100_rating4]]+Table1[[#This Row],[failurecost50_rating4]]+Table1[[#This Row],[failurecost10_rating4]]</f>
        <v>3882.4619739680002</v>
      </c>
      <c r="JV15" s="1">
        <f>Table1[[#This Row],[failurecost500_rating5]]+Table1[[#This Row],[failurecost100_rating5]]+Table1[[#This Row],[failurecost50_rating5]]+Table1[[#This Row],[failurecost10_rating5]]</f>
        <v>217.88909283984003</v>
      </c>
      <c r="JW15" s="1">
        <f>Table1[[#This Row],[failurecost500_rating5]]+Table1[[#This Row],[failurecost100_rating5]]+Table1[[#This Row],[failurecost50_rating5]]+Table1[[#This Row],[failurecost10_rating5]]</f>
        <v>217.88909283984003</v>
      </c>
    </row>
    <row r="16" spans="1:283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Table1[[#This Row],[Depth10_Soil_vol]]*(9.353+9.027)+(Table1[[#This Row],[Depth10_Soil_vol]]/2.5)*20*1.053+(PI()*Table1[[#This Row],[Depth10_Scour]])*Table1[[#This Row],[DECK_WIDTH_MT_052]]*1.062</f>
        <v>6758.7093437956364</v>
      </c>
      <c r="AR16" s="1">
        <f>Table1[[#This Row],[Depth50_Soil_vol]]*(9.353+9.027)+(Table1[[#This Row],[Depth50_Soil_vol]]/2.5)*20*1.053+(PI()*Table1[[#This Row],[Depth50_Scour]])*Table1[[#This Row],[DECK_WIDTH_MT_052]]*1.062</f>
        <v>7157.860599196707</v>
      </c>
      <c r="AS16" s="1">
        <f>Table1[[#This Row],[Depth100_Soil_vol]]*(9.353+9.027)+(Table1[[#This Row],[Depth100_Soil_vol]]/2.5)*20*1.053+(PI()*Table1[[#This Row],[Depth100_Scour]])*Table1[[#This Row],[DECK_WIDTH_MT_052]]*1.062</f>
        <v>7335.7235370312192</v>
      </c>
      <c r="AT16" s="1">
        <f>Table1[[#This Row],[Depth500_Soil_vol]]*(9.353+9.027)+(Table1[[#This Row],[Depth500_Soil_vol]]/2.5)*20*1.053+(PI()*Table1[[#This Row],[Depth500_Scour]])*Table1[[#This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>
        <v>73.969602710000004</v>
      </c>
      <c r="GE16" s="1">
        <v>0</v>
      </c>
      <c r="GF16" s="1">
        <v>0.25</v>
      </c>
      <c r="GG16" s="1">
        <v>0.5</v>
      </c>
      <c r="GH16" s="1">
        <v>0.75</v>
      </c>
      <c r="GI16" s="1">
        <v>8</v>
      </c>
      <c r="GJ16" s="1">
        <f>Table1[[#This Row],[cost_repair_rating1]]</f>
        <v>165121489.69547129</v>
      </c>
      <c r="GK16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165121489.69547129</v>
      </c>
      <c r="GL16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32785953.390836209</v>
      </c>
      <c r="GM16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2106411.479685002</v>
      </c>
      <c r="GN16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50955.634799184772</v>
      </c>
      <c r="GO16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23381.471758575473</v>
      </c>
      <c r="GP16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12761.416887831139</v>
      </c>
      <c r="GQ16" s="1">
        <v>0</v>
      </c>
      <c r="GR16" s="1">
        <v>0</v>
      </c>
      <c r="GS16" s="1">
        <v>0</v>
      </c>
      <c r="GT16" s="1">
        <f t="shared" si="0"/>
        <v>2.5000000000000001E-2</v>
      </c>
      <c r="GU16" s="1">
        <v>0.01</v>
      </c>
      <c r="GV16" s="1">
        <v>2.5000000000000001E-3</v>
      </c>
      <c r="GW16" s="1">
        <v>4.0000000000000002E-4</v>
      </c>
      <c r="GX16" s="1">
        <v>6.9999999999999999E-6</v>
      </c>
      <c r="GY16" s="1">
        <v>1.8000000000000001E-4</v>
      </c>
      <c r="GZ16" s="1">
        <v>1.8000000000000001E-4</v>
      </c>
      <c r="HA16" s="1">
        <v>3.9999999999999998E-6</v>
      </c>
      <c r="HB16" s="1">
        <v>2.5000000000000002E-6</v>
      </c>
      <c r="HC16" s="1">
        <f t="shared" si="1"/>
        <v>1.2500000000000001E-2</v>
      </c>
      <c r="HD16" s="1">
        <v>6.0000000000000001E-3</v>
      </c>
      <c r="HE16" s="1">
        <v>2.5000000000000001E-3</v>
      </c>
      <c r="HF16" s="1">
        <v>5.0000000000000001E-4</v>
      </c>
      <c r="HG16" s="1">
        <v>7.9999999999999996E-6</v>
      </c>
      <c r="HH16" s="1">
        <v>2.5000000000000001E-4</v>
      </c>
      <c r="HI16" s="1">
        <v>2.5000000000000001E-4</v>
      </c>
      <c r="HJ16" s="1">
        <v>5.0000000000000004E-6</v>
      </c>
      <c r="HK16" s="1">
        <v>3.0000000000000001E-6</v>
      </c>
      <c r="HL16" s="1">
        <v>0.01</v>
      </c>
      <c r="HM16" s="1">
        <v>6.0000000000000001E-3</v>
      </c>
      <c r="HN16" s="1">
        <v>1.2999999999999999E-3</v>
      </c>
      <c r="HO16" s="1">
        <v>5.0000000000000001E-4</v>
      </c>
      <c r="HP16" s="1">
        <v>7.9999999999999996E-6</v>
      </c>
      <c r="HQ16" s="1">
        <v>2.5000000000000001E-4</v>
      </c>
      <c r="HR16" s="1">
        <v>2.5000000000000001E-4</v>
      </c>
      <c r="HS16" s="1">
        <v>5.0000000000000004E-6</v>
      </c>
      <c r="HT16" s="1">
        <v>3.0000000000000001E-6</v>
      </c>
      <c r="HU16" s="1">
        <v>0.01</v>
      </c>
      <c r="HV16" s="1">
        <v>8.0000000000000002E-3</v>
      </c>
      <c r="HW16" s="1">
        <v>1.6000000000000001E-3</v>
      </c>
      <c r="HX16" s="1">
        <v>5.9999999999999995E-4</v>
      </c>
      <c r="HY16" s="1">
        <v>4.0000000000000003E-5</v>
      </c>
      <c r="HZ16" s="1">
        <v>4.0000000000000002E-4</v>
      </c>
      <c r="IA16" s="1">
        <v>4.0000000000000002E-4</v>
      </c>
      <c r="IB16" s="1">
        <v>2.0000000000000002E-5</v>
      </c>
      <c r="IC16" s="1">
        <v>3.9999999999999998E-6</v>
      </c>
      <c r="ID16" s="1">
        <f>Table1[[#This Row],[Total_Cost_MUSD]]*Table1[[#This Row],[prob500-failure_rating1]]*1000000/500</f>
        <v>3698.4801355000004</v>
      </c>
      <c r="IE16" s="1">
        <f>Table1[[#This Row],[Total_Cost_MUSD]]*Table1[[#This Row],[prob500-failure_rating2]]*1000000/500</f>
        <v>1479.3920542000001</v>
      </c>
      <c r="IF16" s="1">
        <f>Table1[[#This Row],[Total_Cost_MUSD]]*Table1[[#This Row],[prob500-failure_rating3]]*1000000/500</f>
        <v>369.84801355000002</v>
      </c>
      <c r="IG16" s="1">
        <f>Table1[[#This Row],[Total_Cost_MUSD]]*Table1[[#This Row],[prob500-failure_rating4]]*1000000/500</f>
        <v>59.175682168000009</v>
      </c>
      <c r="IH16" s="1">
        <f>Table1[[#This Row],[Total_Cost_MUSD]]*Table1[[#This Row],[prob500-failure_rating5]]*1000000/500</f>
        <v>1.03557443794</v>
      </c>
      <c r="II16" s="1">
        <f>Table1[[#This Row],[Total_Cost_MUSD]]*Table1[[#This Row],[prob500-failure_rating6]]*1000000/500</f>
        <v>26.629056975600001</v>
      </c>
      <c r="IJ16" s="1">
        <f>Table1[[#This Row],[Total_Cost_MUSD]]*Table1[[#This Row],[prob500-failure_rating7]]*1000000/500</f>
        <v>26.629056975600001</v>
      </c>
      <c r="IK16" s="1">
        <f>Table1[[#This Row],[Total_Cost_MUSD]]*Table1[[#This Row],[prob500-failure_rating8]]*1000000/500</f>
        <v>0.59175682167999999</v>
      </c>
      <c r="IL16" s="1">
        <f>Table1[[#This Row],[Total_Cost_MUSD]]*Table1[[#This Row],[prob500-failure_rating9]]*1000000/500</f>
        <v>0.36984801355000002</v>
      </c>
      <c r="IM16" s="1">
        <f>Table1[[#This Row],[Total_Cost_MUSD]]*Table1[[#This Row],[prob100-failure_rating1]]*1000000/100</f>
        <v>9246.2003387500008</v>
      </c>
      <c r="IN16" s="1">
        <f>Table1[[#This Row],[Total_Cost_MUSD]]*Table1[[#This Row],[prob100-failure_rating2]]*1000000/100</f>
        <v>4438.1761626000007</v>
      </c>
      <c r="IO16" s="1">
        <f>Table1[[#This Row],[Total_Cost_MUSD]]*Table1[[#This Row],[prob100-failure_rating3]]*1000000/100</f>
        <v>1849.2400677500002</v>
      </c>
      <c r="IP16" s="1">
        <f>Table1[[#This Row],[Total_Cost_MUSD]]*Table1[[#This Row],[prob100-failure_rating4]]*1000000/100</f>
        <v>369.84801354999996</v>
      </c>
      <c r="IQ16" s="1">
        <f>Table1[[#This Row],[Total_Cost_MUSD]]*Table1[[#This Row],[prob100-failure_rating5]]*1000000/100</f>
        <v>5.9175682168000003</v>
      </c>
      <c r="IR16" s="1">
        <f>Table1[[#This Row],[Total_Cost_MUSD]]*Table1[[#This Row],[prob100-failure_rating6]]*1000000/100</f>
        <v>184.92400677499998</v>
      </c>
      <c r="IS16" s="1">
        <f>Table1[[#This Row],[Total_Cost_MUSD]]*Table1[[#This Row],[prob100-failure_rating7]]*1000000/100</f>
        <v>184.92400677499998</v>
      </c>
      <c r="IT16" s="1">
        <f>Table1[[#This Row],[Total_Cost_MUSD]]*Table1[[#This Row],[prob100-failure_rating8]]*1000000/100</f>
        <v>3.6984801355000001</v>
      </c>
      <c r="IU16" s="1">
        <f>Table1[[#This Row],[Total_Cost_MUSD]]*Table1[[#This Row],[prob100-failure_rating9]]*1000000/100</f>
        <v>2.2190880813000002</v>
      </c>
      <c r="IV16" s="1">
        <f>Table1[[#This Row],[Total_Cost_MUSD]]*Table1[[#This Row],[prob50-failure_rating1]]*1000000/50</f>
        <v>14793.920542000002</v>
      </c>
      <c r="IW16" s="1">
        <f>Table1[[#This Row],[Total_Cost_MUSD]]*Table1[[#This Row],[prob50-failure_rating2]]*1000000/50</f>
        <v>8876.3523252000014</v>
      </c>
      <c r="IX16" s="1">
        <f>Table1[[#This Row],[Total_Cost_MUSD]]*Table1[[#This Row],[prob50-failure_rating3]]*1000000/50</f>
        <v>1923.2096704600001</v>
      </c>
      <c r="IY16" s="1">
        <f>Table1[[#This Row],[Total_Cost_MUSD]]*Table1[[#This Row],[prob50-failure_rating4]]*1000000/50</f>
        <v>739.69602709999992</v>
      </c>
      <c r="IZ16" s="1">
        <f>Table1[[#This Row],[Total_Cost_MUSD]]*Table1[[#This Row],[prob50-failure_rating5]]*1000000/50</f>
        <v>11.835136433600001</v>
      </c>
      <c r="JA16" s="1">
        <f>Table1[[#This Row],[Total_Cost_MUSD]]*Table1[[#This Row],[prob50-failure_rating6]]*1000000/50</f>
        <v>369.84801354999996</v>
      </c>
      <c r="JB16" s="1">
        <f>Table1[[#This Row],[Total_Cost_MUSD]]*Table1[[#This Row],[prob50-failure_rating7]]*1000000/50</f>
        <v>369.84801354999996</v>
      </c>
      <c r="JC16" s="1">
        <f>Table1[[#This Row],[Total_Cost_MUSD]]*Table1[[#This Row],[prob50-failure_rating8]]*1000000/50</f>
        <v>7.3969602710000002</v>
      </c>
      <c r="JD16" s="1">
        <f>Table1[[#This Row],[Total_Cost_MUSD]]*Table1[[#This Row],[prob50-failure_rating9]]*1000000/50</f>
        <v>4.4381761626000005</v>
      </c>
      <c r="JE16" s="1">
        <f>Table1[[#This Row],[Total_Cost_MUSD]]*Table1[[#This Row],[prob10-failure_rating1]]*1000000/10</f>
        <v>73969.602710000006</v>
      </c>
      <c r="JF16" s="1">
        <f>Table1[[#This Row],[Total_Cost_MUSD]]*Table1[[#This Row],[prob10-failure_rating2]]*1000000/10</f>
        <v>59175.682167999992</v>
      </c>
      <c r="JG16" s="1">
        <f>Table1[[#This Row],[Total_Cost_MUSD]]*Table1[[#This Row],[prob10-failure_rating3]]*1000000/10</f>
        <v>11835.136433600001</v>
      </c>
      <c r="JH16" s="1">
        <f>Table1[[#This Row],[Total_Cost_MUSD]]*Table1[[#This Row],[prob10-failure_rating4]]*1000000/10</f>
        <v>4438.1761625999998</v>
      </c>
      <c r="JI16" s="1">
        <f>Table1[[#This Row],[Total_Cost_MUSD]]*Table1[[#This Row],[prob10-failure_rating5]]*1000000/10</f>
        <v>295.87841084000002</v>
      </c>
      <c r="JJ16" s="1">
        <f>Table1[[#This Row],[Total_Cost_MUSD]]*Table1[[#This Row],[prob10-failure_rating6]]*1000000/10</f>
        <v>2958.7841084000002</v>
      </c>
      <c r="JK16" s="1">
        <f>Table1[[#This Row],[Total_Cost_MUSD]]*Table1[[#This Row],[prob10-failure_rating7]]*1000000/10</f>
        <v>2958.7841084000002</v>
      </c>
      <c r="JL16" s="1">
        <f>Table1[[#This Row],[Total_Cost_MUSD]]*Table1[[#This Row],[prob10-failure_rating8]]*1000000/10</f>
        <v>147.93920542000001</v>
      </c>
      <c r="JM16" s="1">
        <f>Table1[[#This Row],[Total_Cost_MUSD]]*Table1[[#This Row],[prob10-failure_rating9]]*1000000/10</f>
        <v>29.587841084000001</v>
      </c>
      <c r="JN16" s="1">
        <f>Table1[[#This Row],[FailureCost_Rating1]]</f>
        <v>101708.20372625001</v>
      </c>
      <c r="JO16" s="1">
        <f>Table1[[#This Row],[failurecost500_rating1]]+Table1[[#This Row],[failurecost100_rating1]]+Table1[[#This Row],[failurecost50_rating1]]+Table1[[#This Row],[failurecost10_rating1]]</f>
        <v>101708.20372625001</v>
      </c>
      <c r="JP16" s="1">
        <f>Table1[[#This Row],[failurecost500_rating2]]+Table1[[#This Row],[failurecost100_rating2]]+Table1[[#This Row],[failurecost50_rating2]]+Table1[[#This Row],[failurecost10_rating2]]</f>
        <v>73969.602709999992</v>
      </c>
      <c r="JQ16" s="1">
        <f>Table1[[#This Row],[failurecost500_rating2]]+Table1[[#This Row],[failurecost100_rating2]]+Table1[[#This Row],[failurecost50_rating2]]+Table1[[#This Row],[failurecost10_rating2]]</f>
        <v>73969.602709999992</v>
      </c>
      <c r="JR16" s="1">
        <f>Table1[[#This Row],[failurecost500_rating3]]+Table1[[#This Row],[failurecost100_rating3]]+Table1[[#This Row],[failurecost50_rating3]]+Table1[[#This Row],[failurecost10_rating3]]</f>
        <v>15977.434185360002</v>
      </c>
      <c r="JS16" s="1">
        <f>Table1[[#This Row],[failurecost500_rating3]]+Table1[[#This Row],[failurecost100_rating3]]+Table1[[#This Row],[failurecost50_rating3]]+Table1[[#This Row],[failurecost10_rating3]]</f>
        <v>15977.434185360002</v>
      </c>
      <c r="JT16" s="1">
        <f>Table1[[#This Row],[failurecost500_rating4]]+Table1[[#This Row],[failurecost100_rating4]]+Table1[[#This Row],[failurecost50_rating4]]+Table1[[#This Row],[failurecost10_rating4]]</f>
        <v>5606.895885418</v>
      </c>
      <c r="JU16" s="1">
        <f>Table1[[#This Row],[failurecost500_rating4]]+Table1[[#This Row],[failurecost100_rating4]]+Table1[[#This Row],[failurecost50_rating4]]+Table1[[#This Row],[failurecost10_rating4]]</f>
        <v>5606.895885418</v>
      </c>
      <c r="JV16" s="1">
        <f>Table1[[#This Row],[failurecost500_rating5]]+Table1[[#This Row],[failurecost100_rating5]]+Table1[[#This Row],[failurecost50_rating5]]+Table1[[#This Row],[failurecost10_rating5]]</f>
        <v>314.66668992834002</v>
      </c>
      <c r="JW16" s="1">
        <f>Table1[[#This Row],[failurecost500_rating5]]+Table1[[#This Row],[failurecost100_rating5]]+Table1[[#This Row],[failurecost50_rating5]]+Table1[[#This Row],[failurecost10_rating5]]</f>
        <v>314.66668992834002</v>
      </c>
    </row>
    <row r="17" spans="1:283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Table1[[#This Row],[Depth10_Soil_vol]]*(9.353+9.027)+(Table1[[#This Row],[Depth10_Soil_vol]]/2.5)*20*1.053+(PI()*Table1[[#This Row],[Depth10_Scour]])*Table1[[#This Row],[DECK_WIDTH_MT_052]]*1.062</f>
        <v>0</v>
      </c>
      <c r="AR17" s="1">
        <f>Table1[[#This Row],[Depth50_Soil_vol]]*(9.353+9.027)+(Table1[[#This Row],[Depth50_Soil_vol]]/2.5)*20*1.053+(PI()*Table1[[#This Row],[Depth50_Scour]])*Table1[[#This Row],[DECK_WIDTH_MT_052]]*1.062</f>
        <v>73.925295948361111</v>
      </c>
      <c r="AS17" s="1">
        <f>Table1[[#This Row],[Depth100_Soil_vol]]*(9.353+9.027)+(Table1[[#This Row],[Depth100_Soil_vol]]/2.5)*20*1.053+(PI()*Table1[[#This Row],[Depth100_Scour]])*Table1[[#This Row],[DECK_WIDTH_MT_052]]*1.062</f>
        <v>101.29876563204503</v>
      </c>
      <c r="AT17" s="1">
        <f>Table1[[#This Row],[Depth500_Soil_vol]]*(9.353+9.027)+(Table1[[#This Row],[Depth500_Soil_vol]]/2.5)*20*1.053+(PI()*Table1[[#This Row],[Depth500_Scour]])*Table1[[#This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>
        <v>8.343465471</v>
      </c>
      <c r="GE17" s="1">
        <v>0</v>
      </c>
      <c r="GF17" s="1">
        <v>0</v>
      </c>
      <c r="GG17" s="1">
        <v>0</v>
      </c>
      <c r="GH17" s="1">
        <v>0</v>
      </c>
      <c r="GI17" s="1">
        <v>9</v>
      </c>
      <c r="GJ17" s="1">
        <f>Table1[[#This Row],[cost_repair_rating1]]</f>
        <v>3144341386.180419</v>
      </c>
      <c r="GK17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3144341386.180419</v>
      </c>
      <c r="GL17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621843603.36470985</v>
      </c>
      <c r="GM17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39114930.849101029</v>
      </c>
      <c r="GN17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813881.94505816221</v>
      </c>
      <c r="GO17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344220.81828128023</v>
      </c>
      <c r="GP17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172411.40553782354</v>
      </c>
      <c r="GQ17" s="1">
        <v>0</v>
      </c>
      <c r="GR17" s="1">
        <v>0</v>
      </c>
      <c r="GS17" s="1">
        <v>0</v>
      </c>
      <c r="GT17" s="1">
        <f t="shared" si="0"/>
        <v>2.5000000000000001E-2</v>
      </c>
      <c r="GU17" s="1">
        <v>0.01</v>
      </c>
      <c r="GV17" s="1">
        <v>2.5000000000000001E-3</v>
      </c>
      <c r="GW17" s="1">
        <v>4.0000000000000002E-4</v>
      </c>
      <c r="GX17" s="1">
        <v>6.9999999999999999E-6</v>
      </c>
      <c r="GY17" s="1">
        <v>1.8000000000000001E-4</v>
      </c>
      <c r="GZ17" s="1">
        <v>1.8000000000000001E-4</v>
      </c>
      <c r="HA17" s="1">
        <v>3.9999999999999998E-6</v>
      </c>
      <c r="HB17" s="1">
        <v>2.5000000000000002E-6</v>
      </c>
      <c r="HC17" s="1">
        <f t="shared" si="1"/>
        <v>1.2500000000000001E-2</v>
      </c>
      <c r="HD17" s="1">
        <v>6.0000000000000001E-3</v>
      </c>
      <c r="HE17" s="1">
        <v>2.5000000000000001E-3</v>
      </c>
      <c r="HF17" s="1">
        <v>5.0000000000000001E-4</v>
      </c>
      <c r="HG17" s="1">
        <v>7.9999999999999996E-6</v>
      </c>
      <c r="HH17" s="1">
        <v>2.5000000000000001E-4</v>
      </c>
      <c r="HI17" s="1">
        <v>2.5000000000000001E-4</v>
      </c>
      <c r="HJ17" s="1">
        <v>5.0000000000000004E-6</v>
      </c>
      <c r="HK17" s="1">
        <v>3.0000000000000001E-6</v>
      </c>
      <c r="HL17" s="1">
        <v>0.01</v>
      </c>
      <c r="HM17" s="1">
        <v>6.0000000000000001E-3</v>
      </c>
      <c r="HN17" s="1">
        <v>1.2999999999999999E-3</v>
      </c>
      <c r="HO17" s="1">
        <v>5.0000000000000001E-4</v>
      </c>
      <c r="HP17" s="1">
        <v>7.9999999999999996E-6</v>
      </c>
      <c r="HQ17" s="1">
        <v>2.5000000000000001E-4</v>
      </c>
      <c r="HR17" s="1">
        <v>2.5000000000000001E-4</v>
      </c>
      <c r="HS17" s="1">
        <v>5.0000000000000004E-6</v>
      </c>
      <c r="HT17" s="1">
        <v>3.0000000000000001E-6</v>
      </c>
      <c r="HU17" s="1">
        <v>0.01</v>
      </c>
      <c r="HV17" s="1">
        <v>8.0000000000000002E-3</v>
      </c>
      <c r="HW17" s="1">
        <v>1.6000000000000001E-3</v>
      </c>
      <c r="HX17" s="1">
        <v>5.9999999999999995E-4</v>
      </c>
      <c r="HY17" s="1">
        <v>4.0000000000000003E-5</v>
      </c>
      <c r="HZ17" s="1">
        <v>4.0000000000000002E-4</v>
      </c>
      <c r="IA17" s="1">
        <v>4.0000000000000002E-4</v>
      </c>
      <c r="IB17" s="1">
        <v>2.0000000000000002E-5</v>
      </c>
      <c r="IC17" s="1">
        <v>3.9999999999999998E-6</v>
      </c>
      <c r="ID17" s="1">
        <f>Table1[[#This Row],[Total_Cost_MUSD]]*Table1[[#This Row],[prob500-failure_rating1]]*1000000/500</f>
        <v>417.17327354999998</v>
      </c>
      <c r="IE17" s="1">
        <f>Table1[[#This Row],[Total_Cost_MUSD]]*Table1[[#This Row],[prob500-failure_rating2]]*1000000/500</f>
        <v>166.86930942000001</v>
      </c>
      <c r="IF17" s="1">
        <f>Table1[[#This Row],[Total_Cost_MUSD]]*Table1[[#This Row],[prob500-failure_rating3]]*1000000/500</f>
        <v>41.717327355000002</v>
      </c>
      <c r="IG17" s="1">
        <f>Table1[[#This Row],[Total_Cost_MUSD]]*Table1[[#This Row],[prob500-failure_rating4]]*1000000/500</f>
        <v>6.6747723768000009</v>
      </c>
      <c r="IH17" s="1">
        <f>Table1[[#This Row],[Total_Cost_MUSD]]*Table1[[#This Row],[prob500-failure_rating5]]*1000000/500</f>
        <v>0.116808516594</v>
      </c>
      <c r="II17" s="1">
        <f>Table1[[#This Row],[Total_Cost_MUSD]]*Table1[[#This Row],[prob500-failure_rating6]]*1000000/500</f>
        <v>3.00364756956</v>
      </c>
      <c r="IJ17" s="1">
        <f>Table1[[#This Row],[Total_Cost_MUSD]]*Table1[[#This Row],[prob500-failure_rating7]]*1000000/500</f>
        <v>3.00364756956</v>
      </c>
      <c r="IK17" s="1">
        <f>Table1[[#This Row],[Total_Cost_MUSD]]*Table1[[#This Row],[prob500-failure_rating8]]*1000000/500</f>
        <v>6.6747723768000006E-2</v>
      </c>
      <c r="IL17" s="1">
        <f>Table1[[#This Row],[Total_Cost_MUSD]]*Table1[[#This Row],[prob500-failure_rating9]]*1000000/500</f>
        <v>4.1717327355E-2</v>
      </c>
      <c r="IM17" s="1">
        <f>Table1[[#This Row],[Total_Cost_MUSD]]*Table1[[#This Row],[prob100-failure_rating1]]*1000000/100</f>
        <v>1042.9331838749999</v>
      </c>
      <c r="IN17" s="1">
        <f>Table1[[#This Row],[Total_Cost_MUSD]]*Table1[[#This Row],[prob100-failure_rating2]]*1000000/100</f>
        <v>500.60792826000005</v>
      </c>
      <c r="IO17" s="1">
        <f>Table1[[#This Row],[Total_Cost_MUSD]]*Table1[[#This Row],[prob100-failure_rating3]]*1000000/100</f>
        <v>208.58663677500002</v>
      </c>
      <c r="IP17" s="1">
        <f>Table1[[#This Row],[Total_Cost_MUSD]]*Table1[[#This Row],[prob100-failure_rating4]]*1000000/100</f>
        <v>41.717327355000009</v>
      </c>
      <c r="IQ17" s="1">
        <f>Table1[[#This Row],[Total_Cost_MUSD]]*Table1[[#This Row],[prob100-failure_rating5]]*1000000/100</f>
        <v>0.66747723768</v>
      </c>
      <c r="IR17" s="1">
        <f>Table1[[#This Row],[Total_Cost_MUSD]]*Table1[[#This Row],[prob100-failure_rating6]]*1000000/100</f>
        <v>20.858663677500004</v>
      </c>
      <c r="IS17" s="1">
        <f>Table1[[#This Row],[Total_Cost_MUSD]]*Table1[[#This Row],[prob100-failure_rating7]]*1000000/100</f>
        <v>20.858663677500004</v>
      </c>
      <c r="IT17" s="1">
        <f>Table1[[#This Row],[Total_Cost_MUSD]]*Table1[[#This Row],[prob100-failure_rating8]]*1000000/100</f>
        <v>0.41717327355</v>
      </c>
      <c r="IU17" s="1">
        <f>Table1[[#This Row],[Total_Cost_MUSD]]*Table1[[#This Row],[prob100-failure_rating9]]*1000000/100</f>
        <v>0.25030396413</v>
      </c>
      <c r="IV17" s="1">
        <f>Table1[[#This Row],[Total_Cost_MUSD]]*Table1[[#This Row],[prob50-failure_rating1]]*1000000/50</f>
        <v>1668.6930942000001</v>
      </c>
      <c r="IW17" s="1">
        <f>Table1[[#This Row],[Total_Cost_MUSD]]*Table1[[#This Row],[prob50-failure_rating2]]*1000000/50</f>
        <v>1001.2158565200001</v>
      </c>
      <c r="IX17" s="1">
        <f>Table1[[#This Row],[Total_Cost_MUSD]]*Table1[[#This Row],[prob50-failure_rating3]]*1000000/50</f>
        <v>216.93010224599999</v>
      </c>
      <c r="IY17" s="1">
        <f>Table1[[#This Row],[Total_Cost_MUSD]]*Table1[[#This Row],[prob50-failure_rating4]]*1000000/50</f>
        <v>83.434654710000018</v>
      </c>
      <c r="IZ17" s="1">
        <f>Table1[[#This Row],[Total_Cost_MUSD]]*Table1[[#This Row],[prob50-failure_rating5]]*1000000/50</f>
        <v>1.33495447536</v>
      </c>
      <c r="JA17" s="1">
        <f>Table1[[#This Row],[Total_Cost_MUSD]]*Table1[[#This Row],[prob50-failure_rating6]]*1000000/50</f>
        <v>41.717327355000009</v>
      </c>
      <c r="JB17" s="1">
        <f>Table1[[#This Row],[Total_Cost_MUSD]]*Table1[[#This Row],[prob50-failure_rating7]]*1000000/50</f>
        <v>41.717327355000009</v>
      </c>
      <c r="JC17" s="1">
        <f>Table1[[#This Row],[Total_Cost_MUSD]]*Table1[[#This Row],[prob50-failure_rating8]]*1000000/50</f>
        <v>0.8343465471</v>
      </c>
      <c r="JD17" s="1">
        <f>Table1[[#This Row],[Total_Cost_MUSD]]*Table1[[#This Row],[prob50-failure_rating9]]*1000000/50</f>
        <v>0.50060792826</v>
      </c>
      <c r="JE17" s="1">
        <f>Table1[[#This Row],[Total_Cost_MUSD]]*Table1[[#This Row],[prob10-failure_rating1]]*1000000/10</f>
        <v>8343.4654709999995</v>
      </c>
      <c r="JF17" s="1">
        <f>Table1[[#This Row],[Total_Cost_MUSD]]*Table1[[#This Row],[prob10-failure_rating2]]*1000000/10</f>
        <v>6674.7723768000014</v>
      </c>
      <c r="JG17" s="1">
        <f>Table1[[#This Row],[Total_Cost_MUSD]]*Table1[[#This Row],[prob10-failure_rating3]]*1000000/10</f>
        <v>1334.9544753600001</v>
      </c>
      <c r="JH17" s="1">
        <f>Table1[[#This Row],[Total_Cost_MUSD]]*Table1[[#This Row],[prob10-failure_rating4]]*1000000/10</f>
        <v>500.60792825999999</v>
      </c>
      <c r="JI17" s="1">
        <f>Table1[[#This Row],[Total_Cost_MUSD]]*Table1[[#This Row],[prob10-failure_rating5]]*1000000/10</f>
        <v>33.373861884</v>
      </c>
      <c r="JJ17" s="1">
        <f>Table1[[#This Row],[Total_Cost_MUSD]]*Table1[[#This Row],[prob10-failure_rating6]]*1000000/10</f>
        <v>333.73861884000002</v>
      </c>
      <c r="JK17" s="1">
        <f>Table1[[#This Row],[Total_Cost_MUSD]]*Table1[[#This Row],[prob10-failure_rating7]]*1000000/10</f>
        <v>333.73861884000002</v>
      </c>
      <c r="JL17" s="1">
        <f>Table1[[#This Row],[Total_Cost_MUSD]]*Table1[[#This Row],[prob10-failure_rating8]]*1000000/10</f>
        <v>16.686930942</v>
      </c>
      <c r="JM17" s="1">
        <f>Table1[[#This Row],[Total_Cost_MUSD]]*Table1[[#This Row],[prob10-failure_rating9]]*1000000/10</f>
        <v>3.3373861884</v>
      </c>
      <c r="JN17" s="1">
        <f>Table1[[#This Row],[FailureCost_Rating1]]</f>
        <v>11472.265022625001</v>
      </c>
      <c r="JO17" s="1">
        <f>Table1[[#This Row],[failurecost500_rating1]]+Table1[[#This Row],[failurecost100_rating1]]+Table1[[#This Row],[failurecost50_rating1]]+Table1[[#This Row],[failurecost10_rating1]]</f>
        <v>11472.265022625001</v>
      </c>
      <c r="JP17" s="1">
        <f>Table1[[#This Row],[failurecost500_rating2]]+Table1[[#This Row],[failurecost100_rating2]]+Table1[[#This Row],[failurecost50_rating2]]+Table1[[#This Row],[failurecost10_rating2]]</f>
        <v>8343.4654710000013</v>
      </c>
      <c r="JQ17" s="1">
        <f>Table1[[#This Row],[failurecost500_rating2]]+Table1[[#This Row],[failurecost100_rating2]]+Table1[[#This Row],[failurecost50_rating2]]+Table1[[#This Row],[failurecost10_rating2]]</f>
        <v>8343.4654710000013</v>
      </c>
      <c r="JR17" s="1">
        <f>Table1[[#This Row],[failurecost500_rating3]]+Table1[[#This Row],[failurecost100_rating3]]+Table1[[#This Row],[failurecost50_rating3]]+Table1[[#This Row],[failurecost10_rating3]]</f>
        <v>1802.1885417359999</v>
      </c>
      <c r="JS17" s="1">
        <f>Table1[[#This Row],[failurecost500_rating3]]+Table1[[#This Row],[failurecost100_rating3]]+Table1[[#This Row],[failurecost50_rating3]]+Table1[[#This Row],[failurecost10_rating3]]</f>
        <v>1802.1885417359999</v>
      </c>
      <c r="JT17" s="1">
        <f>Table1[[#This Row],[failurecost500_rating4]]+Table1[[#This Row],[failurecost100_rating4]]+Table1[[#This Row],[failurecost50_rating4]]+Table1[[#This Row],[failurecost10_rating4]]</f>
        <v>632.43468270180006</v>
      </c>
      <c r="JU17" s="1">
        <f>Table1[[#This Row],[failurecost500_rating4]]+Table1[[#This Row],[failurecost100_rating4]]+Table1[[#This Row],[failurecost50_rating4]]+Table1[[#This Row],[failurecost10_rating4]]</f>
        <v>632.43468270180006</v>
      </c>
      <c r="JV17" s="1">
        <f>Table1[[#This Row],[failurecost500_rating5]]+Table1[[#This Row],[failurecost100_rating5]]+Table1[[#This Row],[failurecost50_rating5]]+Table1[[#This Row],[failurecost10_rating5]]</f>
        <v>35.493102113634002</v>
      </c>
      <c r="JW17" s="1">
        <f>Table1[[#This Row],[failurecost500_rating5]]+Table1[[#This Row],[failurecost100_rating5]]+Table1[[#This Row],[failurecost50_rating5]]+Table1[[#This Row],[failurecost10_rating5]]</f>
        <v>35.493102113634002</v>
      </c>
    </row>
    <row r="18" spans="1:283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Table1[[#This Row],[Depth10_Soil_vol]]*(9.353+9.027)+(Table1[[#This Row],[Depth10_Soil_vol]]/2.5)*20*1.053+(PI()*Table1[[#This Row],[Depth10_Scour]])*Table1[[#This Row],[DECK_WIDTH_MT_052]]*1.062</f>
        <v>15354.595084739485</v>
      </c>
      <c r="AR18" s="1">
        <f>Table1[[#This Row],[Depth50_Soil_vol]]*(9.353+9.027)+(Table1[[#This Row],[Depth50_Soil_vol]]/2.5)*20*1.053+(PI()*Table1[[#This Row],[Depth50_Scour]])*Table1[[#This Row],[DECK_WIDTH_MT_052]]*1.062</f>
        <v>13414.428771618834</v>
      </c>
      <c r="AS18" s="1">
        <f>Table1[[#This Row],[Depth100_Soil_vol]]*(9.353+9.027)+(Table1[[#This Row],[Depth100_Soil_vol]]/2.5)*20*1.053+(PI()*Table1[[#This Row],[Depth100_Scour]])*Table1[[#This Row],[DECK_WIDTH_MT_052]]*1.062</f>
        <v>13976.739331979787</v>
      </c>
      <c r="AT18" s="1">
        <f>Table1[[#This Row],[Depth500_Soil_vol]]*(9.353+9.027)+(Table1[[#This Row],[Depth500_Soil_vol]]/2.5)*20*1.053+(PI()*Table1[[#This Row],[Depth500_Scour]])*Table1[[#This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>
        <v>2.8449664000000001</v>
      </c>
      <c r="GE18" s="1">
        <v>0</v>
      </c>
      <c r="GF18" s="1">
        <v>0</v>
      </c>
      <c r="GG18" s="1">
        <v>0</v>
      </c>
      <c r="GH18" s="1">
        <v>0</v>
      </c>
      <c r="GI18" s="1">
        <v>9</v>
      </c>
      <c r="GJ18" s="1">
        <f>Table1[[#This Row],[cost_repair_rating1]]</f>
        <v>392998022014.67755</v>
      </c>
      <c r="GK18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392998022014.67755</v>
      </c>
      <c r="GL18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77637498753.185623</v>
      </c>
      <c r="GM18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4855132151.1431408</v>
      </c>
      <c r="GN18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96461870.294102713</v>
      </c>
      <c r="GO18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39631457.273316123</v>
      </c>
      <c r="GP18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19183558.332352996</v>
      </c>
      <c r="GQ18" s="1">
        <v>0</v>
      </c>
      <c r="GR18" s="1">
        <v>0</v>
      </c>
      <c r="GS18" s="1">
        <v>0</v>
      </c>
      <c r="GT18" s="1">
        <f t="shared" si="0"/>
        <v>2.5000000000000001E-2</v>
      </c>
      <c r="GU18" s="1">
        <v>0.01</v>
      </c>
      <c r="GV18" s="1">
        <v>2.5000000000000001E-3</v>
      </c>
      <c r="GW18" s="1">
        <v>4.0000000000000002E-4</v>
      </c>
      <c r="GX18" s="1">
        <v>6.9999999999999999E-6</v>
      </c>
      <c r="GY18" s="1">
        <v>1.8000000000000001E-4</v>
      </c>
      <c r="GZ18" s="1">
        <v>1.8000000000000001E-4</v>
      </c>
      <c r="HA18" s="1">
        <v>3.9999999999999998E-6</v>
      </c>
      <c r="HB18" s="1">
        <v>2.5000000000000002E-6</v>
      </c>
      <c r="HC18" s="1">
        <f t="shared" si="1"/>
        <v>1.2500000000000001E-2</v>
      </c>
      <c r="HD18" s="1">
        <v>6.0000000000000001E-3</v>
      </c>
      <c r="HE18" s="1">
        <v>2.5000000000000001E-3</v>
      </c>
      <c r="HF18" s="1">
        <v>5.0000000000000001E-4</v>
      </c>
      <c r="HG18" s="1">
        <v>7.9999999999999996E-6</v>
      </c>
      <c r="HH18" s="1">
        <v>2.5000000000000001E-4</v>
      </c>
      <c r="HI18" s="1">
        <v>2.5000000000000001E-4</v>
      </c>
      <c r="HJ18" s="1">
        <v>5.0000000000000004E-6</v>
      </c>
      <c r="HK18" s="1">
        <v>3.0000000000000001E-6</v>
      </c>
      <c r="HL18" s="1">
        <v>0.01</v>
      </c>
      <c r="HM18" s="1">
        <v>6.0000000000000001E-3</v>
      </c>
      <c r="HN18" s="1">
        <v>1.2999999999999999E-3</v>
      </c>
      <c r="HO18" s="1">
        <v>5.0000000000000001E-4</v>
      </c>
      <c r="HP18" s="1">
        <v>7.9999999999999996E-6</v>
      </c>
      <c r="HQ18" s="1">
        <v>2.5000000000000001E-4</v>
      </c>
      <c r="HR18" s="1">
        <v>2.5000000000000001E-4</v>
      </c>
      <c r="HS18" s="1">
        <v>5.0000000000000004E-6</v>
      </c>
      <c r="HT18" s="1">
        <v>3.0000000000000001E-6</v>
      </c>
      <c r="HU18" s="1">
        <v>0.01</v>
      </c>
      <c r="HV18" s="1">
        <v>8.0000000000000002E-3</v>
      </c>
      <c r="HW18" s="1">
        <v>1.6000000000000001E-3</v>
      </c>
      <c r="HX18" s="1">
        <v>5.9999999999999995E-4</v>
      </c>
      <c r="HY18" s="1">
        <v>4.0000000000000003E-5</v>
      </c>
      <c r="HZ18" s="1">
        <v>4.0000000000000002E-4</v>
      </c>
      <c r="IA18" s="1">
        <v>4.0000000000000002E-4</v>
      </c>
      <c r="IB18" s="1">
        <v>2.0000000000000002E-5</v>
      </c>
      <c r="IC18" s="1">
        <v>3.9999999999999998E-6</v>
      </c>
      <c r="ID18" s="1">
        <f>Table1[[#This Row],[Total_Cost_MUSD]]*Table1[[#This Row],[prob500-failure_rating1]]*1000000/500</f>
        <v>142.24832000000001</v>
      </c>
      <c r="IE18" s="1">
        <f>Table1[[#This Row],[Total_Cost_MUSD]]*Table1[[#This Row],[prob500-failure_rating2]]*1000000/500</f>
        <v>56.899328000000011</v>
      </c>
      <c r="IF18" s="1">
        <f>Table1[[#This Row],[Total_Cost_MUSD]]*Table1[[#This Row],[prob500-failure_rating3]]*1000000/500</f>
        <v>14.224832000000003</v>
      </c>
      <c r="IG18" s="1">
        <f>Table1[[#This Row],[Total_Cost_MUSD]]*Table1[[#This Row],[prob500-failure_rating4]]*1000000/500</f>
        <v>2.2759731200000002</v>
      </c>
      <c r="IH18" s="1">
        <f>Table1[[#This Row],[Total_Cost_MUSD]]*Table1[[#This Row],[prob500-failure_rating5]]*1000000/500</f>
        <v>3.9829529600000003E-2</v>
      </c>
      <c r="II18" s="1">
        <f>Table1[[#This Row],[Total_Cost_MUSD]]*Table1[[#This Row],[prob500-failure_rating6]]*1000000/500</f>
        <v>1.0241879040000001</v>
      </c>
      <c r="IJ18" s="1">
        <f>Table1[[#This Row],[Total_Cost_MUSD]]*Table1[[#This Row],[prob500-failure_rating7]]*1000000/500</f>
        <v>1.0241879040000001</v>
      </c>
      <c r="IK18" s="1">
        <f>Table1[[#This Row],[Total_Cost_MUSD]]*Table1[[#This Row],[prob500-failure_rating8]]*1000000/500</f>
        <v>2.2759731200000001E-2</v>
      </c>
      <c r="IL18" s="1">
        <f>Table1[[#This Row],[Total_Cost_MUSD]]*Table1[[#This Row],[prob500-failure_rating9]]*1000000/500</f>
        <v>1.4224832000000003E-2</v>
      </c>
      <c r="IM18" s="1">
        <f>Table1[[#This Row],[Total_Cost_MUSD]]*Table1[[#This Row],[prob100-failure_rating1]]*1000000/100</f>
        <v>355.62080000000003</v>
      </c>
      <c r="IN18" s="1">
        <f>Table1[[#This Row],[Total_Cost_MUSD]]*Table1[[#This Row],[prob100-failure_rating2]]*1000000/100</f>
        <v>170.69798400000002</v>
      </c>
      <c r="IO18" s="1">
        <f>Table1[[#This Row],[Total_Cost_MUSD]]*Table1[[#This Row],[prob100-failure_rating3]]*1000000/100</f>
        <v>71.124160000000018</v>
      </c>
      <c r="IP18" s="1">
        <f>Table1[[#This Row],[Total_Cost_MUSD]]*Table1[[#This Row],[prob100-failure_rating4]]*1000000/100</f>
        <v>14.224832000000001</v>
      </c>
      <c r="IQ18" s="1">
        <f>Table1[[#This Row],[Total_Cost_MUSD]]*Table1[[#This Row],[prob100-failure_rating5]]*1000000/100</f>
        <v>0.227597312</v>
      </c>
      <c r="IR18" s="1">
        <f>Table1[[#This Row],[Total_Cost_MUSD]]*Table1[[#This Row],[prob100-failure_rating6]]*1000000/100</f>
        <v>7.1124160000000005</v>
      </c>
      <c r="IS18" s="1">
        <f>Table1[[#This Row],[Total_Cost_MUSD]]*Table1[[#This Row],[prob100-failure_rating7]]*1000000/100</f>
        <v>7.1124160000000005</v>
      </c>
      <c r="IT18" s="1">
        <f>Table1[[#This Row],[Total_Cost_MUSD]]*Table1[[#This Row],[prob100-failure_rating8]]*1000000/100</f>
        <v>0.14224832000000004</v>
      </c>
      <c r="IU18" s="1">
        <f>Table1[[#This Row],[Total_Cost_MUSD]]*Table1[[#This Row],[prob100-failure_rating9]]*1000000/100</f>
        <v>8.5348991999999999E-2</v>
      </c>
      <c r="IV18" s="1">
        <f>Table1[[#This Row],[Total_Cost_MUSD]]*Table1[[#This Row],[prob50-failure_rating1]]*1000000/50</f>
        <v>568.99328000000014</v>
      </c>
      <c r="IW18" s="1">
        <f>Table1[[#This Row],[Total_Cost_MUSD]]*Table1[[#This Row],[prob50-failure_rating2]]*1000000/50</f>
        <v>341.39596800000004</v>
      </c>
      <c r="IX18" s="1">
        <f>Table1[[#This Row],[Total_Cost_MUSD]]*Table1[[#This Row],[prob50-failure_rating3]]*1000000/50</f>
        <v>73.969126400000007</v>
      </c>
      <c r="IY18" s="1">
        <f>Table1[[#This Row],[Total_Cost_MUSD]]*Table1[[#This Row],[prob50-failure_rating4]]*1000000/50</f>
        <v>28.449664000000002</v>
      </c>
      <c r="IZ18" s="1">
        <f>Table1[[#This Row],[Total_Cost_MUSD]]*Table1[[#This Row],[prob50-failure_rating5]]*1000000/50</f>
        <v>0.45519462399999999</v>
      </c>
      <c r="JA18" s="1">
        <f>Table1[[#This Row],[Total_Cost_MUSD]]*Table1[[#This Row],[prob50-failure_rating6]]*1000000/50</f>
        <v>14.224832000000001</v>
      </c>
      <c r="JB18" s="1">
        <f>Table1[[#This Row],[Total_Cost_MUSD]]*Table1[[#This Row],[prob50-failure_rating7]]*1000000/50</f>
        <v>14.224832000000001</v>
      </c>
      <c r="JC18" s="1">
        <f>Table1[[#This Row],[Total_Cost_MUSD]]*Table1[[#This Row],[prob50-failure_rating8]]*1000000/50</f>
        <v>0.28449664000000008</v>
      </c>
      <c r="JD18" s="1">
        <f>Table1[[#This Row],[Total_Cost_MUSD]]*Table1[[#This Row],[prob50-failure_rating9]]*1000000/50</f>
        <v>0.170697984</v>
      </c>
      <c r="JE18" s="1">
        <f>Table1[[#This Row],[Total_Cost_MUSD]]*Table1[[#This Row],[prob10-failure_rating1]]*1000000/10</f>
        <v>2844.9664000000002</v>
      </c>
      <c r="JF18" s="1">
        <f>Table1[[#This Row],[Total_Cost_MUSD]]*Table1[[#This Row],[prob10-failure_rating2]]*1000000/10</f>
        <v>2275.9731200000001</v>
      </c>
      <c r="JG18" s="1">
        <f>Table1[[#This Row],[Total_Cost_MUSD]]*Table1[[#This Row],[prob10-failure_rating3]]*1000000/10</f>
        <v>455.19462400000003</v>
      </c>
      <c r="JH18" s="1">
        <f>Table1[[#This Row],[Total_Cost_MUSD]]*Table1[[#This Row],[prob10-failure_rating4]]*1000000/10</f>
        <v>170.69798399999999</v>
      </c>
      <c r="JI18" s="1">
        <f>Table1[[#This Row],[Total_Cost_MUSD]]*Table1[[#This Row],[prob10-failure_rating5]]*1000000/10</f>
        <v>11.379865600000002</v>
      </c>
      <c r="JJ18" s="1">
        <f>Table1[[#This Row],[Total_Cost_MUSD]]*Table1[[#This Row],[prob10-failure_rating6]]*1000000/10</f>
        <v>113.79865600000001</v>
      </c>
      <c r="JK18" s="1">
        <f>Table1[[#This Row],[Total_Cost_MUSD]]*Table1[[#This Row],[prob10-failure_rating7]]*1000000/10</f>
        <v>113.79865600000001</v>
      </c>
      <c r="JL18" s="1">
        <f>Table1[[#This Row],[Total_Cost_MUSD]]*Table1[[#This Row],[prob10-failure_rating8]]*1000000/10</f>
        <v>5.6899328000000011</v>
      </c>
      <c r="JM18" s="1">
        <f>Table1[[#This Row],[Total_Cost_MUSD]]*Table1[[#This Row],[prob10-failure_rating9]]*1000000/10</f>
        <v>1.1379865600000001</v>
      </c>
      <c r="JN18" s="1">
        <f>Table1[[#This Row],[FailureCost_Rating1]]</f>
        <v>3911.8288000000002</v>
      </c>
      <c r="JO18" s="1">
        <f>Table1[[#This Row],[failurecost500_rating1]]+Table1[[#This Row],[failurecost100_rating1]]+Table1[[#This Row],[failurecost50_rating1]]+Table1[[#This Row],[failurecost10_rating1]]</f>
        <v>3911.8288000000002</v>
      </c>
      <c r="JP18" s="1">
        <f>Table1[[#This Row],[failurecost500_rating2]]+Table1[[#This Row],[failurecost100_rating2]]+Table1[[#This Row],[failurecost50_rating2]]+Table1[[#This Row],[failurecost10_rating2]]</f>
        <v>2844.9664000000002</v>
      </c>
      <c r="JQ18" s="1">
        <f>Table1[[#This Row],[failurecost500_rating2]]+Table1[[#This Row],[failurecost100_rating2]]+Table1[[#This Row],[failurecost50_rating2]]+Table1[[#This Row],[failurecost10_rating2]]</f>
        <v>2844.9664000000002</v>
      </c>
      <c r="JR18" s="1">
        <f>Table1[[#This Row],[failurecost500_rating3]]+Table1[[#This Row],[failurecost100_rating3]]+Table1[[#This Row],[failurecost50_rating3]]+Table1[[#This Row],[failurecost10_rating3]]</f>
        <v>614.51274240000009</v>
      </c>
      <c r="JS18" s="1">
        <f>Table1[[#This Row],[failurecost500_rating3]]+Table1[[#This Row],[failurecost100_rating3]]+Table1[[#This Row],[failurecost50_rating3]]+Table1[[#This Row],[failurecost10_rating3]]</f>
        <v>614.51274240000009</v>
      </c>
      <c r="JT18" s="1">
        <f>Table1[[#This Row],[failurecost500_rating4]]+Table1[[#This Row],[failurecost100_rating4]]+Table1[[#This Row],[failurecost50_rating4]]+Table1[[#This Row],[failurecost10_rating4]]</f>
        <v>215.64845312</v>
      </c>
      <c r="JU18" s="1">
        <f>Table1[[#This Row],[failurecost500_rating4]]+Table1[[#This Row],[failurecost100_rating4]]+Table1[[#This Row],[failurecost50_rating4]]+Table1[[#This Row],[failurecost10_rating4]]</f>
        <v>215.64845312</v>
      </c>
      <c r="JV18" s="1">
        <f>Table1[[#This Row],[failurecost500_rating5]]+Table1[[#This Row],[failurecost100_rating5]]+Table1[[#This Row],[failurecost50_rating5]]+Table1[[#This Row],[failurecost10_rating5]]</f>
        <v>12.102487065600002</v>
      </c>
      <c r="JW18" s="1">
        <f>Table1[[#This Row],[failurecost500_rating5]]+Table1[[#This Row],[failurecost100_rating5]]+Table1[[#This Row],[failurecost50_rating5]]+Table1[[#This Row],[failurecost10_rating5]]</f>
        <v>12.102487065600002</v>
      </c>
    </row>
    <row r="19" spans="1:283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Table1[[#This Row],[Depth10_Soil_vol]]*(9.353+9.027)+(Table1[[#This Row],[Depth10_Soil_vol]]/2.5)*20*1.053+(PI()*Table1[[#This Row],[Depth10_Scour]])*Table1[[#This Row],[DECK_WIDTH_MT_052]]*1.062</f>
        <v>10223.699035708925</v>
      </c>
      <c r="AR19" s="1">
        <f>Table1[[#This Row],[Depth50_Soil_vol]]*(9.353+9.027)+(Table1[[#This Row],[Depth50_Soil_vol]]/2.5)*20*1.053+(PI()*Table1[[#This Row],[Depth50_Scour]])*Table1[[#This Row],[DECK_WIDTH_MT_052]]*1.062</f>
        <v>11295.880242844603</v>
      </c>
      <c r="AS19" s="1">
        <f>Table1[[#This Row],[Depth100_Soil_vol]]*(9.353+9.027)+(Table1[[#This Row],[Depth100_Soil_vol]]/2.5)*20*1.053+(PI()*Table1[[#This Row],[Depth100_Scour]])*Table1[[#This Row],[DECK_WIDTH_MT_052]]*1.062</f>
        <v>11757.366155411924</v>
      </c>
      <c r="AT19" s="1">
        <f>Table1[[#This Row],[Depth500_Soil_vol]]*(9.353+9.027)+(Table1[[#This Row],[Depth500_Soil_vol]]/2.5)*20*1.053+(PI()*Table1[[#This Row],[Depth500_Scour]])*Table1[[#This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>
        <v>29.559959710000001</v>
      </c>
      <c r="GE19" s="1">
        <v>0</v>
      </c>
      <c r="GF19" s="1">
        <v>0.25</v>
      </c>
      <c r="GG19" s="1">
        <v>0.5</v>
      </c>
      <c r="GH19" s="1">
        <v>0.75</v>
      </c>
      <c r="GI19" s="1">
        <v>9</v>
      </c>
      <c r="GJ19" s="1">
        <f>Table1[[#This Row],[cost_repair_rating1]]</f>
        <v>28722433.933403</v>
      </c>
      <c r="GK19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28722433.933403</v>
      </c>
      <c r="GL19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5744047.6867635241</v>
      </c>
      <c r="GM19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382858.0150202756</v>
      </c>
      <c r="GN19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11451.345245838533</v>
      </c>
      <c r="GO19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5739.4349973902436</v>
      </c>
      <c r="GP19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3389.3704274484135</v>
      </c>
      <c r="GQ19" s="1">
        <v>0</v>
      </c>
      <c r="GR19" s="1">
        <v>0</v>
      </c>
      <c r="GS19" s="1">
        <v>0</v>
      </c>
      <c r="GT19" s="1">
        <f t="shared" si="0"/>
        <v>2.5000000000000001E-2</v>
      </c>
      <c r="GU19" s="1">
        <v>0.01</v>
      </c>
      <c r="GV19" s="1">
        <v>2.5000000000000001E-3</v>
      </c>
      <c r="GW19" s="1">
        <v>4.0000000000000002E-4</v>
      </c>
      <c r="GX19" s="1">
        <v>6.9999999999999999E-6</v>
      </c>
      <c r="GY19" s="1">
        <v>1.8000000000000001E-4</v>
      </c>
      <c r="GZ19" s="1">
        <v>1.8000000000000001E-4</v>
      </c>
      <c r="HA19" s="1">
        <v>3.9999999999999998E-6</v>
      </c>
      <c r="HB19" s="1">
        <v>2.5000000000000002E-6</v>
      </c>
      <c r="HC19" s="1">
        <f t="shared" si="1"/>
        <v>1.2500000000000001E-2</v>
      </c>
      <c r="HD19" s="1">
        <v>6.0000000000000001E-3</v>
      </c>
      <c r="HE19" s="1">
        <v>2.5000000000000001E-3</v>
      </c>
      <c r="HF19" s="1">
        <v>5.0000000000000001E-4</v>
      </c>
      <c r="HG19" s="1">
        <v>7.9999999999999996E-6</v>
      </c>
      <c r="HH19" s="1">
        <v>2.5000000000000001E-4</v>
      </c>
      <c r="HI19" s="1">
        <v>2.5000000000000001E-4</v>
      </c>
      <c r="HJ19" s="1">
        <v>5.0000000000000004E-6</v>
      </c>
      <c r="HK19" s="1">
        <v>3.0000000000000001E-6</v>
      </c>
      <c r="HL19" s="1">
        <v>0.01</v>
      </c>
      <c r="HM19" s="1">
        <v>6.0000000000000001E-3</v>
      </c>
      <c r="HN19" s="1">
        <v>1.2999999999999999E-3</v>
      </c>
      <c r="HO19" s="1">
        <v>5.0000000000000001E-4</v>
      </c>
      <c r="HP19" s="1">
        <v>7.9999999999999996E-6</v>
      </c>
      <c r="HQ19" s="1">
        <v>2.5000000000000001E-4</v>
      </c>
      <c r="HR19" s="1">
        <v>2.5000000000000001E-4</v>
      </c>
      <c r="HS19" s="1">
        <v>5.0000000000000004E-6</v>
      </c>
      <c r="HT19" s="1">
        <v>3.0000000000000001E-6</v>
      </c>
      <c r="HU19" s="1">
        <v>0.01</v>
      </c>
      <c r="HV19" s="1">
        <v>8.0000000000000002E-3</v>
      </c>
      <c r="HW19" s="1">
        <v>1.6000000000000001E-3</v>
      </c>
      <c r="HX19" s="1">
        <v>5.9999999999999995E-4</v>
      </c>
      <c r="HY19" s="1">
        <v>4.0000000000000003E-5</v>
      </c>
      <c r="HZ19" s="1">
        <v>4.0000000000000002E-4</v>
      </c>
      <c r="IA19" s="1">
        <v>4.0000000000000002E-4</v>
      </c>
      <c r="IB19" s="1">
        <v>2.0000000000000002E-5</v>
      </c>
      <c r="IC19" s="1">
        <v>3.9999999999999998E-6</v>
      </c>
      <c r="ID19" s="1">
        <f>Table1[[#This Row],[Total_Cost_MUSD]]*Table1[[#This Row],[prob500-failure_rating1]]*1000000/500</f>
        <v>1477.9979854999999</v>
      </c>
      <c r="IE19" s="1">
        <f>Table1[[#This Row],[Total_Cost_MUSD]]*Table1[[#This Row],[prob500-failure_rating2]]*1000000/500</f>
        <v>591.19919420000008</v>
      </c>
      <c r="IF19" s="1">
        <f>Table1[[#This Row],[Total_Cost_MUSD]]*Table1[[#This Row],[prob500-failure_rating3]]*1000000/500</f>
        <v>147.79979855000002</v>
      </c>
      <c r="IG19" s="1">
        <f>Table1[[#This Row],[Total_Cost_MUSD]]*Table1[[#This Row],[prob500-failure_rating4]]*1000000/500</f>
        <v>23.647967768000001</v>
      </c>
      <c r="IH19" s="1">
        <f>Table1[[#This Row],[Total_Cost_MUSD]]*Table1[[#This Row],[prob500-failure_rating5]]*1000000/500</f>
        <v>0.41383943594000006</v>
      </c>
      <c r="II19" s="1">
        <f>Table1[[#This Row],[Total_Cost_MUSD]]*Table1[[#This Row],[prob500-failure_rating6]]*1000000/500</f>
        <v>10.641585495600001</v>
      </c>
      <c r="IJ19" s="1">
        <f>Table1[[#This Row],[Total_Cost_MUSD]]*Table1[[#This Row],[prob500-failure_rating7]]*1000000/500</f>
        <v>10.641585495600001</v>
      </c>
      <c r="IK19" s="1">
        <f>Table1[[#This Row],[Total_Cost_MUSD]]*Table1[[#This Row],[prob500-failure_rating8]]*1000000/500</f>
        <v>0.23647967768</v>
      </c>
      <c r="IL19" s="1">
        <f>Table1[[#This Row],[Total_Cost_MUSD]]*Table1[[#This Row],[prob500-failure_rating9]]*1000000/500</f>
        <v>0.14779979855000003</v>
      </c>
      <c r="IM19" s="1">
        <f>Table1[[#This Row],[Total_Cost_MUSD]]*Table1[[#This Row],[prob100-failure_rating1]]*1000000/100</f>
        <v>3694.9949637499999</v>
      </c>
      <c r="IN19" s="1">
        <f>Table1[[#This Row],[Total_Cost_MUSD]]*Table1[[#This Row],[prob100-failure_rating2]]*1000000/100</f>
        <v>1773.5975826000001</v>
      </c>
      <c r="IO19" s="1">
        <f>Table1[[#This Row],[Total_Cost_MUSD]]*Table1[[#This Row],[prob100-failure_rating3]]*1000000/100</f>
        <v>738.99899275000007</v>
      </c>
      <c r="IP19" s="1">
        <f>Table1[[#This Row],[Total_Cost_MUSD]]*Table1[[#This Row],[prob100-failure_rating4]]*1000000/100</f>
        <v>147.79979854999999</v>
      </c>
      <c r="IQ19" s="1">
        <f>Table1[[#This Row],[Total_Cost_MUSD]]*Table1[[#This Row],[prob100-failure_rating5]]*1000000/100</f>
        <v>2.3647967768</v>
      </c>
      <c r="IR19" s="1">
        <f>Table1[[#This Row],[Total_Cost_MUSD]]*Table1[[#This Row],[prob100-failure_rating6]]*1000000/100</f>
        <v>73.899899274999996</v>
      </c>
      <c r="IS19" s="1">
        <f>Table1[[#This Row],[Total_Cost_MUSD]]*Table1[[#This Row],[prob100-failure_rating7]]*1000000/100</f>
        <v>73.899899274999996</v>
      </c>
      <c r="IT19" s="1">
        <f>Table1[[#This Row],[Total_Cost_MUSD]]*Table1[[#This Row],[prob100-failure_rating8]]*1000000/100</f>
        <v>1.4779979855000003</v>
      </c>
      <c r="IU19" s="1">
        <f>Table1[[#This Row],[Total_Cost_MUSD]]*Table1[[#This Row],[prob100-failure_rating9]]*1000000/100</f>
        <v>0.88679879130000006</v>
      </c>
      <c r="IV19" s="1">
        <f>Table1[[#This Row],[Total_Cost_MUSD]]*Table1[[#This Row],[prob50-failure_rating1]]*1000000/50</f>
        <v>5911.9919420000006</v>
      </c>
      <c r="IW19" s="1">
        <f>Table1[[#This Row],[Total_Cost_MUSD]]*Table1[[#This Row],[prob50-failure_rating2]]*1000000/50</f>
        <v>3547.1951652000002</v>
      </c>
      <c r="IX19" s="1">
        <f>Table1[[#This Row],[Total_Cost_MUSD]]*Table1[[#This Row],[prob50-failure_rating3]]*1000000/50</f>
        <v>768.55895246</v>
      </c>
      <c r="IY19" s="1">
        <f>Table1[[#This Row],[Total_Cost_MUSD]]*Table1[[#This Row],[prob50-failure_rating4]]*1000000/50</f>
        <v>295.59959709999998</v>
      </c>
      <c r="IZ19" s="1">
        <f>Table1[[#This Row],[Total_Cost_MUSD]]*Table1[[#This Row],[prob50-failure_rating5]]*1000000/50</f>
        <v>4.7295935536</v>
      </c>
      <c r="JA19" s="1">
        <f>Table1[[#This Row],[Total_Cost_MUSD]]*Table1[[#This Row],[prob50-failure_rating6]]*1000000/50</f>
        <v>147.79979854999999</v>
      </c>
      <c r="JB19" s="1">
        <f>Table1[[#This Row],[Total_Cost_MUSD]]*Table1[[#This Row],[prob50-failure_rating7]]*1000000/50</f>
        <v>147.79979854999999</v>
      </c>
      <c r="JC19" s="1">
        <f>Table1[[#This Row],[Total_Cost_MUSD]]*Table1[[#This Row],[prob50-failure_rating8]]*1000000/50</f>
        <v>2.9559959710000006</v>
      </c>
      <c r="JD19" s="1">
        <f>Table1[[#This Row],[Total_Cost_MUSD]]*Table1[[#This Row],[prob50-failure_rating9]]*1000000/50</f>
        <v>1.7735975826000001</v>
      </c>
      <c r="JE19" s="1">
        <f>Table1[[#This Row],[Total_Cost_MUSD]]*Table1[[#This Row],[prob10-failure_rating1]]*1000000/10</f>
        <v>29559.959710000003</v>
      </c>
      <c r="JF19" s="1">
        <f>Table1[[#This Row],[Total_Cost_MUSD]]*Table1[[#This Row],[prob10-failure_rating2]]*1000000/10</f>
        <v>23647.967767999999</v>
      </c>
      <c r="JG19" s="1">
        <f>Table1[[#This Row],[Total_Cost_MUSD]]*Table1[[#This Row],[prob10-failure_rating3]]*1000000/10</f>
        <v>4729.5935536000006</v>
      </c>
      <c r="JH19" s="1">
        <f>Table1[[#This Row],[Total_Cost_MUSD]]*Table1[[#This Row],[prob10-failure_rating4]]*1000000/10</f>
        <v>1773.5975825999999</v>
      </c>
      <c r="JI19" s="1">
        <f>Table1[[#This Row],[Total_Cost_MUSD]]*Table1[[#This Row],[prob10-failure_rating5]]*1000000/10</f>
        <v>118.23983884000002</v>
      </c>
      <c r="JJ19" s="1">
        <f>Table1[[#This Row],[Total_Cost_MUSD]]*Table1[[#This Row],[prob10-failure_rating6]]*1000000/10</f>
        <v>1182.3983884000002</v>
      </c>
      <c r="JK19" s="1">
        <f>Table1[[#This Row],[Total_Cost_MUSD]]*Table1[[#This Row],[prob10-failure_rating7]]*1000000/10</f>
        <v>1182.3983884000002</v>
      </c>
      <c r="JL19" s="1">
        <f>Table1[[#This Row],[Total_Cost_MUSD]]*Table1[[#This Row],[prob10-failure_rating8]]*1000000/10</f>
        <v>59.119919420000009</v>
      </c>
      <c r="JM19" s="1">
        <f>Table1[[#This Row],[Total_Cost_MUSD]]*Table1[[#This Row],[prob10-failure_rating9]]*1000000/10</f>
        <v>11.823983884</v>
      </c>
      <c r="JN19" s="1">
        <f>Table1[[#This Row],[FailureCost_Rating1]]</f>
        <v>40644.944601250005</v>
      </c>
      <c r="JO19" s="1">
        <f>Table1[[#This Row],[failurecost500_rating1]]+Table1[[#This Row],[failurecost100_rating1]]+Table1[[#This Row],[failurecost50_rating1]]+Table1[[#This Row],[failurecost10_rating1]]</f>
        <v>40644.944601250005</v>
      </c>
      <c r="JP19" s="1">
        <f>Table1[[#This Row],[failurecost500_rating2]]+Table1[[#This Row],[failurecost100_rating2]]+Table1[[#This Row],[failurecost50_rating2]]+Table1[[#This Row],[failurecost10_rating2]]</f>
        <v>29559.959709999999</v>
      </c>
      <c r="JQ19" s="1">
        <f>Table1[[#This Row],[failurecost500_rating2]]+Table1[[#This Row],[failurecost100_rating2]]+Table1[[#This Row],[failurecost50_rating2]]+Table1[[#This Row],[failurecost10_rating2]]</f>
        <v>29559.959709999999</v>
      </c>
      <c r="JR19" s="1">
        <f>Table1[[#This Row],[failurecost500_rating3]]+Table1[[#This Row],[failurecost100_rating3]]+Table1[[#This Row],[failurecost50_rating3]]+Table1[[#This Row],[failurecost10_rating3]]</f>
        <v>6384.9512973600013</v>
      </c>
      <c r="JS19" s="1">
        <f>Table1[[#This Row],[failurecost500_rating3]]+Table1[[#This Row],[failurecost100_rating3]]+Table1[[#This Row],[failurecost50_rating3]]+Table1[[#This Row],[failurecost10_rating3]]</f>
        <v>6384.9512973600013</v>
      </c>
      <c r="JT19" s="1">
        <f>Table1[[#This Row],[failurecost500_rating4]]+Table1[[#This Row],[failurecost100_rating4]]+Table1[[#This Row],[failurecost50_rating4]]+Table1[[#This Row],[failurecost10_rating4]]</f>
        <v>2240.6449460179997</v>
      </c>
      <c r="JU19" s="1">
        <f>Table1[[#This Row],[failurecost500_rating4]]+Table1[[#This Row],[failurecost100_rating4]]+Table1[[#This Row],[failurecost50_rating4]]+Table1[[#This Row],[failurecost10_rating4]]</f>
        <v>2240.6449460179997</v>
      </c>
      <c r="JV19" s="1">
        <f>Table1[[#This Row],[failurecost500_rating5]]+Table1[[#This Row],[failurecost100_rating5]]+Table1[[#This Row],[failurecost50_rating5]]+Table1[[#This Row],[failurecost10_rating5]]</f>
        <v>125.74806860634001</v>
      </c>
      <c r="JW19" s="1">
        <f>Table1[[#This Row],[failurecost500_rating5]]+Table1[[#This Row],[failurecost100_rating5]]+Table1[[#This Row],[failurecost50_rating5]]+Table1[[#This Row],[failurecost10_rating5]]</f>
        <v>125.74806860634001</v>
      </c>
    </row>
    <row r="20" spans="1:283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Table1[[#This Row],[Depth10_Soil_vol]]*(9.353+9.027)+(Table1[[#This Row],[Depth10_Soil_vol]]/2.5)*20*1.053+(PI()*Table1[[#This Row],[Depth10_Scour]])*Table1[[#This Row],[DECK_WIDTH_MT_052]]*1.062</f>
        <v>13853.451944603266</v>
      </c>
      <c r="AR20" s="1">
        <f>Table1[[#This Row],[Depth50_Soil_vol]]*(9.353+9.027)+(Table1[[#This Row],[Depth50_Soil_vol]]/2.5)*20*1.053+(PI()*Table1[[#This Row],[Depth50_Scour]])*Table1[[#This Row],[DECK_WIDTH_MT_052]]*1.062</f>
        <v>14885.488907843239</v>
      </c>
      <c r="AS20" s="1">
        <f>Table1[[#This Row],[Depth100_Soil_vol]]*(9.353+9.027)+(Table1[[#This Row],[Depth100_Soil_vol]]/2.5)*20*1.053+(PI()*Table1[[#This Row],[Depth100_Scour]])*Table1[[#This Row],[DECK_WIDTH_MT_052]]*1.062</f>
        <v>15342.083437730904</v>
      </c>
      <c r="AT20" s="1">
        <f>Table1[[#This Row],[Depth500_Soil_vol]]*(9.353+9.027)+(Table1[[#This Row],[Depth500_Soil_vol]]/2.5)*20*1.053+(PI()*Table1[[#This Row],[Depth500_Scour]])*Table1[[#This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>
        <v>38.312809770000001</v>
      </c>
      <c r="GE20" s="1">
        <v>0</v>
      </c>
      <c r="GF20" s="1">
        <v>0</v>
      </c>
      <c r="GG20" s="1">
        <v>0</v>
      </c>
      <c r="GH20" s="1">
        <v>0</v>
      </c>
      <c r="GI20" s="1">
        <v>7</v>
      </c>
      <c r="GJ20" s="1">
        <f>Table1[[#This Row],[cost_repair_rating1]]</f>
        <v>332836700.06791353</v>
      </c>
      <c r="GK20" s="1">
        <f>((Table1[[#This Row],[Foundation_Depth]])^2)*(PI()/2)*Table1[[#This Row],[DECK_WIDTH_MT_052]]*(((9.353+9.027)+((Table1[[#This Row],[Foundation_Depth]])^2)*(PI()/2)*Table1[[#This Row],[DECK_WIDTH_MT_052]])/2.5)*20*1.053+(PI()*Table1[[#This Row],[Foundation_Depth]]*Table1[[#This Row],[DECK_WIDTH_MT_052]]*1.062)</f>
        <v>332836700.06791353</v>
      </c>
      <c r="GL20" s="1">
        <f>((Table1[[#This Row],[Foundation_Depth]]*2/3)^2)*(PI()/2)*Table1[[#This Row],[DECK_WIDTH_MT_052]]*(((9.353+9.027)+((Table1[[#This Row],[Foundation_Depth]]*2/3)^2)*(PI()/2)*Table1[[#This Row],[DECK_WIDTH_MT_052]])/2.5)*20*1.053+(PI()*Table1[[#This Row],[Foundation_Depth]]*2/3*Table1[[#This Row],[DECK_WIDTH_MT_052]]*1.062)</f>
        <v>65985987.132968411</v>
      </c>
      <c r="GM20" s="1">
        <f>((Table1[[#This Row],[Foundation_Depth]]/3)^2)*(PI()/2)*Table1[[#This Row],[DECK_WIDTH_MT_052]]*(((9.353+9.027)+((Table1[[#This Row],[Foundation_Depth]]/3)^2)*(PI()/2)*Table1[[#This Row],[DECK_WIDTH_MT_052]])/2.5)*20*1.053+(PI()*Table1[[#This Row],[Foundation_Depth]]/3*Table1[[#This Row],[DECK_WIDTH_MT_052]]*1.062)</f>
        <v>4205426.8165250514</v>
      </c>
      <c r="GN20" s="1">
        <f>((Table1[[#This Row],[Foundation_Depth]])/8)^2*(PI()/2)*Table1[[#This Row],[DECK_WIDTH_MT_052]]*(((9.353+9.027)+((Table1[[#This Row],[Foundation_Depth]]/8)^2)*(PI()/2)*Table1[[#This Row],[DECK_WIDTH_MT_052]])/2.5)*20*1.053+(PI()*Table1[[#This Row],[Foundation_Depth]]/8*Table1[[#This Row],[DECK_WIDTH_MT_052]]*1.062)</f>
        <v>96342.298904915762</v>
      </c>
      <c r="GO20" s="1">
        <f>((Table1[[#This Row],[Foundation_Depth]])/10)^2*(PI()/2)*Table1[[#This Row],[DECK_WIDTH_MT_052]]*(((9.353+9.027)+((Table1[[#This Row],[Foundation_Depth]]/10)^2)*(PI()/2)*Table1[[#This Row],[DECK_WIDTH_MT_052]])/2.5)*20*1.053+(PI()*Table1[[#This Row],[Foundation_Depth]]/10*Table1[[#This Row],[DECK_WIDTH_MT_052]]*1.062)</f>
        <v>43013.528121739728</v>
      </c>
      <c r="GP20" s="1">
        <f>((Table1[[#This Row],[Foundation_Depth]])/12)^2*(PI()/2)*Table1[[#This Row],[DECK_WIDTH_MT_052]]*(((9.353+9.027)+((Table1[[#This Row],[Foundation_Depth]]/12)^2)*(PI()/2)*Table1[[#This Row],[DECK_WIDTH_MT_052]])/2.5)*20*1.053+(PI()*Table1[[#This Row],[Foundation_Depth]]/12*Table1[[#This Row],[DECK_WIDTH_MT_052]]*1.062)</f>
        <v>22843.778289671176</v>
      </c>
      <c r="GQ20" s="1">
        <v>0</v>
      </c>
      <c r="GR20" s="1">
        <v>0</v>
      </c>
      <c r="GS20" s="1">
        <v>0</v>
      </c>
      <c r="GT20" s="1">
        <f t="shared" si="0"/>
        <v>2.5000000000000001E-2</v>
      </c>
      <c r="GU20" s="1">
        <v>0.01</v>
      </c>
      <c r="GV20" s="1">
        <v>2.5000000000000001E-3</v>
      </c>
      <c r="GW20" s="1">
        <v>4.0000000000000002E-4</v>
      </c>
      <c r="GX20" s="1">
        <v>6.9999999999999999E-6</v>
      </c>
      <c r="GY20" s="1">
        <v>1.8000000000000001E-4</v>
      </c>
      <c r="GZ20" s="1">
        <v>1.8000000000000001E-4</v>
      </c>
      <c r="HA20" s="1">
        <v>3.9999999999999998E-6</v>
      </c>
      <c r="HB20" s="1">
        <v>2.5000000000000002E-6</v>
      </c>
      <c r="HC20" s="1">
        <f t="shared" si="1"/>
        <v>1.2500000000000001E-2</v>
      </c>
      <c r="HD20" s="1">
        <v>6.0000000000000001E-3</v>
      </c>
      <c r="HE20" s="1">
        <v>2.5000000000000001E-3</v>
      </c>
      <c r="HF20" s="1">
        <v>5.0000000000000001E-4</v>
      </c>
      <c r="HG20" s="1">
        <v>7.9999999999999996E-6</v>
      </c>
      <c r="HH20" s="1">
        <v>2.5000000000000001E-4</v>
      </c>
      <c r="HI20" s="1">
        <v>2.5000000000000001E-4</v>
      </c>
      <c r="HJ20" s="1">
        <v>5.0000000000000004E-6</v>
      </c>
      <c r="HK20" s="1">
        <v>3.0000000000000001E-6</v>
      </c>
      <c r="HL20" s="1">
        <v>0.01</v>
      </c>
      <c r="HM20" s="1">
        <v>6.0000000000000001E-3</v>
      </c>
      <c r="HN20" s="1">
        <v>1.2999999999999999E-3</v>
      </c>
      <c r="HO20" s="1">
        <v>5.0000000000000001E-4</v>
      </c>
      <c r="HP20" s="1">
        <v>7.9999999999999996E-6</v>
      </c>
      <c r="HQ20" s="1">
        <v>2.5000000000000001E-4</v>
      </c>
      <c r="HR20" s="1">
        <v>2.5000000000000001E-4</v>
      </c>
      <c r="HS20" s="1">
        <v>5.0000000000000004E-6</v>
      </c>
      <c r="HT20" s="1">
        <v>3.0000000000000001E-6</v>
      </c>
      <c r="HU20" s="1">
        <v>0.01</v>
      </c>
      <c r="HV20" s="1">
        <v>8.0000000000000002E-3</v>
      </c>
      <c r="HW20" s="1">
        <v>1.6000000000000001E-3</v>
      </c>
      <c r="HX20" s="1">
        <v>5.9999999999999995E-4</v>
      </c>
      <c r="HY20" s="1">
        <v>4.0000000000000003E-5</v>
      </c>
      <c r="HZ20" s="1">
        <v>4.0000000000000002E-4</v>
      </c>
      <c r="IA20" s="1">
        <v>4.0000000000000002E-4</v>
      </c>
      <c r="IB20" s="1">
        <v>2.0000000000000002E-5</v>
      </c>
      <c r="IC20" s="1">
        <v>3.9999999999999998E-6</v>
      </c>
      <c r="ID20" s="1">
        <f>Table1[[#This Row],[Total_Cost_MUSD]]*Table1[[#This Row],[prob500-failure_rating1]]*1000000/500</f>
        <v>1915.6404885000002</v>
      </c>
      <c r="IE20" s="1">
        <f>Table1[[#This Row],[Total_Cost_MUSD]]*Table1[[#This Row],[prob500-failure_rating2]]*1000000/500</f>
        <v>766.25619540000002</v>
      </c>
      <c r="IF20" s="1">
        <f>Table1[[#This Row],[Total_Cost_MUSD]]*Table1[[#This Row],[prob500-failure_rating3]]*1000000/500</f>
        <v>191.56404885000001</v>
      </c>
      <c r="IG20" s="1">
        <f>Table1[[#This Row],[Total_Cost_MUSD]]*Table1[[#This Row],[prob500-failure_rating4]]*1000000/500</f>
        <v>30.650247816000004</v>
      </c>
      <c r="IH20" s="1">
        <f>Table1[[#This Row],[Total_Cost_MUSD]]*Table1[[#This Row],[prob500-failure_rating5]]*1000000/500</f>
        <v>0.53637933678000005</v>
      </c>
      <c r="II20" s="1">
        <f>Table1[[#This Row],[Total_Cost_MUSD]]*Table1[[#This Row],[prob500-failure_rating6]]*1000000/500</f>
        <v>13.792611517200001</v>
      </c>
      <c r="IJ20" s="1">
        <f>Table1[[#This Row],[Total_Cost_MUSD]]*Table1[[#This Row],[prob500-failure_rating7]]*1000000/500</f>
        <v>13.792611517200001</v>
      </c>
      <c r="IK20" s="1">
        <f>Table1[[#This Row],[Total_Cost_MUSD]]*Table1[[#This Row],[prob500-failure_rating8]]*1000000/500</f>
        <v>0.30650247816000004</v>
      </c>
      <c r="IL20" s="1">
        <f>Table1[[#This Row],[Total_Cost_MUSD]]*Table1[[#This Row],[prob500-failure_rating9]]*1000000/500</f>
        <v>0.19156404885000003</v>
      </c>
      <c r="IM20" s="1">
        <f>Table1[[#This Row],[Total_Cost_MUSD]]*Table1[[#This Row],[prob100-failure_rating1]]*1000000/100</f>
        <v>4789.1012212500009</v>
      </c>
      <c r="IN20" s="1">
        <f>Table1[[#This Row],[Total_Cost_MUSD]]*Table1[[#This Row],[prob100-failure_rating2]]*1000000/100</f>
        <v>2298.7685862000003</v>
      </c>
      <c r="IO20" s="1">
        <f>Table1[[#This Row],[Total_Cost_MUSD]]*Table1[[#This Row],[prob100-failure_rating3]]*1000000/100</f>
        <v>957.82024424999997</v>
      </c>
      <c r="IP20" s="1">
        <f>Table1[[#This Row],[Total_Cost_MUSD]]*Table1[[#This Row],[prob100-failure_rating4]]*1000000/100</f>
        <v>191.56404885000003</v>
      </c>
      <c r="IQ20" s="1">
        <f>Table1[[#This Row],[Total_Cost_MUSD]]*Table1[[#This Row],[prob100-failure_rating5]]*1000000/100</f>
        <v>3.0650247816</v>
      </c>
      <c r="IR20" s="1">
        <f>Table1[[#This Row],[Total_Cost_MUSD]]*Table1[[#This Row],[prob100-failure_rating6]]*1000000/100</f>
        <v>95.782024425000017</v>
      </c>
      <c r="IS20" s="1">
        <f>Table1[[#This Row],[Total_Cost_MUSD]]*Table1[[#This Row],[prob100-failure_rating7]]*1000000/100</f>
        <v>95.782024425000017</v>
      </c>
      <c r="IT20" s="1">
        <f>Table1[[#This Row],[Total_Cost_MUSD]]*Table1[[#This Row],[prob100-failure_rating8]]*1000000/100</f>
        <v>1.9156404885000002</v>
      </c>
      <c r="IU20" s="1">
        <f>Table1[[#This Row],[Total_Cost_MUSD]]*Table1[[#This Row],[prob100-failure_rating9]]*1000000/100</f>
        <v>1.1493842931</v>
      </c>
      <c r="IV20" s="1">
        <f>Table1[[#This Row],[Total_Cost_MUSD]]*Table1[[#This Row],[prob50-failure_rating1]]*1000000/50</f>
        <v>7662.5619539999998</v>
      </c>
      <c r="IW20" s="1">
        <f>Table1[[#This Row],[Total_Cost_MUSD]]*Table1[[#This Row],[prob50-failure_rating2]]*1000000/50</f>
        <v>4597.5371724000006</v>
      </c>
      <c r="IX20" s="1">
        <f>Table1[[#This Row],[Total_Cost_MUSD]]*Table1[[#This Row],[prob50-failure_rating3]]*1000000/50</f>
        <v>996.13305402000003</v>
      </c>
      <c r="IY20" s="1">
        <f>Table1[[#This Row],[Total_Cost_MUSD]]*Table1[[#This Row],[prob50-failure_rating4]]*1000000/50</f>
        <v>383.12809770000007</v>
      </c>
      <c r="IZ20" s="1">
        <f>Table1[[#This Row],[Total_Cost_MUSD]]*Table1[[#This Row],[prob50-failure_rating5]]*1000000/50</f>
        <v>6.1300495632000001</v>
      </c>
      <c r="JA20" s="1">
        <f>Table1[[#This Row],[Total_Cost_MUSD]]*Table1[[#This Row],[prob50-failure_rating6]]*1000000/50</f>
        <v>191.56404885000003</v>
      </c>
      <c r="JB20" s="1">
        <f>Table1[[#This Row],[Total_Cost_MUSD]]*Table1[[#This Row],[prob50-failure_rating7]]*1000000/50</f>
        <v>191.56404885000003</v>
      </c>
      <c r="JC20" s="1">
        <f>Table1[[#This Row],[Total_Cost_MUSD]]*Table1[[#This Row],[prob50-failure_rating8]]*1000000/50</f>
        <v>3.8312809770000005</v>
      </c>
      <c r="JD20" s="1">
        <f>Table1[[#This Row],[Total_Cost_MUSD]]*Table1[[#This Row],[prob50-failure_rating9]]*1000000/50</f>
        <v>2.2987685862</v>
      </c>
      <c r="JE20" s="1">
        <f>Table1[[#This Row],[Total_Cost_MUSD]]*Table1[[#This Row],[prob10-failure_rating1]]*1000000/10</f>
        <v>38312.80977</v>
      </c>
      <c r="JF20" s="1">
        <f>Table1[[#This Row],[Total_Cost_MUSD]]*Table1[[#This Row],[prob10-failure_rating2]]*1000000/10</f>
        <v>30650.247816000006</v>
      </c>
      <c r="JG20" s="1">
        <f>Table1[[#This Row],[Total_Cost_MUSD]]*Table1[[#This Row],[prob10-failure_rating3]]*1000000/10</f>
        <v>6130.0495632000002</v>
      </c>
      <c r="JH20" s="1">
        <f>Table1[[#This Row],[Total_Cost_MUSD]]*Table1[[#This Row],[prob10-failure_rating4]]*1000000/10</f>
        <v>2298.7685861999998</v>
      </c>
      <c r="JI20" s="1">
        <f>Table1[[#This Row],[Total_Cost_MUSD]]*Table1[[#This Row],[prob10-failure_rating5]]*1000000/10</f>
        <v>153.25123908000003</v>
      </c>
      <c r="JJ20" s="1">
        <f>Table1[[#This Row],[Total_Cost_MUSD]]*Table1[[#This Row],[prob10-failure_rating6]]*1000000/10</f>
        <v>1532.5123908</v>
      </c>
      <c r="JK20" s="1">
        <f>Table1[[#This Row],[Total_Cost_MUSD]]*Table1[[#This Row],[prob10-failure_rating7]]*1000000/10</f>
        <v>1532.5123908</v>
      </c>
      <c r="JL20" s="1">
        <f>Table1[[#This Row],[Total_Cost_MUSD]]*Table1[[#This Row],[prob10-failure_rating8]]*1000000/10</f>
        <v>76.625619540000017</v>
      </c>
      <c r="JM20" s="1">
        <f>Table1[[#This Row],[Total_Cost_MUSD]]*Table1[[#This Row],[prob10-failure_rating9]]*1000000/10</f>
        <v>15.325123908</v>
      </c>
      <c r="JN20" s="1">
        <f>Table1[[#This Row],[FailureCost_Rating1]]</f>
        <v>52680.113433749997</v>
      </c>
      <c r="JO20" s="1">
        <f>Table1[[#This Row],[failurecost500_rating1]]+Table1[[#This Row],[failurecost100_rating1]]+Table1[[#This Row],[failurecost50_rating1]]+Table1[[#This Row],[failurecost10_rating1]]</f>
        <v>52680.113433749997</v>
      </c>
      <c r="JP20" s="1">
        <f>Table1[[#This Row],[failurecost500_rating2]]+Table1[[#This Row],[failurecost100_rating2]]+Table1[[#This Row],[failurecost50_rating2]]+Table1[[#This Row],[failurecost10_rating2]]</f>
        <v>38312.809770000007</v>
      </c>
      <c r="JQ20" s="1">
        <f>Table1[[#This Row],[failurecost500_rating2]]+Table1[[#This Row],[failurecost100_rating2]]+Table1[[#This Row],[failurecost50_rating2]]+Table1[[#This Row],[failurecost10_rating2]]</f>
        <v>38312.809770000007</v>
      </c>
      <c r="JR20" s="1">
        <f>Table1[[#This Row],[failurecost500_rating3]]+Table1[[#This Row],[failurecost100_rating3]]+Table1[[#This Row],[failurecost50_rating3]]+Table1[[#This Row],[failurecost10_rating3]]</f>
        <v>8275.5669103199998</v>
      </c>
      <c r="JS20" s="1">
        <f>Table1[[#This Row],[failurecost500_rating3]]+Table1[[#This Row],[failurecost100_rating3]]+Table1[[#This Row],[failurecost50_rating3]]+Table1[[#This Row],[failurecost10_rating3]]</f>
        <v>8275.5669103199998</v>
      </c>
      <c r="JT20" s="1">
        <f>Table1[[#This Row],[failurecost500_rating4]]+Table1[[#This Row],[failurecost100_rating4]]+Table1[[#This Row],[failurecost50_rating4]]+Table1[[#This Row],[failurecost10_rating4]]</f>
        <v>2904.1109805659999</v>
      </c>
      <c r="JU20" s="1">
        <f>Table1[[#This Row],[failurecost500_rating4]]+Table1[[#This Row],[failurecost100_rating4]]+Table1[[#This Row],[failurecost50_rating4]]+Table1[[#This Row],[failurecost10_rating4]]</f>
        <v>2904.1109805659999</v>
      </c>
      <c r="JV20" s="1">
        <f>Table1[[#This Row],[failurecost500_rating5]]+Table1[[#This Row],[failurecost100_rating5]]+Table1[[#This Row],[failurecost50_rating5]]+Table1[[#This Row],[failurecost10_rating5]]</f>
        <v>162.98269276158004</v>
      </c>
      <c r="JW20" s="1">
        <f>Table1[[#This Row],[failurecost500_rating5]]+Table1[[#This Row],[failurecost100_rating5]]+Table1[[#This Row],[failurecost50_rating5]]+Table1[[#This Row],[failurecost10_rating5]]</f>
        <v>162.98269276158004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BF50-878E-4C27-8352-C128B9BDBBEC}">
  <dimension ref="A1:JY41"/>
  <sheetViews>
    <sheetView topLeftCell="JB1" zoomScaleNormal="100" workbookViewId="0">
      <selection activeCell="HE2" sqref="HE2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Table15678[[#This Row],[Depth10_Soil_vol]]*(9.353+9.027)+(Table15678[[#This Row],[Depth10_Soil_vol]]/2.5)*20*1.053+(PI()*Table15678[[#This Row],[Depth10_Scour]])*Table15678[[#This Row],[DECK_WIDTH_MT_052]]*1.062</f>
        <v>11998.897701083155</v>
      </c>
      <c r="AR2" s="1">
        <f>Table15678[[#This Row],[Depth50_Soil_vol]]*(9.353+9.027)+(Table15678[[#This Row],[Depth50_Soil_vol]]/2.5)*20*1.053+(PI()*Table15678[[#This Row],[Depth50_Scour]])*Table15678[[#This Row],[DECK_WIDTH_MT_052]]*1.062</f>
        <v>12798.983727608316</v>
      </c>
      <c r="AS2" s="1">
        <f>Table15678[[#This Row],[Depth100_Soil_vol]]*(9.353+9.027)+(Table15678[[#This Row],[Depth100_Soil_vol]]/2.5)*20*1.053+(PI()*Table15678[[#This Row],[Depth100_Scour]])*Table15678[[#This Row],[DECK_WIDTH_MT_052]]*1.062</f>
        <v>13156.203147223239</v>
      </c>
      <c r="AT2" s="1">
        <f>Table15678[[#This Row],[Depth500_Soil_vol]]*(9.353+9.027)+(Table15678[[#This Row],[Depth500_Soil_vol]]/2.5)*20*1.053+(PI()*Table15678[[#This Row],[Depth500_Scour]])*Table15678[[#This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0.39600000000000002</v>
      </c>
      <c r="GF2" s="1">
        <v>28.990788219999999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v>25769.589528888886</v>
      </c>
      <c r="GM2" s="1">
        <v>14495.394110000001</v>
      </c>
      <c r="GN2" s="1">
        <v>9277.0522304000006</v>
      </c>
      <c r="GO2" s="1">
        <v>6442.3973822222215</v>
      </c>
      <c r="GP2" s="1">
        <v>4733.1899134693876</v>
      </c>
      <c r="GQ2" s="1">
        <v>3623.8485275000003</v>
      </c>
      <c r="GR2" s="1">
        <v>2863.2877254320983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1</v>
      </c>
      <c r="HF2" s="1">
        <v>0.01</v>
      </c>
      <c r="HG2" s="1">
        <v>1.25E-3</v>
      </c>
      <c r="HH2" s="1">
        <v>2.7500000000000002E-4</v>
      </c>
      <c r="HI2" s="1">
        <v>1E-4</v>
      </c>
      <c r="HJ2" s="1">
        <v>1.7499999999999998E-5</v>
      </c>
      <c r="HK2" s="1">
        <v>4.5000000000000001E-6</v>
      </c>
      <c r="HL2" s="1">
        <v>4.5000000000000001E-6</v>
      </c>
      <c r="HM2" s="1">
        <v>9.9999999999999995E-8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Table15678[[#This Row],[Total_Cost_MUSD]]*Table15678[[#This Row],[prob500-failure_rating1]]/500</f>
        <v>5.7981576440000002E-4</v>
      </c>
      <c r="IG2" s="1">
        <f>Table15678[[#This Row],[Total_Cost_MUSD]]*Table15678[[#This Row],[prob500-failure_rating2]]/500</f>
        <v>2.8990788220000001E-4</v>
      </c>
      <c r="IH2" s="1">
        <f>Table15678[[#This Row],[Total_Cost_MUSD]]*Table15678[[#This Row],[prob500-failure_rating3]]/500</f>
        <v>6.3779734084000008E-5</v>
      </c>
      <c r="II2" s="1">
        <f>Table15678[[#This Row],[Total_Cost_MUSD]]*Table15678[[#This Row],[prob500-failure_rating4]]/500</f>
        <v>2.3192630576E-5</v>
      </c>
      <c r="IJ2" s="1">
        <f>Table15678[[#This Row],[Total_Cost_MUSD]]*Table15678[[#This Row],[prob500-failure_rating5]]/500</f>
        <v>4.0587103507999992E-6</v>
      </c>
      <c r="IK2" s="1">
        <f>Table15678[[#This Row],[Total_Cost_MUSD]]*Table15678[[#This Row],[prob500-failure_rating6]]/500</f>
        <v>1.04366837592E-6</v>
      </c>
      <c r="IL2" s="1">
        <f>Table15678[[#This Row],[Total_Cost_MUSD]]*Table15678[[#This Row],[prob500-failure_rating7]]/500</f>
        <v>1.04366837592E-6</v>
      </c>
      <c r="IM2" s="1">
        <f>Table15678[[#This Row],[Total_Cost_MUSD]]*Table15678[[#This Row],[prob500-failure_rating8]]/500</f>
        <v>2.3192630575999999E-8</v>
      </c>
      <c r="IN2" s="1">
        <f>Table15678[[#This Row],[Total_Cost_MUSD]]*Table15678[[#This Row],[prob500-failure_rating9]]/500</f>
        <v>1.4495394109999998E-8</v>
      </c>
      <c r="IO2" s="1">
        <f>Table15678[[#This Row],[Total_Cost_MUSD]]*Table15678[[#This Row],[prob100-failure_rating1]]/100</f>
        <v>0.28990788219999997</v>
      </c>
      <c r="IP2" s="1">
        <f>Table15678[[#This Row],[Total_Cost_MUSD]]*Table15678[[#This Row],[prob100-failure_rating2]]/100</f>
        <v>2.8990788220000004E-3</v>
      </c>
      <c r="IQ2" s="1">
        <f>Table15678[[#This Row],[Total_Cost_MUSD]]*Table15678[[#This Row],[prob100-failure_rating3]]/100</f>
        <v>3.6238485275000005E-4</v>
      </c>
      <c r="IR2" s="1">
        <f>Table15678[[#This Row],[Total_Cost_MUSD]]*Table15678[[#This Row],[prob100-failure_rating4]]/100</f>
        <v>7.9724667605000007E-5</v>
      </c>
      <c r="IS2" s="1">
        <f>Table15678[[#This Row],[Total_Cost_MUSD]]*Table15678[[#This Row],[prob100-failure_rating5]]/100</f>
        <v>2.899078822E-5</v>
      </c>
      <c r="IT2" s="1">
        <f>Table15678[[#This Row],[Total_Cost_MUSD]]*Table15678[[#This Row],[prob100-failure_rating6]]/100</f>
        <v>5.073387938499999E-6</v>
      </c>
      <c r="IU2" s="1">
        <f>Table15678[[#This Row],[Total_Cost_MUSD]]*Table15678[[#This Row],[prob100-failure_rating7]]/100</f>
        <v>1.3045854698999999E-6</v>
      </c>
      <c r="IV2" s="1">
        <f>Table15678[[#This Row],[Total_Cost_MUSD]]*Table15678[[#This Row],[prob100-failure_rating8]]/100</f>
        <v>1.3045854698999999E-6</v>
      </c>
      <c r="IW2" s="1">
        <f>Table15678[[#This Row],[Total_Cost_MUSD]]*Table15678[[#This Row],[prob100-failure_rating9]]/100</f>
        <v>2.899078822E-8</v>
      </c>
      <c r="IX2" s="1">
        <f>Table15678[[#This Row],[Total_Cost_MUSD]]*Table15678[[#This Row],[prob50-failure_rating1]]/50</f>
        <v>5.7981576440000009E-3</v>
      </c>
      <c r="IY2" s="1">
        <f>Table15678[[#This Row],[Total_Cost_MUSD]]*Table15678[[#This Row],[prob50-failure_rating2]]/50</f>
        <v>4.8317980366666667E-4</v>
      </c>
      <c r="IZ2" s="1">
        <f>Table15678[[#This Row],[Total_Cost_MUSD]]*Table15678[[#This Row],[prob50-failure_rating3]]/50</f>
        <v>1.0629955680666667E-4</v>
      </c>
      <c r="JA2" s="1">
        <f>Table15678[[#This Row],[Total_Cost_MUSD]]*Table15678[[#This Row],[prob50-failure_rating4]]/50</f>
        <v>3.8654384293333334E-5</v>
      </c>
      <c r="JB2" s="1">
        <f>Table15678[[#This Row],[Total_Cost_MUSD]]*Table15678[[#This Row],[prob50-failure_rating5]]/50</f>
        <v>6.7645172513333331E-6</v>
      </c>
      <c r="JC2" s="1">
        <f>Table15678[[#This Row],[Total_Cost_MUSD]]*Table15678[[#This Row],[prob50-failure_rating6]]/50</f>
        <v>1.7394472931999999E-6</v>
      </c>
      <c r="JD2" s="1">
        <f>Table15678[[#This Row],[Total_Cost_MUSD]]*Table15678[[#This Row],[prob50-failure_rating7]]/50</f>
        <v>1.7394472931999999E-6</v>
      </c>
      <c r="JE2" s="1">
        <f>Table15678[[#This Row],[Total_Cost_MUSD]]*Table15678[[#This Row],[prob50-failure_rating8]]/50</f>
        <v>3.8654384293333333E-8</v>
      </c>
      <c r="JF2" s="1">
        <f>Table15678[[#This Row],[Total_Cost_MUSD]]*Table15678[[#This Row],[prob50-failure_rating9]]/50</f>
        <v>2.4158990183333328E-8</v>
      </c>
      <c r="JG2" s="1">
        <f>Table15678[[#This Row],[Total_Cost_MUSD]]*Table15678[[#This Row],[prob10-failure_rating1]]/10</f>
        <v>2.8990788220000001E-2</v>
      </c>
      <c r="JH2" s="1">
        <f>Table15678[[#This Row],[Total_Cost_MUSD]]*Table15678[[#This Row],[prob10-failure_rating2]]/10</f>
        <v>1.449539411E-3</v>
      </c>
      <c r="JI2" s="1">
        <f>Table15678[[#This Row],[Total_Cost_MUSD]]*Table15678[[#This Row],[prob10-failure_rating3]]/10</f>
        <v>3.1889867041999997E-4</v>
      </c>
      <c r="JJ2" s="1">
        <f>Table15678[[#This Row],[Total_Cost_MUSD]]*Table15678[[#This Row],[prob10-failure_rating4]]/10</f>
        <v>1.1596315288E-4</v>
      </c>
      <c r="JK2" s="1">
        <f>Table15678[[#This Row],[Total_Cost_MUSD]]*Table15678[[#This Row],[prob10-failure_rating5]]/10</f>
        <v>2.0293551753999996E-5</v>
      </c>
      <c r="JL2" s="1">
        <f>Table15678[[#This Row],[Total_Cost_MUSD]]*Table15678[[#This Row],[prob10-failure_rating6]]/10</f>
        <v>5.2183418795999997E-6</v>
      </c>
      <c r="JM2" s="1">
        <f>Table15678[[#This Row],[Total_Cost_MUSD]]*Table15678[[#This Row],[prob10-failure_rating7]]/10</f>
        <v>5.2183418795999997E-6</v>
      </c>
      <c r="JN2" s="1">
        <f>Table15678[[#This Row],[Total_Cost_MUSD]]*Table15678[[#This Row],[prob10-failure_rating8]]/10</f>
        <v>1.1596315288000001E-7</v>
      </c>
      <c r="JO2" s="1">
        <f>Table15678[[#This Row],[Total_Cost_MUSD]]*Table15678[[#This Row],[prob10-failure_rating9]]/10</f>
        <v>7.2476970550000004E-8</v>
      </c>
      <c r="JP2" s="1">
        <f>Table15678[[#This Row],[FailureCost_Rating1]]</f>
        <v>5121.7059188666672</v>
      </c>
      <c r="JQ2" s="1">
        <f>Table15678[[#This Row],[FailureCost_Rating2]]</f>
        <v>5121.7059188666672</v>
      </c>
      <c r="JR2" s="1">
        <f>(Table15678[[#This Row],[failurecost500_rating2]]+Table15678[[#This Row],[failurecost100_rating2]]+Table15678[[#This Row],[failurecost50_rating2]]+Table15678[[#This Row],[failurecost10_rating2]])*1000000</f>
        <v>5121.7059188666672</v>
      </c>
      <c r="JS2" s="1">
        <f>(Table15678[[#This Row],[failurecost500_rating3]]+Table15678[[#This Row],[failurecost100_rating3]]+Table15678[[#This Row],[failurecost50_rating3]]+Table15678[[#This Row],[failurecost10_rating3]])*1000000</f>
        <v>851.36281406066666</v>
      </c>
      <c r="JT2" s="1">
        <f>(Table15678[[#This Row],[failurecost500_rating4]]+Table15678[[#This Row],[failurecost100_rating4]]+Table15678[[#This Row],[failurecost50_rating4]]+Table15678[[#This Row],[failurecost10_rating4]])*1000000</f>
        <v>257.53483535433338</v>
      </c>
      <c r="JU2" s="1">
        <f>(Table15678[[#This Row],[failurecost500_rating5]]+Table15678[[#This Row],[failurecost100_rating5]]+Table15678[[#This Row],[failurecost50_rating5]]+Table15678[[#This Row],[failurecost10_rating5]])*1000000</f>
        <v>60.107567576133334</v>
      </c>
      <c r="JV2" s="1">
        <f>(Table15678[[#This Row],[failurecost500_rating6]]+Table15678[[#This Row],[failurecost100_rating6]]+Table15678[[#This Row],[failurecost50_rating6]]+Table15678[[#This Row],[failurecost10_rating6]])*1000000</f>
        <v>13.074845487219999</v>
      </c>
      <c r="JW2" s="1">
        <f>(Table15678[[#This Row],[failurecost500_rating7]]+Table15678[[#This Row],[failurecost100_rating7]]+Table15678[[#This Row],[failurecost50_rating7]]+Table15678[[#This Row],[failurecost10_rating7]])*1000000</f>
        <v>9.3060430186200005</v>
      </c>
      <c r="JX2" s="1">
        <f>(Table15678[[#This Row],[failurecost500_rating8]]+Table15678[[#This Row],[failurecost100_rating8]]+Table15678[[#This Row],[failurecost50_rating8]]+Table15678[[#This Row],[failurecost10_rating8]])*1000000</f>
        <v>1.4823956376493332</v>
      </c>
      <c r="JY2" s="1">
        <f>(Table15678[[#This Row],[failurecost500_rating9]]+Table15678[[#This Row],[failurecost100_rating9]]+Table15678[[#This Row],[failurecost50_rating9]]+Table15678[[#This Row],[failurecost10_rating9]])*1000000</f>
        <v>0.14012214306333332</v>
      </c>
    </row>
    <row r="3" spans="1:285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Table15678[[#This Row],[Depth10_Soil_vol]]*(9.353+9.027)+(Table15678[[#This Row],[Depth10_Soil_vol]]/2.5)*20*1.053+(PI()*Table15678[[#This Row],[Depth10_Scour]])*Table15678[[#This Row],[DECK_WIDTH_MT_052]]*1.062</f>
        <v>0</v>
      </c>
      <c r="AR3" s="1">
        <f>Table15678[[#This Row],[Depth50_Soil_vol]]*(9.353+9.027)+(Table15678[[#This Row],[Depth50_Soil_vol]]/2.5)*20*1.053+(PI()*Table15678[[#This Row],[Depth50_Scour]])*Table15678[[#This Row],[DECK_WIDTH_MT_052]]*1.062</f>
        <v>9520.728233804819</v>
      </c>
      <c r="AS3" s="1">
        <f>Table15678[[#This Row],[Depth100_Soil_vol]]*(9.353+9.027)+(Table15678[[#This Row],[Depth100_Soil_vol]]/2.5)*20*1.053+(PI()*Table15678[[#This Row],[Depth100_Scour]])*Table15678[[#This Row],[DECK_WIDTH_MT_052]]*1.062</f>
        <v>9985.7559384332872</v>
      </c>
      <c r="AT3" s="1">
        <f>Table15678[[#This Row],[Depth500_Soil_vol]]*(9.353+9.027)+(Table15678[[#This Row],[Depth500_Soil_vol]]/2.5)*20*1.053+(PI()*Table15678[[#This Row],[Depth500_Scour]])*Table15678[[#This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3" s="1">
        <v>18.95289927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v>16847.021573333332</v>
      </c>
      <c r="GM3" s="1">
        <v>9476.4496350000009</v>
      </c>
      <c r="GN3" s="1">
        <v>6064.9277664000001</v>
      </c>
      <c r="GO3" s="1">
        <v>4211.7553933333329</v>
      </c>
      <c r="GP3" s="1">
        <v>3094.3509012244895</v>
      </c>
      <c r="GQ3" s="1">
        <v>2369.1124087500002</v>
      </c>
      <c r="GR3" s="1">
        <v>1871.8912859259258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1</v>
      </c>
      <c r="HF3" s="1">
        <v>0.01</v>
      </c>
      <c r="HG3" s="1">
        <v>1.25E-3</v>
      </c>
      <c r="HH3" s="1">
        <v>2.7500000000000002E-4</v>
      </c>
      <c r="HI3" s="1">
        <v>1E-4</v>
      </c>
      <c r="HJ3" s="1">
        <v>1.7499999999999998E-5</v>
      </c>
      <c r="HK3" s="1">
        <v>4.5000000000000001E-6</v>
      </c>
      <c r="HL3" s="1">
        <v>4.5000000000000001E-6</v>
      </c>
      <c r="HM3" s="1">
        <v>9.9999999999999995E-8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Table15678[[#This Row],[Total_Cost_MUSD]]*Table15678[[#This Row],[prob500-failure_rating1]]/500</f>
        <v>3.7905798540000001E-4</v>
      </c>
      <c r="IG3" s="1">
        <f>Table15678[[#This Row],[Total_Cost_MUSD]]*Table15678[[#This Row],[prob500-failure_rating2]]/500</f>
        <v>1.8952899270000001E-4</v>
      </c>
      <c r="IH3" s="1">
        <f>Table15678[[#This Row],[Total_Cost_MUSD]]*Table15678[[#This Row],[prob500-failure_rating3]]/500</f>
        <v>4.1696378394E-5</v>
      </c>
      <c r="II3" s="1">
        <f>Table15678[[#This Row],[Total_Cost_MUSD]]*Table15678[[#This Row],[prob500-failure_rating4]]/500</f>
        <v>1.5162319416000001E-5</v>
      </c>
      <c r="IJ3" s="1">
        <f>Table15678[[#This Row],[Total_Cost_MUSD]]*Table15678[[#This Row],[prob500-failure_rating5]]/500</f>
        <v>2.6534058977999997E-6</v>
      </c>
      <c r="IK3" s="1">
        <f>Table15678[[#This Row],[Total_Cost_MUSD]]*Table15678[[#This Row],[prob500-failure_rating6]]/500</f>
        <v>6.8230437372000002E-7</v>
      </c>
      <c r="IL3" s="1">
        <f>Table15678[[#This Row],[Total_Cost_MUSD]]*Table15678[[#This Row],[prob500-failure_rating7]]/500</f>
        <v>6.8230437372000002E-7</v>
      </c>
      <c r="IM3" s="1">
        <f>Table15678[[#This Row],[Total_Cost_MUSD]]*Table15678[[#This Row],[prob500-failure_rating8]]/500</f>
        <v>1.5162319415999999E-8</v>
      </c>
      <c r="IN3" s="1">
        <f>Table15678[[#This Row],[Total_Cost_MUSD]]*Table15678[[#This Row],[prob500-failure_rating9]]/500</f>
        <v>9.4764496349999996E-9</v>
      </c>
      <c r="IO3" s="1">
        <f>Table15678[[#This Row],[Total_Cost_MUSD]]*Table15678[[#This Row],[prob100-failure_rating1]]/100</f>
        <v>0.18952899270000001</v>
      </c>
      <c r="IP3" s="1">
        <f>Table15678[[#This Row],[Total_Cost_MUSD]]*Table15678[[#This Row],[prob100-failure_rating2]]/100</f>
        <v>1.8952899270000001E-3</v>
      </c>
      <c r="IQ3" s="1">
        <f>Table15678[[#This Row],[Total_Cost_MUSD]]*Table15678[[#This Row],[prob100-failure_rating3]]/100</f>
        <v>2.3691124087500001E-4</v>
      </c>
      <c r="IR3" s="1">
        <f>Table15678[[#This Row],[Total_Cost_MUSD]]*Table15678[[#This Row],[prob100-failure_rating4]]/100</f>
        <v>5.2120472992500001E-5</v>
      </c>
      <c r="IS3" s="1">
        <f>Table15678[[#This Row],[Total_Cost_MUSD]]*Table15678[[#This Row],[prob100-failure_rating5]]/100</f>
        <v>1.8952899270000002E-5</v>
      </c>
      <c r="IT3" s="1">
        <f>Table15678[[#This Row],[Total_Cost_MUSD]]*Table15678[[#This Row],[prob100-failure_rating6]]/100</f>
        <v>3.3167573722499998E-6</v>
      </c>
      <c r="IU3" s="1">
        <f>Table15678[[#This Row],[Total_Cost_MUSD]]*Table15678[[#This Row],[prob100-failure_rating7]]/100</f>
        <v>8.5288046715000011E-7</v>
      </c>
      <c r="IV3" s="1">
        <f>Table15678[[#This Row],[Total_Cost_MUSD]]*Table15678[[#This Row],[prob100-failure_rating8]]/100</f>
        <v>8.5288046715000011E-7</v>
      </c>
      <c r="IW3" s="1">
        <f>Table15678[[#This Row],[Total_Cost_MUSD]]*Table15678[[#This Row],[prob100-failure_rating9]]/100</f>
        <v>1.8952899269999999E-8</v>
      </c>
      <c r="IX3" s="1">
        <f>Table15678[[#This Row],[Total_Cost_MUSD]]*Table15678[[#This Row],[prob50-failure_rating1]]/50</f>
        <v>3.7905798540000001E-3</v>
      </c>
      <c r="IY3" s="1">
        <f>Table15678[[#This Row],[Total_Cost_MUSD]]*Table15678[[#This Row],[prob50-failure_rating2]]/50</f>
        <v>3.1588165450000005E-4</v>
      </c>
      <c r="IZ3" s="1">
        <f>Table15678[[#This Row],[Total_Cost_MUSD]]*Table15678[[#This Row],[prob50-failure_rating3]]/50</f>
        <v>6.9493963990000001E-5</v>
      </c>
      <c r="JA3" s="1">
        <f>Table15678[[#This Row],[Total_Cost_MUSD]]*Table15678[[#This Row],[prob50-failure_rating4]]/50</f>
        <v>2.5270532359999999E-5</v>
      </c>
      <c r="JB3" s="1">
        <f>Table15678[[#This Row],[Total_Cost_MUSD]]*Table15678[[#This Row],[prob50-failure_rating5]]/50</f>
        <v>4.422343163E-6</v>
      </c>
      <c r="JC3" s="1">
        <f>Table15678[[#This Row],[Total_Cost_MUSD]]*Table15678[[#This Row],[prob50-failure_rating6]]/50</f>
        <v>1.1371739562E-6</v>
      </c>
      <c r="JD3" s="1">
        <f>Table15678[[#This Row],[Total_Cost_MUSD]]*Table15678[[#This Row],[prob50-failure_rating7]]/50</f>
        <v>1.1371739562E-6</v>
      </c>
      <c r="JE3" s="1">
        <f>Table15678[[#This Row],[Total_Cost_MUSD]]*Table15678[[#This Row],[prob50-failure_rating8]]/50</f>
        <v>2.5270532360000002E-8</v>
      </c>
      <c r="JF3" s="1">
        <f>Table15678[[#This Row],[Total_Cost_MUSD]]*Table15678[[#This Row],[prob50-failure_rating9]]/50</f>
        <v>1.5794082724999996E-8</v>
      </c>
      <c r="JG3" s="1">
        <f>Table15678[[#This Row],[Total_Cost_MUSD]]*Table15678[[#This Row],[prob10-failure_rating1]]/10</f>
        <v>1.895289927E-2</v>
      </c>
      <c r="JH3" s="1">
        <f>Table15678[[#This Row],[Total_Cost_MUSD]]*Table15678[[#This Row],[prob10-failure_rating2]]/10</f>
        <v>9.4764496350000004E-4</v>
      </c>
      <c r="JI3" s="1">
        <f>Table15678[[#This Row],[Total_Cost_MUSD]]*Table15678[[#This Row],[prob10-failure_rating3]]/10</f>
        <v>2.0848189197000003E-4</v>
      </c>
      <c r="JJ3" s="1">
        <f>Table15678[[#This Row],[Total_Cost_MUSD]]*Table15678[[#This Row],[prob10-failure_rating4]]/10</f>
        <v>7.5811597080000008E-5</v>
      </c>
      <c r="JK3" s="1">
        <f>Table15678[[#This Row],[Total_Cost_MUSD]]*Table15678[[#This Row],[prob10-failure_rating5]]/10</f>
        <v>1.3267029488999997E-5</v>
      </c>
      <c r="JL3" s="1">
        <f>Table15678[[#This Row],[Total_Cost_MUSD]]*Table15678[[#This Row],[prob10-failure_rating6]]/10</f>
        <v>3.4115218686E-6</v>
      </c>
      <c r="JM3" s="1">
        <f>Table15678[[#This Row],[Total_Cost_MUSD]]*Table15678[[#This Row],[prob10-failure_rating7]]/10</f>
        <v>3.4115218686E-6</v>
      </c>
      <c r="JN3" s="1">
        <f>Table15678[[#This Row],[Total_Cost_MUSD]]*Table15678[[#This Row],[prob10-failure_rating8]]/10</f>
        <v>7.5811597079999997E-8</v>
      </c>
      <c r="JO3" s="1">
        <f>Table15678[[#This Row],[Total_Cost_MUSD]]*Table15678[[#This Row],[prob10-failure_rating9]]/10</f>
        <v>4.7382248174999998E-8</v>
      </c>
      <c r="JP3" s="1">
        <f>Table15678[[#This Row],[FailureCost_Rating1]]</f>
        <v>3348.3455377000005</v>
      </c>
      <c r="JQ3" s="1">
        <f>Table15678[[#This Row],[FailureCost_Rating2]]</f>
        <v>3348.3455377000005</v>
      </c>
      <c r="JR3" s="1">
        <f>(Table15678[[#This Row],[failurecost500_rating2]]+Table15678[[#This Row],[failurecost100_rating2]]+Table15678[[#This Row],[failurecost50_rating2]]+Table15678[[#This Row],[failurecost10_rating2]])*1000000</f>
        <v>3348.3455377000005</v>
      </c>
      <c r="JS3" s="1">
        <f>(Table15678[[#This Row],[failurecost500_rating3]]+Table15678[[#This Row],[failurecost100_rating3]]+Table15678[[#This Row],[failurecost50_rating3]]+Table15678[[#This Row],[failurecost10_rating3]])*1000000</f>
        <v>556.5834752290001</v>
      </c>
      <c r="JT3" s="1">
        <f>(Table15678[[#This Row],[failurecost500_rating4]]+Table15678[[#This Row],[failurecost100_rating4]]+Table15678[[#This Row],[failurecost50_rating4]]+Table15678[[#This Row],[failurecost10_rating4]])*1000000</f>
        <v>168.36492184850002</v>
      </c>
      <c r="JU3" s="1">
        <f>(Table15678[[#This Row],[failurecost500_rating5]]+Table15678[[#This Row],[failurecost100_rating5]]+Table15678[[#This Row],[failurecost50_rating5]]+Table15678[[#This Row],[failurecost10_rating5]])*1000000</f>
        <v>39.295677819799998</v>
      </c>
      <c r="JV3" s="1">
        <f>(Table15678[[#This Row],[failurecost500_rating6]]+Table15678[[#This Row],[failurecost100_rating6]]+Table15678[[#This Row],[failurecost50_rating6]]+Table15678[[#This Row],[failurecost10_rating6]])*1000000</f>
        <v>8.5477575707700009</v>
      </c>
      <c r="JW3" s="1">
        <f>(Table15678[[#This Row],[failurecost500_rating7]]+Table15678[[#This Row],[failurecost100_rating7]]+Table15678[[#This Row],[failurecost50_rating7]]+Table15678[[#This Row],[failurecost10_rating7]])*1000000</f>
        <v>6.0838806656699997</v>
      </c>
      <c r="JX3" s="1">
        <f>(Table15678[[#This Row],[failurecost500_rating8]]+Table15678[[#This Row],[failurecost100_rating8]]+Table15678[[#This Row],[failurecost50_rating8]]+Table15678[[#This Row],[failurecost10_rating8]])*1000000</f>
        <v>0.96912491600600015</v>
      </c>
      <c r="JY3" s="1">
        <f>(Table15678[[#This Row],[failurecost500_rating9]]+Table15678[[#This Row],[failurecost100_rating9]]+Table15678[[#This Row],[failurecost50_rating9]]+Table15678[[#This Row],[failurecost10_rating9]])*1000000</f>
        <v>9.1605679805000007E-2</v>
      </c>
    </row>
    <row r="4" spans="1:285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Table15678[[#This Row],[Depth10_Soil_vol]]*(9.353+9.027)+(Table15678[[#This Row],[Depth10_Soil_vol]]/2.5)*20*1.053+(PI()*Table15678[[#This Row],[Depth10_Scour]])*Table15678[[#This Row],[DECK_WIDTH_MT_052]]*1.062</f>
        <v>0</v>
      </c>
      <c r="AR4" s="1">
        <f>Table15678[[#This Row],[Depth50_Soil_vol]]*(9.353+9.027)+(Table15678[[#This Row],[Depth50_Soil_vol]]/2.5)*20*1.053+(PI()*Table15678[[#This Row],[Depth50_Scour]])*Table15678[[#This Row],[DECK_WIDTH_MT_052]]*1.062</f>
        <v>5183.5345730170238</v>
      </c>
      <c r="AS4" s="1">
        <f>Table15678[[#This Row],[Depth100_Soil_vol]]*(9.353+9.027)+(Table15678[[#This Row],[Depth100_Soil_vol]]/2.5)*20*1.053+(PI()*Table15678[[#This Row],[Depth100_Scour]])*Table15678[[#This Row],[DECK_WIDTH_MT_052]]*1.062</f>
        <v>5452.2219529566692</v>
      </c>
      <c r="AT4" s="1">
        <f>Table15678[[#This Row],[Depth500_Soil_vol]]*(9.353+9.027)+(Table15678[[#This Row],[Depth500_Soil_vol]]/2.5)*20*1.053+(PI()*Table15678[[#This Row],[Depth500_Scour]])*Table15678[[#This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9.6000000000000002E-2</v>
      </c>
      <c r="GF4" s="1">
        <v>36.37292137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v>32331.485662222221</v>
      </c>
      <c r="GM4" s="1">
        <v>18186.460684999998</v>
      </c>
      <c r="GN4" s="1">
        <v>11639.334838400002</v>
      </c>
      <c r="GO4" s="1">
        <v>8082.8714155555554</v>
      </c>
      <c r="GP4" s="1">
        <v>5938.4361420408168</v>
      </c>
      <c r="GQ4" s="1">
        <v>4546.6151712499995</v>
      </c>
      <c r="GR4" s="1">
        <v>3592.387295802469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1</v>
      </c>
      <c r="HF4" s="1">
        <v>0.01</v>
      </c>
      <c r="HG4" s="1">
        <v>1.25E-3</v>
      </c>
      <c r="HH4" s="1">
        <v>2.7500000000000002E-4</v>
      </c>
      <c r="HI4" s="1">
        <v>1E-4</v>
      </c>
      <c r="HJ4" s="1">
        <v>1.7499999999999998E-5</v>
      </c>
      <c r="HK4" s="1">
        <v>4.5000000000000001E-6</v>
      </c>
      <c r="HL4" s="1">
        <v>4.5000000000000001E-6</v>
      </c>
      <c r="HM4" s="1">
        <v>9.9999999999999995E-8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Table15678[[#This Row],[Total_Cost_MUSD]]*Table15678[[#This Row],[prob500-failure_rating1]]/500</f>
        <v>7.2745842739999999E-4</v>
      </c>
      <c r="IG4" s="1">
        <f>Table15678[[#This Row],[Total_Cost_MUSD]]*Table15678[[#This Row],[prob500-failure_rating2]]/500</f>
        <v>3.637292137E-4</v>
      </c>
      <c r="IH4" s="1">
        <f>Table15678[[#This Row],[Total_Cost_MUSD]]*Table15678[[#This Row],[prob500-failure_rating3]]/500</f>
        <v>8.0020427014000002E-5</v>
      </c>
      <c r="II4" s="1">
        <f>Table15678[[#This Row],[Total_Cost_MUSD]]*Table15678[[#This Row],[prob500-failure_rating4]]/500</f>
        <v>2.9098337096E-5</v>
      </c>
      <c r="IJ4" s="1">
        <f>Table15678[[#This Row],[Total_Cost_MUSD]]*Table15678[[#This Row],[prob500-failure_rating5]]/500</f>
        <v>5.0922089918E-6</v>
      </c>
      <c r="IK4" s="1">
        <f>Table15678[[#This Row],[Total_Cost_MUSD]]*Table15678[[#This Row],[prob500-failure_rating6]]/500</f>
        <v>1.30942516932E-6</v>
      </c>
      <c r="IL4" s="1">
        <f>Table15678[[#This Row],[Total_Cost_MUSD]]*Table15678[[#This Row],[prob500-failure_rating7]]/500</f>
        <v>1.30942516932E-6</v>
      </c>
      <c r="IM4" s="1">
        <f>Table15678[[#This Row],[Total_Cost_MUSD]]*Table15678[[#This Row],[prob500-failure_rating8]]/500</f>
        <v>2.9098337096E-8</v>
      </c>
      <c r="IN4" s="1">
        <f>Table15678[[#This Row],[Total_Cost_MUSD]]*Table15678[[#This Row],[prob500-failure_rating9]]/500</f>
        <v>1.8186460685000001E-8</v>
      </c>
      <c r="IO4" s="1">
        <f>Table15678[[#This Row],[Total_Cost_MUSD]]*Table15678[[#This Row],[prob100-failure_rating1]]/100</f>
        <v>0.3637292137</v>
      </c>
      <c r="IP4" s="1">
        <f>Table15678[[#This Row],[Total_Cost_MUSD]]*Table15678[[#This Row],[prob100-failure_rating2]]/100</f>
        <v>3.6372921370000002E-3</v>
      </c>
      <c r="IQ4" s="1">
        <f>Table15678[[#This Row],[Total_Cost_MUSD]]*Table15678[[#This Row],[prob100-failure_rating3]]/100</f>
        <v>4.5466151712500002E-4</v>
      </c>
      <c r="IR4" s="1">
        <f>Table15678[[#This Row],[Total_Cost_MUSD]]*Table15678[[#This Row],[prob100-failure_rating4]]/100</f>
        <v>1.000255337675E-4</v>
      </c>
      <c r="IS4" s="1">
        <f>Table15678[[#This Row],[Total_Cost_MUSD]]*Table15678[[#This Row],[prob100-failure_rating5]]/100</f>
        <v>3.637292137E-5</v>
      </c>
      <c r="IT4" s="1">
        <f>Table15678[[#This Row],[Total_Cost_MUSD]]*Table15678[[#This Row],[prob100-failure_rating6]]/100</f>
        <v>6.3652612397499998E-6</v>
      </c>
      <c r="IU4" s="1">
        <f>Table15678[[#This Row],[Total_Cost_MUSD]]*Table15678[[#This Row],[prob100-failure_rating7]]/100</f>
        <v>1.6367814616500001E-6</v>
      </c>
      <c r="IV4" s="1">
        <f>Table15678[[#This Row],[Total_Cost_MUSD]]*Table15678[[#This Row],[prob100-failure_rating8]]/100</f>
        <v>1.6367814616500001E-6</v>
      </c>
      <c r="IW4" s="1">
        <f>Table15678[[#This Row],[Total_Cost_MUSD]]*Table15678[[#This Row],[prob100-failure_rating9]]/100</f>
        <v>3.6372921370000001E-8</v>
      </c>
      <c r="IX4" s="1">
        <f>Table15678[[#This Row],[Total_Cost_MUSD]]*Table15678[[#This Row],[prob50-failure_rating1]]/50</f>
        <v>7.2745842740000004E-3</v>
      </c>
      <c r="IY4" s="1">
        <f>Table15678[[#This Row],[Total_Cost_MUSD]]*Table15678[[#This Row],[prob50-failure_rating2]]/50</f>
        <v>6.062153561666667E-4</v>
      </c>
      <c r="IZ4" s="1">
        <f>Table15678[[#This Row],[Total_Cost_MUSD]]*Table15678[[#This Row],[prob50-failure_rating3]]/50</f>
        <v>1.3336737835666667E-4</v>
      </c>
      <c r="JA4" s="1">
        <f>Table15678[[#This Row],[Total_Cost_MUSD]]*Table15678[[#This Row],[prob50-failure_rating4]]/50</f>
        <v>4.8497228493333337E-5</v>
      </c>
      <c r="JB4" s="1">
        <f>Table15678[[#This Row],[Total_Cost_MUSD]]*Table15678[[#This Row],[prob50-failure_rating5]]/50</f>
        <v>8.487014986333333E-6</v>
      </c>
      <c r="JC4" s="1">
        <f>Table15678[[#This Row],[Total_Cost_MUSD]]*Table15678[[#This Row],[prob50-failure_rating6]]/50</f>
        <v>2.1823752822000001E-6</v>
      </c>
      <c r="JD4" s="1">
        <f>Table15678[[#This Row],[Total_Cost_MUSD]]*Table15678[[#This Row],[prob50-failure_rating7]]/50</f>
        <v>2.1823752822000001E-6</v>
      </c>
      <c r="JE4" s="1">
        <f>Table15678[[#This Row],[Total_Cost_MUSD]]*Table15678[[#This Row],[prob50-failure_rating8]]/50</f>
        <v>4.8497228493333337E-8</v>
      </c>
      <c r="JF4" s="1">
        <f>Table15678[[#This Row],[Total_Cost_MUSD]]*Table15678[[#This Row],[prob50-failure_rating9]]/50</f>
        <v>3.031076780833333E-8</v>
      </c>
      <c r="JG4" s="1">
        <f>Table15678[[#This Row],[Total_Cost_MUSD]]*Table15678[[#This Row],[prob10-failure_rating1]]/10</f>
        <v>3.6372921369999998E-2</v>
      </c>
      <c r="JH4" s="1">
        <f>Table15678[[#This Row],[Total_Cost_MUSD]]*Table15678[[#This Row],[prob10-failure_rating2]]/10</f>
        <v>1.8186460684999999E-3</v>
      </c>
      <c r="JI4" s="1">
        <f>Table15678[[#This Row],[Total_Cost_MUSD]]*Table15678[[#This Row],[prob10-failure_rating3]]/10</f>
        <v>4.0010213507E-4</v>
      </c>
      <c r="JJ4" s="1">
        <f>Table15678[[#This Row],[Total_Cost_MUSD]]*Table15678[[#This Row],[prob10-failure_rating4]]/10</f>
        <v>1.4549168548000003E-4</v>
      </c>
      <c r="JK4" s="1">
        <f>Table15678[[#This Row],[Total_Cost_MUSD]]*Table15678[[#This Row],[prob10-failure_rating5]]/10</f>
        <v>2.5461044958999996E-5</v>
      </c>
      <c r="JL4" s="1">
        <f>Table15678[[#This Row],[Total_Cost_MUSD]]*Table15678[[#This Row],[prob10-failure_rating6]]/10</f>
        <v>6.5471258466000012E-6</v>
      </c>
      <c r="JM4" s="1">
        <f>Table15678[[#This Row],[Total_Cost_MUSD]]*Table15678[[#This Row],[prob10-failure_rating7]]/10</f>
        <v>6.5471258466000012E-6</v>
      </c>
      <c r="JN4" s="1">
        <f>Table15678[[#This Row],[Total_Cost_MUSD]]*Table15678[[#This Row],[prob10-failure_rating8]]/10</f>
        <v>1.4549168548E-7</v>
      </c>
      <c r="JO4" s="1">
        <f>Table15678[[#This Row],[Total_Cost_MUSD]]*Table15678[[#This Row],[prob10-failure_rating9]]/10</f>
        <v>9.0932303424999996E-8</v>
      </c>
      <c r="JP4" s="1">
        <f>Table15678[[#This Row],[FailureCost_Rating1]]</f>
        <v>6425.8827753666665</v>
      </c>
      <c r="JQ4" s="1">
        <f>Table15678[[#This Row],[FailureCost_Rating2]]</f>
        <v>6425.8827753666665</v>
      </c>
      <c r="JR4" s="1">
        <f>(Table15678[[#This Row],[failurecost500_rating2]]+Table15678[[#This Row],[failurecost100_rating2]]+Table15678[[#This Row],[failurecost50_rating2]]+Table15678[[#This Row],[failurecost10_rating2]])*1000000</f>
        <v>6425.8827753666665</v>
      </c>
      <c r="JS4" s="1">
        <f>(Table15678[[#This Row],[failurecost500_rating3]]+Table15678[[#This Row],[failurecost100_rating3]]+Table15678[[#This Row],[failurecost50_rating3]]+Table15678[[#This Row],[failurecost10_rating3]])*1000000</f>
        <v>1068.1514575656665</v>
      </c>
      <c r="JT4" s="1">
        <f>(Table15678[[#This Row],[failurecost500_rating4]]+Table15678[[#This Row],[failurecost100_rating4]]+Table15678[[#This Row],[failurecost50_rating4]]+Table15678[[#This Row],[failurecost10_rating4]])*1000000</f>
        <v>323.11278483683338</v>
      </c>
      <c r="JU4" s="1">
        <f>(Table15678[[#This Row],[failurecost500_rating5]]+Table15678[[#This Row],[failurecost100_rating5]]+Table15678[[#This Row],[failurecost50_rating5]]+Table15678[[#This Row],[failurecost10_rating5]])*1000000</f>
        <v>75.413190307133334</v>
      </c>
      <c r="JV4" s="1">
        <f>(Table15678[[#This Row],[failurecost500_rating6]]+Table15678[[#This Row],[failurecost100_rating6]]+Table15678[[#This Row],[failurecost50_rating6]]+Table15678[[#This Row],[failurecost10_rating6]])*1000000</f>
        <v>16.404187537870001</v>
      </c>
      <c r="JW4" s="1">
        <f>(Table15678[[#This Row],[failurecost500_rating7]]+Table15678[[#This Row],[failurecost100_rating7]]+Table15678[[#This Row],[failurecost50_rating7]]+Table15678[[#This Row],[failurecost10_rating7]])*1000000</f>
        <v>11.675707759770001</v>
      </c>
      <c r="JX4" s="1">
        <f>(Table15678[[#This Row],[failurecost500_rating8]]+Table15678[[#This Row],[failurecost100_rating8]]+Table15678[[#This Row],[failurecost50_rating8]]+Table15678[[#This Row],[failurecost10_rating8]])*1000000</f>
        <v>1.8598687127193334</v>
      </c>
      <c r="JY4" s="1">
        <f>(Table15678[[#This Row],[failurecost500_rating9]]+Table15678[[#This Row],[failurecost100_rating9]]+Table15678[[#This Row],[failurecost50_rating9]]+Table15678[[#This Row],[failurecost10_rating9]])*1000000</f>
        <v>0.17580245328833333</v>
      </c>
    </row>
    <row r="5" spans="1:285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Table15678[[#This Row],[Depth10_Soil_vol]]*(9.353+9.027)+(Table15678[[#This Row],[Depth10_Soil_vol]]/2.5)*20*1.053+(PI()*Table15678[[#This Row],[Depth10_Scour]])*Table15678[[#This Row],[DECK_WIDTH_MT_052]]*1.062</f>
        <v>0</v>
      </c>
      <c r="AR5" s="1">
        <f>Table15678[[#This Row],[Depth50_Soil_vol]]*(9.353+9.027)+(Table15678[[#This Row],[Depth50_Soil_vol]]/2.5)*20*1.053+(PI()*Table15678[[#This Row],[Depth50_Scour]])*Table15678[[#This Row],[DECK_WIDTH_MT_052]]*1.062</f>
        <v>8698.4034732067958</v>
      </c>
      <c r="AS5" s="1">
        <f>Table15678[[#This Row],[Depth100_Soil_vol]]*(9.353+9.027)+(Table15678[[#This Row],[Depth100_Soil_vol]]/2.5)*20*1.053+(PI()*Table15678[[#This Row],[Depth100_Scour]])*Table15678[[#This Row],[DECK_WIDTH_MT_052]]*1.062</f>
        <v>10436.848001870483</v>
      </c>
      <c r="AT5" s="1">
        <f>Table15678[[#This Row],[Depth500_Soil_vol]]*(9.353+9.027)+(Table15678[[#This Row],[Depth500_Soil_vol]]/2.5)*20*1.053+(PI()*Table15678[[#This Row],[Depth500_Scour]])*Table15678[[#This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9.6000000000000002E-2</v>
      </c>
      <c r="GF5" s="1">
        <v>16.12521495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v>14333.524399999998</v>
      </c>
      <c r="GM5" s="1">
        <v>8062.6074750000007</v>
      </c>
      <c r="GN5" s="1">
        <v>5160.068784000001</v>
      </c>
      <c r="GO5" s="1">
        <v>3583.3810999999996</v>
      </c>
      <c r="GP5" s="1">
        <v>2632.6881551020406</v>
      </c>
      <c r="GQ5" s="1">
        <v>2015.6518687500002</v>
      </c>
      <c r="GR5" s="1">
        <v>1592.6138222222221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1</v>
      </c>
      <c r="HF5" s="1">
        <v>0.01</v>
      </c>
      <c r="HG5" s="1">
        <v>1.25E-3</v>
      </c>
      <c r="HH5" s="1">
        <v>2.7500000000000002E-4</v>
      </c>
      <c r="HI5" s="1">
        <v>1E-4</v>
      </c>
      <c r="HJ5" s="1">
        <v>1.7499999999999998E-5</v>
      </c>
      <c r="HK5" s="1">
        <v>4.5000000000000001E-6</v>
      </c>
      <c r="HL5" s="1">
        <v>4.5000000000000001E-6</v>
      </c>
      <c r="HM5" s="1">
        <v>9.9999999999999995E-8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Table15678[[#This Row],[Total_Cost_MUSD]]*Table15678[[#This Row],[prob500-failure_rating1]]/500</f>
        <v>3.2250429899999999E-4</v>
      </c>
      <c r="IG5" s="1">
        <f>Table15678[[#This Row],[Total_Cost_MUSD]]*Table15678[[#This Row],[prob500-failure_rating2]]/500</f>
        <v>1.6125214949999999E-4</v>
      </c>
      <c r="IH5" s="1">
        <f>Table15678[[#This Row],[Total_Cost_MUSD]]*Table15678[[#This Row],[prob500-failure_rating3]]/500</f>
        <v>3.5475472890000008E-5</v>
      </c>
      <c r="II5" s="1">
        <f>Table15678[[#This Row],[Total_Cost_MUSD]]*Table15678[[#This Row],[prob500-failure_rating4]]/500</f>
        <v>1.2900171960000001E-5</v>
      </c>
      <c r="IJ5" s="1">
        <f>Table15678[[#This Row],[Total_Cost_MUSD]]*Table15678[[#This Row],[prob500-failure_rating5]]/500</f>
        <v>2.2575300929999998E-6</v>
      </c>
      <c r="IK5" s="1">
        <f>Table15678[[#This Row],[Total_Cost_MUSD]]*Table15678[[#This Row],[prob500-failure_rating6]]/500</f>
        <v>5.8050773820000004E-7</v>
      </c>
      <c r="IL5" s="1">
        <f>Table15678[[#This Row],[Total_Cost_MUSD]]*Table15678[[#This Row],[prob500-failure_rating7]]/500</f>
        <v>5.8050773820000004E-7</v>
      </c>
      <c r="IM5" s="1">
        <f>Table15678[[#This Row],[Total_Cost_MUSD]]*Table15678[[#This Row],[prob500-failure_rating8]]/500</f>
        <v>1.2900171959999999E-8</v>
      </c>
      <c r="IN5" s="1">
        <f>Table15678[[#This Row],[Total_Cost_MUSD]]*Table15678[[#This Row],[prob500-failure_rating9]]/500</f>
        <v>8.0626074749999993E-9</v>
      </c>
      <c r="IO5" s="1">
        <f>Table15678[[#This Row],[Total_Cost_MUSD]]*Table15678[[#This Row],[prob100-failure_rating1]]/100</f>
        <v>0.1612521495</v>
      </c>
      <c r="IP5" s="1">
        <f>Table15678[[#This Row],[Total_Cost_MUSD]]*Table15678[[#This Row],[prob100-failure_rating2]]/100</f>
        <v>1.612521495E-3</v>
      </c>
      <c r="IQ5" s="1">
        <f>Table15678[[#This Row],[Total_Cost_MUSD]]*Table15678[[#This Row],[prob100-failure_rating3]]/100</f>
        <v>2.01565186875E-4</v>
      </c>
      <c r="IR5" s="1">
        <f>Table15678[[#This Row],[Total_Cost_MUSD]]*Table15678[[#This Row],[prob100-failure_rating4]]/100</f>
        <v>4.4344341112500009E-5</v>
      </c>
      <c r="IS5" s="1">
        <f>Table15678[[#This Row],[Total_Cost_MUSD]]*Table15678[[#This Row],[prob100-failure_rating5]]/100</f>
        <v>1.6125214950000001E-5</v>
      </c>
      <c r="IT5" s="1">
        <f>Table15678[[#This Row],[Total_Cost_MUSD]]*Table15678[[#This Row],[prob100-failure_rating6]]/100</f>
        <v>2.8219126162499997E-6</v>
      </c>
      <c r="IU5" s="1">
        <f>Table15678[[#This Row],[Total_Cost_MUSD]]*Table15678[[#This Row],[prob100-failure_rating7]]/100</f>
        <v>7.2563467275E-7</v>
      </c>
      <c r="IV5" s="1">
        <f>Table15678[[#This Row],[Total_Cost_MUSD]]*Table15678[[#This Row],[prob100-failure_rating8]]/100</f>
        <v>7.2563467275E-7</v>
      </c>
      <c r="IW5" s="1">
        <f>Table15678[[#This Row],[Total_Cost_MUSD]]*Table15678[[#This Row],[prob100-failure_rating9]]/100</f>
        <v>1.6125214949999999E-8</v>
      </c>
      <c r="IX5" s="1">
        <f>Table15678[[#This Row],[Total_Cost_MUSD]]*Table15678[[#This Row],[prob50-failure_rating1]]/50</f>
        <v>3.22504299E-3</v>
      </c>
      <c r="IY5" s="1">
        <f>Table15678[[#This Row],[Total_Cost_MUSD]]*Table15678[[#This Row],[prob50-failure_rating2]]/50</f>
        <v>2.687535825E-4</v>
      </c>
      <c r="IZ5" s="1">
        <f>Table15678[[#This Row],[Total_Cost_MUSD]]*Table15678[[#This Row],[prob50-failure_rating3]]/50</f>
        <v>5.9125788149999997E-5</v>
      </c>
      <c r="JA5" s="1">
        <f>Table15678[[#This Row],[Total_Cost_MUSD]]*Table15678[[#This Row],[prob50-failure_rating4]]/50</f>
        <v>2.1500286599999999E-5</v>
      </c>
      <c r="JB5" s="1">
        <f>Table15678[[#This Row],[Total_Cost_MUSD]]*Table15678[[#This Row],[prob50-failure_rating5]]/50</f>
        <v>3.7625501549999999E-6</v>
      </c>
      <c r="JC5" s="1">
        <f>Table15678[[#This Row],[Total_Cost_MUSD]]*Table15678[[#This Row],[prob50-failure_rating6]]/50</f>
        <v>9.6751289699999993E-7</v>
      </c>
      <c r="JD5" s="1">
        <f>Table15678[[#This Row],[Total_Cost_MUSD]]*Table15678[[#This Row],[prob50-failure_rating7]]/50</f>
        <v>9.6751289699999993E-7</v>
      </c>
      <c r="JE5" s="1">
        <f>Table15678[[#This Row],[Total_Cost_MUSD]]*Table15678[[#This Row],[prob50-failure_rating8]]/50</f>
        <v>2.1500286599999999E-8</v>
      </c>
      <c r="JF5" s="1">
        <f>Table15678[[#This Row],[Total_Cost_MUSD]]*Table15678[[#This Row],[prob50-failure_rating9]]/50</f>
        <v>1.3437679125E-8</v>
      </c>
      <c r="JG5" s="1">
        <f>Table15678[[#This Row],[Total_Cost_MUSD]]*Table15678[[#This Row],[prob10-failure_rating1]]/10</f>
        <v>1.6125214950000001E-2</v>
      </c>
      <c r="JH5" s="1">
        <f>Table15678[[#This Row],[Total_Cost_MUSD]]*Table15678[[#This Row],[prob10-failure_rating2]]/10</f>
        <v>8.062607475000001E-4</v>
      </c>
      <c r="JI5" s="1">
        <f>Table15678[[#This Row],[Total_Cost_MUSD]]*Table15678[[#This Row],[prob10-failure_rating3]]/10</f>
        <v>1.7737736445000001E-4</v>
      </c>
      <c r="JJ5" s="1">
        <f>Table15678[[#This Row],[Total_Cost_MUSD]]*Table15678[[#This Row],[prob10-failure_rating4]]/10</f>
        <v>6.4500859800000005E-5</v>
      </c>
      <c r="JK5" s="1">
        <f>Table15678[[#This Row],[Total_Cost_MUSD]]*Table15678[[#This Row],[prob10-failure_rating5]]/10</f>
        <v>1.1287650464999999E-5</v>
      </c>
      <c r="JL5" s="1">
        <f>Table15678[[#This Row],[Total_Cost_MUSD]]*Table15678[[#This Row],[prob10-failure_rating6]]/10</f>
        <v>2.902538691E-6</v>
      </c>
      <c r="JM5" s="1">
        <f>Table15678[[#This Row],[Total_Cost_MUSD]]*Table15678[[#This Row],[prob10-failure_rating7]]/10</f>
        <v>2.902538691E-6</v>
      </c>
      <c r="JN5" s="1">
        <f>Table15678[[#This Row],[Total_Cost_MUSD]]*Table15678[[#This Row],[prob10-failure_rating8]]/10</f>
        <v>6.4500859800000008E-8</v>
      </c>
      <c r="JO5" s="1">
        <f>Table15678[[#This Row],[Total_Cost_MUSD]]*Table15678[[#This Row],[prob10-failure_rating9]]/10</f>
        <v>4.0313037375000002E-8</v>
      </c>
      <c r="JP5" s="1">
        <f>Table15678[[#This Row],[FailureCost_Rating1]]</f>
        <v>2848.7879745</v>
      </c>
      <c r="JQ5" s="1">
        <f>Table15678[[#This Row],[FailureCost_Rating2]]</f>
        <v>2848.7879745</v>
      </c>
      <c r="JR5" s="1">
        <f>(Table15678[[#This Row],[failurecost500_rating2]]+Table15678[[#This Row],[failurecost100_rating2]]+Table15678[[#This Row],[failurecost50_rating2]]+Table15678[[#This Row],[failurecost10_rating2]])*1000000</f>
        <v>2848.7879745</v>
      </c>
      <c r="JS5" s="1">
        <f>(Table15678[[#This Row],[failurecost500_rating3]]+Table15678[[#This Row],[failurecost100_rating3]]+Table15678[[#This Row],[failurecost50_rating3]]+Table15678[[#This Row],[failurecost10_rating3]])*1000000</f>
        <v>473.54381236500001</v>
      </c>
      <c r="JT5" s="1">
        <f>(Table15678[[#This Row],[failurecost500_rating4]]+Table15678[[#This Row],[failurecost100_rating4]]+Table15678[[#This Row],[failurecost50_rating4]]+Table15678[[#This Row],[failurecost10_rating4]])*1000000</f>
        <v>143.24565947249999</v>
      </c>
      <c r="JU5" s="1">
        <f>(Table15678[[#This Row],[failurecost500_rating5]]+Table15678[[#This Row],[failurecost100_rating5]]+Table15678[[#This Row],[failurecost50_rating5]]+Table15678[[#This Row],[failurecost10_rating5]])*1000000</f>
        <v>33.432945662999998</v>
      </c>
      <c r="JV5" s="1">
        <f>(Table15678[[#This Row],[failurecost500_rating6]]+Table15678[[#This Row],[failurecost100_rating6]]+Table15678[[#This Row],[failurecost50_rating6]]+Table15678[[#This Row],[failurecost10_rating6]])*1000000</f>
        <v>7.2724719424500002</v>
      </c>
      <c r="JW5" s="1">
        <f>(Table15678[[#This Row],[failurecost500_rating7]]+Table15678[[#This Row],[failurecost100_rating7]]+Table15678[[#This Row],[failurecost50_rating7]]+Table15678[[#This Row],[failurecost10_rating7]])*1000000</f>
        <v>5.1761939989499997</v>
      </c>
      <c r="JX5" s="1">
        <f>(Table15678[[#This Row],[failurecost500_rating8]]+Table15678[[#This Row],[failurecost100_rating8]]+Table15678[[#This Row],[failurecost50_rating8]]+Table15678[[#This Row],[failurecost10_rating8]])*1000000</f>
        <v>0.82453599111000009</v>
      </c>
      <c r="JY5" s="1">
        <f>(Table15678[[#This Row],[failurecost500_rating9]]+Table15678[[#This Row],[failurecost100_rating9]]+Table15678[[#This Row],[failurecost50_rating9]]+Table15678[[#This Row],[failurecost10_rating9]])*1000000</f>
        <v>7.7938538924999995E-2</v>
      </c>
    </row>
    <row r="6" spans="1:285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Table15678[[#This Row],[Depth10_Soil_vol]]*(9.353+9.027)+(Table15678[[#This Row],[Depth10_Soil_vol]]/2.5)*20*1.053+(PI()*Table15678[[#This Row],[Depth10_Scour]])*Table15678[[#This Row],[DECK_WIDTH_MT_052]]*1.062</f>
        <v>16919.4190908581</v>
      </c>
      <c r="AR6" s="1">
        <f>Table15678[[#This Row],[Depth50_Soil_vol]]*(9.353+9.027)+(Table15678[[#This Row],[Depth50_Soil_vol]]/2.5)*20*1.053+(PI()*Table15678[[#This Row],[Depth50_Scour]])*Table15678[[#This Row],[DECK_WIDTH_MT_052]]*1.062</f>
        <v>18202.748839783562</v>
      </c>
      <c r="AS6" s="1">
        <f>Table15678[[#This Row],[Depth100_Soil_vol]]*(9.353+9.027)+(Table15678[[#This Row],[Depth100_Soil_vol]]/2.5)*20*1.053+(PI()*Table15678[[#This Row],[Depth100_Scour]])*Table15678[[#This Row],[DECK_WIDTH_MT_052]]*1.062</f>
        <v>18769.361851972091</v>
      </c>
      <c r="AT6" s="1">
        <f>Table15678[[#This Row],[Depth500_Soil_vol]]*(9.353+9.027)+(Table15678[[#This Row],[Depth500_Soil_vol]]/2.5)*20*1.053+(PI()*Table15678[[#This Row],[Depth500_Scour]])*Table15678[[#This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6" s="1">
        <v>24.57844167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v>21847.503706666663</v>
      </c>
      <c r="GM6" s="1">
        <v>12289.220835</v>
      </c>
      <c r="GN6" s="1">
        <v>7865.1013344000003</v>
      </c>
      <c r="GO6" s="1">
        <v>5461.8759266666657</v>
      </c>
      <c r="GP6" s="1">
        <v>4012.8068032653064</v>
      </c>
      <c r="GQ6" s="1">
        <v>3072.30520875</v>
      </c>
      <c r="GR6" s="1">
        <v>2427.5004118518518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1</v>
      </c>
      <c r="HF6" s="1">
        <v>0.01</v>
      </c>
      <c r="HG6" s="1">
        <v>1.25E-3</v>
      </c>
      <c r="HH6" s="1">
        <v>2.7500000000000002E-4</v>
      </c>
      <c r="HI6" s="1">
        <v>1E-4</v>
      </c>
      <c r="HJ6" s="1">
        <v>1.7499999999999998E-5</v>
      </c>
      <c r="HK6" s="1">
        <v>4.5000000000000001E-6</v>
      </c>
      <c r="HL6" s="1">
        <v>4.5000000000000001E-6</v>
      </c>
      <c r="HM6" s="1">
        <v>9.9999999999999995E-8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Table15678[[#This Row],[Total_Cost_MUSD]]*Table15678[[#This Row],[prob500-failure_rating1]]/500</f>
        <v>4.9156883340000001E-4</v>
      </c>
      <c r="IG6" s="1">
        <f>Table15678[[#This Row],[Total_Cost_MUSD]]*Table15678[[#This Row],[prob500-failure_rating2]]/500</f>
        <v>2.457844167E-4</v>
      </c>
      <c r="IH6" s="1">
        <f>Table15678[[#This Row],[Total_Cost_MUSD]]*Table15678[[#This Row],[prob500-failure_rating3]]/500</f>
        <v>5.4072571674000002E-5</v>
      </c>
      <c r="II6" s="1">
        <f>Table15678[[#This Row],[Total_Cost_MUSD]]*Table15678[[#This Row],[prob500-failure_rating4]]/500</f>
        <v>1.9662753336000002E-5</v>
      </c>
      <c r="IJ6" s="1">
        <f>Table15678[[#This Row],[Total_Cost_MUSD]]*Table15678[[#This Row],[prob500-failure_rating5]]/500</f>
        <v>3.4409818337999996E-6</v>
      </c>
      <c r="IK6" s="1">
        <f>Table15678[[#This Row],[Total_Cost_MUSD]]*Table15678[[#This Row],[prob500-failure_rating6]]/500</f>
        <v>8.8482390011999997E-7</v>
      </c>
      <c r="IL6" s="1">
        <f>Table15678[[#This Row],[Total_Cost_MUSD]]*Table15678[[#This Row],[prob500-failure_rating7]]/500</f>
        <v>8.8482390011999997E-7</v>
      </c>
      <c r="IM6" s="1">
        <f>Table15678[[#This Row],[Total_Cost_MUSD]]*Table15678[[#This Row],[prob500-failure_rating8]]/500</f>
        <v>1.9662753336E-8</v>
      </c>
      <c r="IN6" s="1">
        <f>Table15678[[#This Row],[Total_Cost_MUSD]]*Table15678[[#This Row],[prob500-failure_rating9]]/500</f>
        <v>1.2289220835E-8</v>
      </c>
      <c r="IO6" s="1">
        <f>Table15678[[#This Row],[Total_Cost_MUSD]]*Table15678[[#This Row],[prob100-failure_rating1]]/100</f>
        <v>0.24578441670000001</v>
      </c>
      <c r="IP6" s="1">
        <f>Table15678[[#This Row],[Total_Cost_MUSD]]*Table15678[[#This Row],[prob100-failure_rating2]]/100</f>
        <v>2.457844167E-3</v>
      </c>
      <c r="IQ6" s="1">
        <f>Table15678[[#This Row],[Total_Cost_MUSD]]*Table15678[[#This Row],[prob100-failure_rating3]]/100</f>
        <v>3.07230520875E-4</v>
      </c>
      <c r="IR6" s="1">
        <f>Table15678[[#This Row],[Total_Cost_MUSD]]*Table15678[[#This Row],[prob100-failure_rating4]]/100</f>
        <v>6.7590714592499995E-5</v>
      </c>
      <c r="IS6" s="1">
        <f>Table15678[[#This Row],[Total_Cost_MUSD]]*Table15678[[#This Row],[prob100-failure_rating5]]/100</f>
        <v>2.4578441669999999E-5</v>
      </c>
      <c r="IT6" s="1">
        <f>Table15678[[#This Row],[Total_Cost_MUSD]]*Table15678[[#This Row],[prob100-failure_rating6]]/100</f>
        <v>4.3012272922499991E-6</v>
      </c>
      <c r="IU6" s="1">
        <f>Table15678[[#This Row],[Total_Cost_MUSD]]*Table15678[[#This Row],[prob100-failure_rating7]]/100</f>
        <v>1.1060298751499999E-6</v>
      </c>
      <c r="IV6" s="1">
        <f>Table15678[[#This Row],[Total_Cost_MUSD]]*Table15678[[#This Row],[prob100-failure_rating8]]/100</f>
        <v>1.1060298751499999E-6</v>
      </c>
      <c r="IW6" s="1">
        <f>Table15678[[#This Row],[Total_Cost_MUSD]]*Table15678[[#This Row],[prob100-failure_rating9]]/100</f>
        <v>2.4578441669999999E-8</v>
      </c>
      <c r="IX6" s="1">
        <f>Table15678[[#This Row],[Total_Cost_MUSD]]*Table15678[[#This Row],[prob50-failure_rating1]]/50</f>
        <v>4.9156883340000001E-3</v>
      </c>
      <c r="IY6" s="1">
        <f>Table15678[[#This Row],[Total_Cost_MUSD]]*Table15678[[#This Row],[prob50-failure_rating2]]/50</f>
        <v>4.096406945E-4</v>
      </c>
      <c r="IZ6" s="1">
        <f>Table15678[[#This Row],[Total_Cost_MUSD]]*Table15678[[#This Row],[prob50-failure_rating3]]/50</f>
        <v>9.0120952789999998E-5</v>
      </c>
      <c r="JA6" s="1">
        <f>Table15678[[#This Row],[Total_Cost_MUSD]]*Table15678[[#This Row],[prob50-failure_rating4]]/50</f>
        <v>3.2771255560000003E-5</v>
      </c>
      <c r="JB6" s="1">
        <f>Table15678[[#This Row],[Total_Cost_MUSD]]*Table15678[[#This Row],[prob50-failure_rating5]]/50</f>
        <v>5.7349697229999997E-6</v>
      </c>
      <c r="JC6" s="1">
        <f>Table15678[[#This Row],[Total_Cost_MUSD]]*Table15678[[#This Row],[prob50-failure_rating6]]/50</f>
        <v>1.4747065002000001E-6</v>
      </c>
      <c r="JD6" s="1">
        <f>Table15678[[#This Row],[Total_Cost_MUSD]]*Table15678[[#This Row],[prob50-failure_rating7]]/50</f>
        <v>1.4747065002000001E-6</v>
      </c>
      <c r="JE6" s="1">
        <f>Table15678[[#This Row],[Total_Cost_MUSD]]*Table15678[[#This Row],[prob50-failure_rating8]]/50</f>
        <v>3.2771255559999999E-8</v>
      </c>
      <c r="JF6" s="1">
        <f>Table15678[[#This Row],[Total_Cost_MUSD]]*Table15678[[#This Row],[prob50-failure_rating9]]/50</f>
        <v>2.0482034724999999E-8</v>
      </c>
      <c r="JG6" s="1">
        <f>Table15678[[#This Row],[Total_Cost_MUSD]]*Table15678[[#This Row],[prob10-failure_rating1]]/10</f>
        <v>2.4578441669999999E-2</v>
      </c>
      <c r="JH6" s="1">
        <f>Table15678[[#This Row],[Total_Cost_MUSD]]*Table15678[[#This Row],[prob10-failure_rating2]]/10</f>
        <v>1.2289220835E-3</v>
      </c>
      <c r="JI6" s="1">
        <f>Table15678[[#This Row],[Total_Cost_MUSD]]*Table15678[[#This Row],[prob10-failure_rating3]]/10</f>
        <v>2.7036285837000004E-4</v>
      </c>
      <c r="JJ6" s="1">
        <f>Table15678[[#This Row],[Total_Cost_MUSD]]*Table15678[[#This Row],[prob10-failure_rating4]]/10</f>
        <v>9.8313766679999996E-5</v>
      </c>
      <c r="JK6" s="1">
        <f>Table15678[[#This Row],[Total_Cost_MUSD]]*Table15678[[#This Row],[prob10-failure_rating5]]/10</f>
        <v>1.7204909169E-5</v>
      </c>
      <c r="JL6" s="1">
        <f>Table15678[[#This Row],[Total_Cost_MUSD]]*Table15678[[#This Row],[prob10-failure_rating6]]/10</f>
        <v>4.4241195005999997E-6</v>
      </c>
      <c r="JM6" s="1">
        <f>Table15678[[#This Row],[Total_Cost_MUSD]]*Table15678[[#This Row],[prob10-failure_rating7]]/10</f>
        <v>4.4241195005999997E-6</v>
      </c>
      <c r="JN6" s="1">
        <f>Table15678[[#This Row],[Total_Cost_MUSD]]*Table15678[[#This Row],[prob10-failure_rating8]]/10</f>
        <v>9.8313766679999997E-8</v>
      </c>
      <c r="JO6" s="1">
        <f>Table15678[[#This Row],[Total_Cost_MUSD]]*Table15678[[#This Row],[prob10-failure_rating9]]/10</f>
        <v>6.1446104174999998E-8</v>
      </c>
      <c r="JP6" s="1">
        <f>Table15678[[#This Row],[FailureCost_Rating1]]</f>
        <v>4342.1913617</v>
      </c>
      <c r="JQ6" s="1">
        <f>Table15678[[#This Row],[FailureCost_Rating2]]</f>
        <v>4342.1913617</v>
      </c>
      <c r="JR6" s="1">
        <f>(Table15678[[#This Row],[failurecost500_rating2]]+Table15678[[#This Row],[failurecost100_rating2]]+Table15678[[#This Row],[failurecost50_rating2]]+Table15678[[#This Row],[failurecost10_rating2]])*1000000</f>
        <v>4342.1913617</v>
      </c>
      <c r="JS6" s="1">
        <f>(Table15678[[#This Row],[failurecost500_rating3]]+Table15678[[#This Row],[failurecost100_rating3]]+Table15678[[#This Row],[failurecost50_rating3]]+Table15678[[#This Row],[failurecost10_rating3]])*1000000</f>
        <v>721.78690370900006</v>
      </c>
      <c r="JT6" s="1">
        <f>(Table15678[[#This Row],[failurecost500_rating4]]+Table15678[[#This Row],[failurecost100_rating4]]+Table15678[[#This Row],[failurecost50_rating4]]+Table15678[[#This Row],[failurecost10_rating4]])*1000000</f>
        <v>218.33849016849999</v>
      </c>
      <c r="JU6" s="1">
        <f>(Table15678[[#This Row],[failurecost500_rating5]]+Table15678[[#This Row],[failurecost100_rating5]]+Table15678[[#This Row],[failurecost50_rating5]]+Table15678[[#This Row],[failurecost10_rating5]])*1000000</f>
        <v>50.959302395800002</v>
      </c>
      <c r="JV6" s="1">
        <f>(Table15678[[#This Row],[failurecost500_rating6]]+Table15678[[#This Row],[failurecost100_rating6]]+Table15678[[#This Row],[failurecost50_rating6]]+Table15678[[#This Row],[failurecost10_rating6]])*1000000</f>
        <v>11.08487719317</v>
      </c>
      <c r="JW6" s="1">
        <f>(Table15678[[#This Row],[failurecost500_rating7]]+Table15678[[#This Row],[failurecost100_rating7]]+Table15678[[#This Row],[failurecost50_rating7]]+Table15678[[#This Row],[failurecost10_rating7]])*1000000</f>
        <v>7.8896797760700004</v>
      </c>
      <c r="JX6" s="1">
        <f>(Table15678[[#This Row],[failurecost500_rating8]]+Table15678[[#This Row],[failurecost100_rating8]]+Table15678[[#This Row],[failurecost50_rating8]]+Table15678[[#This Row],[failurecost10_rating8]])*1000000</f>
        <v>1.256777650726</v>
      </c>
      <c r="JY6" s="1">
        <f>(Table15678[[#This Row],[failurecost500_rating9]]+Table15678[[#This Row],[failurecost100_rating9]]+Table15678[[#This Row],[failurecost50_rating9]]+Table15678[[#This Row],[failurecost10_rating9]])*1000000</f>
        <v>0.118795801405</v>
      </c>
    </row>
    <row r="7" spans="1:285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Table15678[[#This Row],[Depth10_Soil_vol]]*(9.353+9.027)+(Table15678[[#This Row],[Depth10_Soil_vol]]/2.5)*20*1.053+(PI()*Table15678[[#This Row],[Depth10_Scour]])*Table15678[[#This Row],[DECK_WIDTH_MT_052]]*1.062</f>
        <v>11407.250817613454</v>
      </c>
      <c r="AR7" s="1">
        <f>Table15678[[#This Row],[Depth50_Soil_vol]]*(9.353+9.027)+(Table15678[[#This Row],[Depth50_Soil_vol]]/2.5)*20*1.053+(PI()*Table15678[[#This Row],[Depth50_Scour]])*Table15678[[#This Row],[DECK_WIDTH_MT_052]]*1.062</f>
        <v>12369.739122689782</v>
      </c>
      <c r="AS7" s="1">
        <f>Table15678[[#This Row],[Depth100_Soil_vol]]*(9.353+9.027)+(Table15678[[#This Row],[Depth100_Soil_vol]]/2.5)*20*1.053+(PI()*Table15678[[#This Row],[Depth100_Scour]])*Table15678[[#This Row],[DECK_WIDTH_MT_052]]*1.062</f>
        <v>14750.148906789464</v>
      </c>
      <c r="AT7" s="1">
        <f>Table15678[[#This Row],[Depth500_Soil_vol]]*(9.353+9.027)+(Table15678[[#This Row],[Depth500_Soil_vol]]/2.5)*20*1.053+(PI()*Table15678[[#This Row],[Depth500_Scour]])*Table15678[[#This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0.39600000000000002</v>
      </c>
      <c r="GF7" s="1">
        <v>9.2416624370000005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v>8214.8110551111113</v>
      </c>
      <c r="GM7" s="1">
        <v>4620.8312184999995</v>
      </c>
      <c r="GN7" s="1">
        <v>2957.3319798400003</v>
      </c>
      <c r="GO7" s="1">
        <v>2053.7027637777778</v>
      </c>
      <c r="GP7" s="1">
        <v>1508.8428468571431</v>
      </c>
      <c r="GQ7" s="1">
        <v>1155.2078046249999</v>
      </c>
      <c r="GR7" s="1">
        <v>912.75678390123448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1</v>
      </c>
      <c r="HF7" s="1">
        <v>0.01</v>
      </c>
      <c r="HG7" s="1">
        <v>1.25E-3</v>
      </c>
      <c r="HH7" s="1">
        <v>2.7500000000000002E-4</v>
      </c>
      <c r="HI7" s="1">
        <v>1E-4</v>
      </c>
      <c r="HJ7" s="1">
        <v>1.7499999999999998E-5</v>
      </c>
      <c r="HK7" s="1">
        <v>4.5000000000000001E-6</v>
      </c>
      <c r="HL7" s="1">
        <v>4.5000000000000001E-6</v>
      </c>
      <c r="HM7" s="1">
        <v>9.9999999999999995E-8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Table15678[[#This Row],[Total_Cost_MUSD]]*Table15678[[#This Row],[prob500-failure_rating1]]/500</f>
        <v>1.8483324874E-4</v>
      </c>
      <c r="IG7" s="1">
        <f>Table15678[[#This Row],[Total_Cost_MUSD]]*Table15678[[#This Row],[prob500-failure_rating2]]/500</f>
        <v>9.2416624370000001E-5</v>
      </c>
      <c r="IH7" s="1">
        <f>Table15678[[#This Row],[Total_Cost_MUSD]]*Table15678[[#This Row],[prob500-failure_rating3]]/500</f>
        <v>2.0331657361400003E-5</v>
      </c>
      <c r="II7" s="1">
        <f>Table15678[[#This Row],[Total_Cost_MUSD]]*Table15678[[#This Row],[prob500-failure_rating4]]/500</f>
        <v>7.393329949600001E-6</v>
      </c>
      <c r="IJ7" s="1">
        <f>Table15678[[#This Row],[Total_Cost_MUSD]]*Table15678[[#This Row],[prob500-failure_rating5]]/500</f>
        <v>1.2938327411799999E-6</v>
      </c>
      <c r="IK7" s="1">
        <f>Table15678[[#This Row],[Total_Cost_MUSD]]*Table15678[[#This Row],[prob500-failure_rating6]]/500</f>
        <v>3.3269984773200003E-7</v>
      </c>
      <c r="IL7" s="1">
        <f>Table15678[[#This Row],[Total_Cost_MUSD]]*Table15678[[#This Row],[prob500-failure_rating7]]/500</f>
        <v>3.3269984773200003E-7</v>
      </c>
      <c r="IM7" s="1">
        <f>Table15678[[#This Row],[Total_Cost_MUSD]]*Table15678[[#This Row],[prob500-failure_rating8]]/500</f>
        <v>7.3933299496E-9</v>
      </c>
      <c r="IN7" s="1">
        <f>Table15678[[#This Row],[Total_Cost_MUSD]]*Table15678[[#This Row],[prob500-failure_rating9]]/500</f>
        <v>4.6208312185000007E-9</v>
      </c>
      <c r="IO7" s="1">
        <f>Table15678[[#This Row],[Total_Cost_MUSD]]*Table15678[[#This Row],[prob100-failure_rating1]]/100</f>
        <v>9.2416624370000006E-2</v>
      </c>
      <c r="IP7" s="1">
        <f>Table15678[[#This Row],[Total_Cost_MUSD]]*Table15678[[#This Row],[prob100-failure_rating2]]/100</f>
        <v>9.241662437000001E-4</v>
      </c>
      <c r="IQ7" s="1">
        <f>Table15678[[#This Row],[Total_Cost_MUSD]]*Table15678[[#This Row],[prob100-failure_rating3]]/100</f>
        <v>1.1552078046250001E-4</v>
      </c>
      <c r="IR7" s="1">
        <f>Table15678[[#This Row],[Total_Cost_MUSD]]*Table15678[[#This Row],[prob100-failure_rating4]]/100</f>
        <v>2.5414571701750005E-5</v>
      </c>
      <c r="IS7" s="1">
        <f>Table15678[[#This Row],[Total_Cost_MUSD]]*Table15678[[#This Row],[prob100-failure_rating5]]/100</f>
        <v>9.2416624370000008E-6</v>
      </c>
      <c r="IT7" s="1">
        <f>Table15678[[#This Row],[Total_Cost_MUSD]]*Table15678[[#This Row],[prob100-failure_rating6]]/100</f>
        <v>1.6172909264749998E-6</v>
      </c>
      <c r="IU7" s="1">
        <f>Table15678[[#This Row],[Total_Cost_MUSD]]*Table15678[[#This Row],[prob100-failure_rating7]]/100</f>
        <v>4.1587480966500007E-7</v>
      </c>
      <c r="IV7" s="1">
        <f>Table15678[[#This Row],[Total_Cost_MUSD]]*Table15678[[#This Row],[prob100-failure_rating8]]/100</f>
        <v>4.1587480966500007E-7</v>
      </c>
      <c r="IW7" s="1">
        <f>Table15678[[#This Row],[Total_Cost_MUSD]]*Table15678[[#This Row],[prob100-failure_rating9]]/100</f>
        <v>9.2416624369999998E-9</v>
      </c>
      <c r="IX7" s="1">
        <f>Table15678[[#This Row],[Total_Cost_MUSD]]*Table15678[[#This Row],[prob50-failure_rating1]]/50</f>
        <v>1.8483324874000002E-3</v>
      </c>
      <c r="IY7" s="1">
        <f>Table15678[[#This Row],[Total_Cost_MUSD]]*Table15678[[#This Row],[prob50-failure_rating2]]/50</f>
        <v>1.5402770728333335E-4</v>
      </c>
      <c r="IZ7" s="1">
        <f>Table15678[[#This Row],[Total_Cost_MUSD]]*Table15678[[#This Row],[prob50-failure_rating3]]/50</f>
        <v>3.3886095602333335E-5</v>
      </c>
      <c r="JA7" s="1">
        <f>Table15678[[#This Row],[Total_Cost_MUSD]]*Table15678[[#This Row],[prob50-failure_rating4]]/50</f>
        <v>1.2322216582666667E-5</v>
      </c>
      <c r="JB7" s="1">
        <f>Table15678[[#This Row],[Total_Cost_MUSD]]*Table15678[[#This Row],[prob50-failure_rating5]]/50</f>
        <v>2.1563879019666665E-6</v>
      </c>
      <c r="JC7" s="1">
        <f>Table15678[[#This Row],[Total_Cost_MUSD]]*Table15678[[#This Row],[prob50-failure_rating6]]/50</f>
        <v>5.5449974622000005E-7</v>
      </c>
      <c r="JD7" s="1">
        <f>Table15678[[#This Row],[Total_Cost_MUSD]]*Table15678[[#This Row],[prob50-failure_rating7]]/50</f>
        <v>5.5449974622000005E-7</v>
      </c>
      <c r="JE7" s="1">
        <f>Table15678[[#This Row],[Total_Cost_MUSD]]*Table15678[[#This Row],[prob50-failure_rating8]]/50</f>
        <v>1.2322216582666667E-8</v>
      </c>
      <c r="JF7" s="1">
        <f>Table15678[[#This Row],[Total_Cost_MUSD]]*Table15678[[#This Row],[prob50-failure_rating9]]/50</f>
        <v>7.7013853641666659E-9</v>
      </c>
      <c r="JG7" s="1">
        <f>Table15678[[#This Row],[Total_Cost_MUSD]]*Table15678[[#This Row],[prob10-failure_rating1]]/10</f>
        <v>9.2416624369999999E-3</v>
      </c>
      <c r="JH7" s="1">
        <f>Table15678[[#This Row],[Total_Cost_MUSD]]*Table15678[[#This Row],[prob10-failure_rating2]]/10</f>
        <v>4.6208312184999999E-4</v>
      </c>
      <c r="JI7" s="1">
        <f>Table15678[[#This Row],[Total_Cost_MUSD]]*Table15678[[#This Row],[prob10-failure_rating3]]/10</f>
        <v>1.0165828680700001E-4</v>
      </c>
      <c r="JJ7" s="1">
        <f>Table15678[[#This Row],[Total_Cost_MUSD]]*Table15678[[#This Row],[prob10-failure_rating4]]/10</f>
        <v>3.6966649748000003E-5</v>
      </c>
      <c r="JK7" s="1">
        <f>Table15678[[#This Row],[Total_Cost_MUSD]]*Table15678[[#This Row],[prob10-failure_rating5]]/10</f>
        <v>6.4691637058999985E-6</v>
      </c>
      <c r="JL7" s="1">
        <f>Table15678[[#This Row],[Total_Cost_MUSD]]*Table15678[[#This Row],[prob10-failure_rating6]]/10</f>
        <v>1.6634992386600003E-6</v>
      </c>
      <c r="JM7" s="1">
        <f>Table15678[[#This Row],[Total_Cost_MUSD]]*Table15678[[#This Row],[prob10-failure_rating7]]/10</f>
        <v>1.6634992386600003E-6</v>
      </c>
      <c r="JN7" s="1">
        <f>Table15678[[#This Row],[Total_Cost_MUSD]]*Table15678[[#This Row],[prob10-failure_rating8]]/10</f>
        <v>3.6966649747999999E-8</v>
      </c>
      <c r="JO7" s="1">
        <f>Table15678[[#This Row],[Total_Cost_MUSD]]*Table15678[[#This Row],[prob10-failure_rating9]]/10</f>
        <v>2.3104156092500001E-8</v>
      </c>
      <c r="JP7" s="1">
        <f>Table15678[[#This Row],[FailureCost_Rating1]]</f>
        <v>1632.6936972033334</v>
      </c>
      <c r="JQ7" s="1">
        <f>Table15678[[#This Row],[FailureCost_Rating2]]</f>
        <v>1632.6936972033334</v>
      </c>
      <c r="JR7" s="1">
        <f>(Table15678[[#This Row],[failurecost500_rating2]]+Table15678[[#This Row],[failurecost100_rating2]]+Table15678[[#This Row],[failurecost50_rating2]]+Table15678[[#This Row],[failurecost10_rating2]])*1000000</f>
        <v>1632.6936972033334</v>
      </c>
      <c r="JS7" s="1">
        <f>(Table15678[[#This Row],[failurecost500_rating3]]+Table15678[[#This Row],[failurecost100_rating3]]+Table15678[[#This Row],[failurecost50_rating3]]+Table15678[[#This Row],[failurecost10_rating3]])*1000000</f>
        <v>271.39682023323337</v>
      </c>
      <c r="JT7" s="1">
        <f>(Table15678[[#This Row],[failurecost500_rating4]]+Table15678[[#This Row],[failurecost100_rating4]]+Table15678[[#This Row],[failurecost50_rating4]]+Table15678[[#This Row],[failurecost10_rating4]])*1000000</f>
        <v>82.096767982016672</v>
      </c>
      <c r="JU7" s="1">
        <f>(Table15678[[#This Row],[failurecost500_rating5]]+Table15678[[#This Row],[failurecost100_rating5]]+Table15678[[#This Row],[failurecost50_rating5]]+Table15678[[#This Row],[failurecost10_rating5]])*1000000</f>
        <v>19.161046786046665</v>
      </c>
      <c r="JV7" s="1">
        <f>(Table15678[[#This Row],[failurecost500_rating6]]+Table15678[[#This Row],[failurecost100_rating6]]+Table15678[[#This Row],[failurecost50_rating6]]+Table15678[[#This Row],[failurecost10_rating6]])*1000000</f>
        <v>4.1679897590869999</v>
      </c>
      <c r="JW7" s="1">
        <f>(Table15678[[#This Row],[failurecost500_rating7]]+Table15678[[#This Row],[failurecost100_rating7]]+Table15678[[#This Row],[failurecost50_rating7]]+Table15678[[#This Row],[failurecost10_rating7]])*1000000</f>
        <v>2.9665736422770004</v>
      </c>
      <c r="JX7" s="1">
        <f>(Table15678[[#This Row],[failurecost500_rating8]]+Table15678[[#This Row],[failurecost100_rating8]]+Table15678[[#This Row],[failurecost50_rating8]]+Table15678[[#This Row],[failurecost10_rating8]])*1000000</f>
        <v>0.47255700594526667</v>
      </c>
      <c r="JY7" s="1">
        <f>(Table15678[[#This Row],[failurecost500_rating9]]+Table15678[[#This Row],[failurecost100_rating9]]+Table15678[[#This Row],[failurecost50_rating9]]+Table15678[[#This Row],[failurecost10_rating9]])*1000000</f>
        <v>4.4668035112166667E-2</v>
      </c>
    </row>
    <row r="8" spans="1:285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Table15678[[#This Row],[Depth10_Soil_vol]]*(9.353+9.027)+(Table15678[[#This Row],[Depth10_Soil_vol]]/2.5)*20*1.053+(PI()*Table15678[[#This Row],[Depth10_Scour]])*Table15678[[#This Row],[DECK_WIDTH_MT_052]]*1.062</f>
        <v>16463.256386162553</v>
      </c>
      <c r="AR8" s="1">
        <f>Table15678[[#This Row],[Depth50_Soil_vol]]*(9.353+9.027)+(Table15678[[#This Row],[Depth50_Soil_vol]]/2.5)*20*1.053+(PI()*Table15678[[#This Row],[Depth50_Scour]])*Table15678[[#This Row],[DECK_WIDTH_MT_052]]*1.062</f>
        <v>18935.802677782114</v>
      </c>
      <c r="AS8" s="1">
        <f>Table15678[[#This Row],[Depth100_Soil_vol]]*(9.353+9.027)+(Table15678[[#This Row],[Depth100_Soil_vol]]/2.5)*20*1.053+(PI()*Table15678[[#This Row],[Depth100_Scour]])*Table15678[[#This Row],[DECK_WIDTH_MT_052]]*1.062</f>
        <v>19959.892643325038</v>
      </c>
      <c r="AT8" s="1">
        <f>Table15678[[#This Row],[Depth500_Soil_vol]]*(9.353+9.027)+(Table15678[[#This Row],[Depth500_Soil_vol]]/2.5)*20*1.053+(PI()*Table15678[[#This Row],[Depth500_Scour]])*Table15678[[#This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0.52800000000000002</v>
      </c>
      <c r="GF8" s="1">
        <v>47.935071469999997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v>42608.952417777771</v>
      </c>
      <c r="GM8" s="1">
        <v>23967.535735000001</v>
      </c>
      <c r="GN8" s="1">
        <v>15339.222870399999</v>
      </c>
      <c r="GO8" s="1">
        <v>10652.238104444443</v>
      </c>
      <c r="GP8" s="1">
        <v>7826.1341175510197</v>
      </c>
      <c r="GQ8" s="1">
        <v>5991.8839337500003</v>
      </c>
      <c r="GR8" s="1">
        <v>4734.3280464197533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1</v>
      </c>
      <c r="HF8" s="1">
        <v>0.01</v>
      </c>
      <c r="HG8" s="1">
        <v>1.25E-3</v>
      </c>
      <c r="HH8" s="1">
        <v>2.7500000000000002E-4</v>
      </c>
      <c r="HI8" s="1">
        <v>1E-4</v>
      </c>
      <c r="HJ8" s="1">
        <v>1.7499999999999998E-5</v>
      </c>
      <c r="HK8" s="1">
        <v>4.5000000000000001E-6</v>
      </c>
      <c r="HL8" s="1">
        <v>4.5000000000000001E-6</v>
      </c>
      <c r="HM8" s="1">
        <v>9.9999999999999995E-8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Table15678[[#This Row],[Total_Cost_MUSD]]*Table15678[[#This Row],[prob500-failure_rating1]]/500</f>
        <v>9.5870142939999989E-4</v>
      </c>
      <c r="IG8" s="1">
        <f>Table15678[[#This Row],[Total_Cost_MUSD]]*Table15678[[#This Row],[prob500-failure_rating2]]/500</f>
        <v>4.7935071469999994E-4</v>
      </c>
      <c r="IH8" s="1">
        <f>Table15678[[#This Row],[Total_Cost_MUSD]]*Table15678[[#This Row],[prob500-failure_rating3]]/500</f>
        <v>1.0545715723399999E-4</v>
      </c>
      <c r="II8" s="1">
        <f>Table15678[[#This Row],[Total_Cost_MUSD]]*Table15678[[#This Row],[prob500-failure_rating4]]/500</f>
        <v>3.8348057175999998E-5</v>
      </c>
      <c r="IJ8" s="1">
        <f>Table15678[[#This Row],[Total_Cost_MUSD]]*Table15678[[#This Row],[prob500-failure_rating5]]/500</f>
        <v>6.7109100057999991E-6</v>
      </c>
      <c r="IK8" s="1">
        <f>Table15678[[#This Row],[Total_Cost_MUSD]]*Table15678[[#This Row],[prob500-failure_rating6]]/500</f>
        <v>1.7256625729199998E-6</v>
      </c>
      <c r="IL8" s="1">
        <f>Table15678[[#This Row],[Total_Cost_MUSD]]*Table15678[[#This Row],[prob500-failure_rating7]]/500</f>
        <v>1.7256625729199998E-6</v>
      </c>
      <c r="IM8" s="1">
        <f>Table15678[[#This Row],[Total_Cost_MUSD]]*Table15678[[#This Row],[prob500-failure_rating8]]/500</f>
        <v>3.8348057175999995E-8</v>
      </c>
      <c r="IN8" s="1">
        <f>Table15678[[#This Row],[Total_Cost_MUSD]]*Table15678[[#This Row],[prob500-failure_rating9]]/500</f>
        <v>2.3967535734999999E-8</v>
      </c>
      <c r="IO8" s="1">
        <f>Table15678[[#This Row],[Total_Cost_MUSD]]*Table15678[[#This Row],[prob100-failure_rating1]]/100</f>
        <v>0.47935071469999996</v>
      </c>
      <c r="IP8" s="1">
        <f>Table15678[[#This Row],[Total_Cost_MUSD]]*Table15678[[#This Row],[prob100-failure_rating2]]/100</f>
        <v>4.7935071469999996E-3</v>
      </c>
      <c r="IQ8" s="1">
        <f>Table15678[[#This Row],[Total_Cost_MUSD]]*Table15678[[#This Row],[prob100-failure_rating3]]/100</f>
        <v>5.9918839337499996E-4</v>
      </c>
      <c r="IR8" s="1">
        <f>Table15678[[#This Row],[Total_Cost_MUSD]]*Table15678[[#This Row],[prob100-failure_rating4]]/100</f>
        <v>1.3182144654249998E-4</v>
      </c>
      <c r="IS8" s="1">
        <f>Table15678[[#This Row],[Total_Cost_MUSD]]*Table15678[[#This Row],[prob100-failure_rating5]]/100</f>
        <v>4.7935071469999997E-5</v>
      </c>
      <c r="IT8" s="1">
        <f>Table15678[[#This Row],[Total_Cost_MUSD]]*Table15678[[#This Row],[prob100-failure_rating6]]/100</f>
        <v>8.3886375072499995E-6</v>
      </c>
      <c r="IU8" s="1">
        <f>Table15678[[#This Row],[Total_Cost_MUSD]]*Table15678[[#This Row],[prob100-failure_rating7]]/100</f>
        <v>2.1570782161499996E-6</v>
      </c>
      <c r="IV8" s="1">
        <f>Table15678[[#This Row],[Total_Cost_MUSD]]*Table15678[[#This Row],[prob100-failure_rating8]]/100</f>
        <v>2.1570782161499996E-6</v>
      </c>
      <c r="IW8" s="1">
        <f>Table15678[[#This Row],[Total_Cost_MUSD]]*Table15678[[#This Row],[prob100-failure_rating9]]/100</f>
        <v>4.7935071469999999E-8</v>
      </c>
      <c r="IX8" s="1">
        <f>Table15678[[#This Row],[Total_Cost_MUSD]]*Table15678[[#This Row],[prob50-failure_rating1]]/50</f>
        <v>9.5870142939999993E-3</v>
      </c>
      <c r="IY8" s="1">
        <f>Table15678[[#This Row],[Total_Cost_MUSD]]*Table15678[[#This Row],[prob50-failure_rating2]]/50</f>
        <v>7.9891785783333335E-4</v>
      </c>
      <c r="IZ8" s="1">
        <f>Table15678[[#This Row],[Total_Cost_MUSD]]*Table15678[[#This Row],[prob50-failure_rating3]]/50</f>
        <v>1.7576192872333332E-4</v>
      </c>
      <c r="JA8" s="1">
        <f>Table15678[[#This Row],[Total_Cost_MUSD]]*Table15678[[#This Row],[prob50-failure_rating4]]/50</f>
        <v>6.3913428626666667E-5</v>
      </c>
      <c r="JB8" s="1">
        <f>Table15678[[#This Row],[Total_Cost_MUSD]]*Table15678[[#This Row],[prob50-failure_rating5]]/50</f>
        <v>1.1184850009666667E-5</v>
      </c>
      <c r="JC8" s="1">
        <f>Table15678[[#This Row],[Total_Cost_MUSD]]*Table15678[[#This Row],[prob50-failure_rating6]]/50</f>
        <v>2.8761042881999999E-6</v>
      </c>
      <c r="JD8" s="1">
        <f>Table15678[[#This Row],[Total_Cost_MUSD]]*Table15678[[#This Row],[prob50-failure_rating7]]/50</f>
        <v>2.8761042881999999E-6</v>
      </c>
      <c r="JE8" s="1">
        <f>Table15678[[#This Row],[Total_Cost_MUSD]]*Table15678[[#This Row],[prob50-failure_rating8]]/50</f>
        <v>6.3913428626666661E-8</v>
      </c>
      <c r="JF8" s="1">
        <f>Table15678[[#This Row],[Total_Cost_MUSD]]*Table15678[[#This Row],[prob50-failure_rating9]]/50</f>
        <v>3.9945892891666658E-8</v>
      </c>
      <c r="JG8" s="1">
        <f>Table15678[[#This Row],[Total_Cost_MUSD]]*Table15678[[#This Row],[prob10-failure_rating1]]/10</f>
        <v>4.7935071469999993E-2</v>
      </c>
      <c r="JH8" s="1">
        <f>Table15678[[#This Row],[Total_Cost_MUSD]]*Table15678[[#This Row],[prob10-failure_rating2]]/10</f>
        <v>2.3967535734999998E-3</v>
      </c>
      <c r="JI8" s="1">
        <f>Table15678[[#This Row],[Total_Cost_MUSD]]*Table15678[[#This Row],[prob10-failure_rating3]]/10</f>
        <v>5.2728578617000004E-4</v>
      </c>
      <c r="JJ8" s="1">
        <f>Table15678[[#This Row],[Total_Cost_MUSD]]*Table15678[[#This Row],[prob10-failure_rating4]]/10</f>
        <v>1.9174028587999999E-4</v>
      </c>
      <c r="JK8" s="1">
        <f>Table15678[[#This Row],[Total_Cost_MUSD]]*Table15678[[#This Row],[prob10-failure_rating5]]/10</f>
        <v>3.3554550028999991E-5</v>
      </c>
      <c r="JL8" s="1">
        <f>Table15678[[#This Row],[Total_Cost_MUSD]]*Table15678[[#This Row],[prob10-failure_rating6]]/10</f>
        <v>8.6283128646000001E-6</v>
      </c>
      <c r="JM8" s="1">
        <f>Table15678[[#This Row],[Total_Cost_MUSD]]*Table15678[[#This Row],[prob10-failure_rating7]]/10</f>
        <v>8.6283128646000001E-6</v>
      </c>
      <c r="JN8" s="1">
        <f>Table15678[[#This Row],[Total_Cost_MUSD]]*Table15678[[#This Row],[prob10-failure_rating8]]/10</f>
        <v>1.9174028587999997E-7</v>
      </c>
      <c r="JO8" s="1">
        <f>Table15678[[#This Row],[Total_Cost_MUSD]]*Table15678[[#This Row],[prob10-failure_rating9]]/10</f>
        <v>1.1983767867499999E-7</v>
      </c>
      <c r="JP8" s="1">
        <f>Table15678[[#This Row],[FailureCost_Rating1]]</f>
        <v>8468.5292930333326</v>
      </c>
      <c r="JQ8" s="1">
        <f>Table15678[[#This Row],[FailureCost_Rating2]]</f>
        <v>8468.5292930333326</v>
      </c>
      <c r="JR8" s="1">
        <f>(Table15678[[#This Row],[failurecost500_rating2]]+Table15678[[#This Row],[failurecost100_rating2]]+Table15678[[#This Row],[failurecost50_rating2]]+Table15678[[#This Row],[failurecost10_rating2]])*1000000</f>
        <v>8468.5292930333326</v>
      </c>
      <c r="JS8" s="1">
        <f>(Table15678[[#This Row],[failurecost500_rating3]]+Table15678[[#This Row],[failurecost100_rating3]]+Table15678[[#This Row],[failurecost50_rating3]]+Table15678[[#This Row],[failurecost10_rating3]])*1000000</f>
        <v>1407.6932655023334</v>
      </c>
      <c r="JT8" s="1">
        <f>(Table15678[[#This Row],[failurecost500_rating4]]+Table15678[[#This Row],[failurecost100_rating4]]+Table15678[[#This Row],[failurecost50_rating4]]+Table15678[[#This Row],[failurecost10_rating4]])*1000000</f>
        <v>425.82321822516667</v>
      </c>
      <c r="JU8" s="1">
        <f>(Table15678[[#This Row],[failurecost500_rating5]]+Table15678[[#This Row],[failurecost100_rating5]]+Table15678[[#This Row],[failurecost50_rating5]]+Table15678[[#This Row],[failurecost10_rating5]])*1000000</f>
        <v>99.385381514466644</v>
      </c>
      <c r="JV8" s="1">
        <f>(Table15678[[#This Row],[failurecost500_rating6]]+Table15678[[#This Row],[failurecost100_rating6]]+Table15678[[#This Row],[failurecost50_rating6]]+Table15678[[#This Row],[failurecost10_rating6]])*1000000</f>
        <v>21.618717232969999</v>
      </c>
      <c r="JW8" s="1">
        <f>(Table15678[[#This Row],[failurecost500_rating7]]+Table15678[[#This Row],[failurecost100_rating7]]+Table15678[[#This Row],[failurecost50_rating7]]+Table15678[[#This Row],[failurecost10_rating7]])*1000000</f>
        <v>15.387157941869997</v>
      </c>
      <c r="JX8" s="1">
        <f>(Table15678[[#This Row],[failurecost500_rating8]]+Table15678[[#This Row],[failurecost100_rating8]]+Table15678[[#This Row],[failurecost50_rating8]]+Table15678[[#This Row],[failurecost10_rating8]])*1000000</f>
        <v>2.4510799878326663</v>
      </c>
      <c r="JY8" s="1">
        <f>(Table15678[[#This Row],[failurecost500_rating9]]+Table15678[[#This Row],[failurecost100_rating9]]+Table15678[[#This Row],[failurecost50_rating9]]+Table15678[[#This Row],[failurecost10_rating9]])*1000000</f>
        <v>0.23168617877166664</v>
      </c>
    </row>
    <row r="9" spans="1:285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Table15678[[#This Row],[Depth10_Soil_vol]]*(9.353+9.027)+(Table15678[[#This Row],[Depth10_Soil_vol]]/2.5)*20*1.053+(PI()*Table15678[[#This Row],[Depth10_Scour]])*Table15678[[#This Row],[DECK_WIDTH_MT_052]]*1.062</f>
        <v>6829.712539120831</v>
      </c>
      <c r="AR9" s="1">
        <f>Table15678[[#This Row],[Depth50_Soil_vol]]*(9.353+9.027)+(Table15678[[#This Row],[Depth50_Soil_vol]]/2.5)*20*1.053+(PI()*Table15678[[#This Row],[Depth50_Scour]])*Table15678[[#This Row],[DECK_WIDTH_MT_052]]*1.062</f>
        <v>7284.9335218547822</v>
      </c>
      <c r="AS9" s="1">
        <f>Table15678[[#This Row],[Depth100_Soil_vol]]*(9.353+9.027)+(Table15678[[#This Row],[Depth100_Soil_vol]]/2.5)*20*1.053+(PI()*Table15678[[#This Row],[Depth100_Scour]])*Table15678[[#This Row],[DECK_WIDTH_MT_052]]*1.062</f>
        <v>7678.6049905512346</v>
      </c>
      <c r="AT9" s="1">
        <f>Table15678[[#This Row],[Depth500_Soil_vol]]*(9.353+9.027)+(Table15678[[#This Row],[Depth500_Soil_vol]]/2.5)*20*1.053+(PI()*Table15678[[#This Row],[Depth500_Scour]])*Table15678[[#This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9" s="1">
        <v>42.732621100000003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v>37984.552088888886</v>
      </c>
      <c r="GM9" s="1">
        <v>21366.310550000002</v>
      </c>
      <c r="GN9" s="1">
        <v>13674.438752000004</v>
      </c>
      <c r="GO9" s="1">
        <v>9496.1380222222215</v>
      </c>
      <c r="GP9" s="1">
        <v>6976.7544653061223</v>
      </c>
      <c r="GQ9" s="1">
        <v>5341.5776375000005</v>
      </c>
      <c r="GR9" s="1">
        <v>4220.5057876543215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1</v>
      </c>
      <c r="HF9" s="1">
        <v>0.01</v>
      </c>
      <c r="HG9" s="1">
        <v>1.25E-3</v>
      </c>
      <c r="HH9" s="1">
        <v>2.7500000000000002E-4</v>
      </c>
      <c r="HI9" s="1">
        <v>1E-4</v>
      </c>
      <c r="HJ9" s="1">
        <v>1.7499999999999998E-5</v>
      </c>
      <c r="HK9" s="1">
        <v>4.5000000000000001E-6</v>
      </c>
      <c r="HL9" s="1">
        <v>4.5000000000000001E-6</v>
      </c>
      <c r="HM9" s="1">
        <v>9.9999999999999995E-8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Table15678[[#This Row],[Total_Cost_MUSD]]*Table15678[[#This Row],[prob500-failure_rating1]]/500</f>
        <v>8.5465242200000006E-4</v>
      </c>
      <c r="IG9" s="1">
        <f>Table15678[[#This Row],[Total_Cost_MUSD]]*Table15678[[#This Row],[prob500-failure_rating2]]/500</f>
        <v>4.2732621100000003E-4</v>
      </c>
      <c r="IH9" s="1">
        <f>Table15678[[#This Row],[Total_Cost_MUSD]]*Table15678[[#This Row],[prob500-failure_rating3]]/500</f>
        <v>9.401176642000002E-5</v>
      </c>
      <c r="II9" s="1">
        <f>Table15678[[#This Row],[Total_Cost_MUSD]]*Table15678[[#This Row],[prob500-failure_rating4]]/500</f>
        <v>3.4186096880000002E-5</v>
      </c>
      <c r="IJ9" s="1">
        <f>Table15678[[#This Row],[Total_Cost_MUSD]]*Table15678[[#This Row],[prob500-failure_rating5]]/500</f>
        <v>5.9825669539999995E-6</v>
      </c>
      <c r="IK9" s="1">
        <f>Table15678[[#This Row],[Total_Cost_MUSD]]*Table15678[[#This Row],[prob500-failure_rating6]]/500</f>
        <v>1.5383743596E-6</v>
      </c>
      <c r="IL9" s="1">
        <f>Table15678[[#This Row],[Total_Cost_MUSD]]*Table15678[[#This Row],[prob500-failure_rating7]]/500</f>
        <v>1.5383743596E-6</v>
      </c>
      <c r="IM9" s="1">
        <f>Table15678[[#This Row],[Total_Cost_MUSD]]*Table15678[[#This Row],[prob500-failure_rating8]]/500</f>
        <v>3.4186096880000002E-8</v>
      </c>
      <c r="IN9" s="1">
        <f>Table15678[[#This Row],[Total_Cost_MUSD]]*Table15678[[#This Row],[prob500-failure_rating9]]/500</f>
        <v>2.136631055E-8</v>
      </c>
      <c r="IO9" s="1">
        <f>Table15678[[#This Row],[Total_Cost_MUSD]]*Table15678[[#This Row],[prob100-failure_rating1]]/100</f>
        <v>0.42732621100000001</v>
      </c>
      <c r="IP9" s="1">
        <f>Table15678[[#This Row],[Total_Cost_MUSD]]*Table15678[[#This Row],[prob100-failure_rating2]]/100</f>
        <v>4.2732621100000003E-3</v>
      </c>
      <c r="IQ9" s="1">
        <f>Table15678[[#This Row],[Total_Cost_MUSD]]*Table15678[[#This Row],[prob100-failure_rating3]]/100</f>
        <v>5.3415776375000004E-4</v>
      </c>
      <c r="IR9" s="1">
        <f>Table15678[[#This Row],[Total_Cost_MUSD]]*Table15678[[#This Row],[prob100-failure_rating4]]/100</f>
        <v>1.1751470802500003E-4</v>
      </c>
      <c r="IS9" s="1">
        <f>Table15678[[#This Row],[Total_Cost_MUSD]]*Table15678[[#This Row],[prob100-failure_rating5]]/100</f>
        <v>4.2732621100000001E-5</v>
      </c>
      <c r="IT9" s="1">
        <f>Table15678[[#This Row],[Total_Cost_MUSD]]*Table15678[[#This Row],[prob100-failure_rating6]]/100</f>
        <v>7.4782086924999997E-6</v>
      </c>
      <c r="IU9" s="1">
        <f>Table15678[[#This Row],[Total_Cost_MUSD]]*Table15678[[#This Row],[prob100-failure_rating7]]/100</f>
        <v>1.9229679494999999E-6</v>
      </c>
      <c r="IV9" s="1">
        <f>Table15678[[#This Row],[Total_Cost_MUSD]]*Table15678[[#This Row],[prob100-failure_rating8]]/100</f>
        <v>1.9229679494999999E-6</v>
      </c>
      <c r="IW9" s="1">
        <f>Table15678[[#This Row],[Total_Cost_MUSD]]*Table15678[[#This Row],[prob100-failure_rating9]]/100</f>
        <v>4.27326211E-8</v>
      </c>
      <c r="IX9" s="1">
        <f>Table15678[[#This Row],[Total_Cost_MUSD]]*Table15678[[#This Row],[prob50-failure_rating1]]/50</f>
        <v>8.5465242200000006E-3</v>
      </c>
      <c r="IY9" s="1">
        <f>Table15678[[#This Row],[Total_Cost_MUSD]]*Table15678[[#This Row],[prob50-failure_rating2]]/50</f>
        <v>7.1221035166666683E-4</v>
      </c>
      <c r="IZ9" s="1">
        <f>Table15678[[#This Row],[Total_Cost_MUSD]]*Table15678[[#This Row],[prob50-failure_rating3]]/50</f>
        <v>1.566862773666667E-4</v>
      </c>
      <c r="JA9" s="1">
        <f>Table15678[[#This Row],[Total_Cost_MUSD]]*Table15678[[#This Row],[prob50-failure_rating4]]/50</f>
        <v>5.6976828133333336E-5</v>
      </c>
      <c r="JB9" s="1">
        <f>Table15678[[#This Row],[Total_Cost_MUSD]]*Table15678[[#This Row],[prob50-failure_rating5]]/50</f>
        <v>9.9709449233333347E-6</v>
      </c>
      <c r="JC9" s="1">
        <f>Table15678[[#This Row],[Total_Cost_MUSD]]*Table15678[[#This Row],[prob50-failure_rating6]]/50</f>
        <v>2.5639572660000001E-6</v>
      </c>
      <c r="JD9" s="1">
        <f>Table15678[[#This Row],[Total_Cost_MUSD]]*Table15678[[#This Row],[prob50-failure_rating7]]/50</f>
        <v>2.5639572660000001E-6</v>
      </c>
      <c r="JE9" s="1">
        <f>Table15678[[#This Row],[Total_Cost_MUSD]]*Table15678[[#This Row],[prob50-failure_rating8]]/50</f>
        <v>5.6976828133333335E-8</v>
      </c>
      <c r="JF9" s="1">
        <f>Table15678[[#This Row],[Total_Cost_MUSD]]*Table15678[[#This Row],[prob50-failure_rating9]]/50</f>
        <v>3.5610517583333329E-8</v>
      </c>
      <c r="JG9" s="1">
        <f>Table15678[[#This Row],[Total_Cost_MUSD]]*Table15678[[#This Row],[prob10-failure_rating1]]/10</f>
        <v>4.27326211E-2</v>
      </c>
      <c r="JH9" s="1">
        <f>Table15678[[#This Row],[Total_Cost_MUSD]]*Table15678[[#This Row],[prob10-failure_rating2]]/10</f>
        <v>2.1366310550000002E-3</v>
      </c>
      <c r="JI9" s="1">
        <f>Table15678[[#This Row],[Total_Cost_MUSD]]*Table15678[[#This Row],[prob10-failure_rating3]]/10</f>
        <v>4.7005883210000005E-4</v>
      </c>
      <c r="JJ9" s="1">
        <f>Table15678[[#This Row],[Total_Cost_MUSD]]*Table15678[[#This Row],[prob10-failure_rating4]]/10</f>
        <v>1.7093048440000003E-4</v>
      </c>
      <c r="JK9" s="1">
        <f>Table15678[[#This Row],[Total_Cost_MUSD]]*Table15678[[#This Row],[prob10-failure_rating5]]/10</f>
        <v>2.9912834769999999E-5</v>
      </c>
      <c r="JL9" s="1">
        <f>Table15678[[#This Row],[Total_Cost_MUSD]]*Table15678[[#This Row],[prob10-failure_rating6]]/10</f>
        <v>7.6918717980000012E-6</v>
      </c>
      <c r="JM9" s="1">
        <f>Table15678[[#This Row],[Total_Cost_MUSD]]*Table15678[[#This Row],[prob10-failure_rating7]]/10</f>
        <v>7.6918717980000012E-6</v>
      </c>
      <c r="JN9" s="1">
        <f>Table15678[[#This Row],[Total_Cost_MUSD]]*Table15678[[#This Row],[prob10-failure_rating8]]/10</f>
        <v>1.709304844E-7</v>
      </c>
      <c r="JO9" s="1">
        <f>Table15678[[#This Row],[Total_Cost_MUSD]]*Table15678[[#This Row],[prob10-failure_rating9]]/10</f>
        <v>1.0683155275000001E-7</v>
      </c>
      <c r="JP9" s="1">
        <f>Table15678[[#This Row],[FailureCost_Rating1]]</f>
        <v>7549.4297276666675</v>
      </c>
      <c r="JQ9" s="1">
        <f>Table15678[[#This Row],[FailureCost_Rating2]]</f>
        <v>7549.4297276666675</v>
      </c>
      <c r="JR9" s="1">
        <f>(Table15678[[#This Row],[failurecost500_rating2]]+Table15678[[#This Row],[failurecost100_rating2]]+Table15678[[#This Row],[failurecost50_rating2]]+Table15678[[#This Row],[failurecost10_rating2]])*1000000</f>
        <v>7549.4297276666675</v>
      </c>
      <c r="JS9" s="1">
        <f>(Table15678[[#This Row],[failurecost500_rating3]]+Table15678[[#This Row],[failurecost100_rating3]]+Table15678[[#This Row],[failurecost50_rating3]]+Table15678[[#This Row],[failurecost10_rating3]])*1000000</f>
        <v>1254.9146396366668</v>
      </c>
      <c r="JT9" s="1">
        <f>(Table15678[[#This Row],[failurecost500_rating4]]+Table15678[[#This Row],[failurecost100_rating4]]+Table15678[[#This Row],[failurecost50_rating4]]+Table15678[[#This Row],[failurecost10_rating4]])*1000000</f>
        <v>379.60811743833341</v>
      </c>
      <c r="JU9" s="1">
        <f>(Table15678[[#This Row],[failurecost500_rating5]]+Table15678[[#This Row],[failurecost100_rating5]]+Table15678[[#This Row],[failurecost50_rating5]]+Table15678[[#This Row],[failurecost10_rating5]])*1000000</f>
        <v>88.598967747333347</v>
      </c>
      <c r="JV9" s="1">
        <f>(Table15678[[#This Row],[failurecost500_rating6]]+Table15678[[#This Row],[failurecost100_rating6]]+Table15678[[#This Row],[failurecost50_rating6]]+Table15678[[#This Row],[failurecost10_rating6]])*1000000</f>
        <v>19.272412116100003</v>
      </c>
      <c r="JW9" s="1">
        <f>(Table15678[[#This Row],[failurecost500_rating7]]+Table15678[[#This Row],[failurecost100_rating7]]+Table15678[[#This Row],[failurecost50_rating7]]+Table15678[[#This Row],[failurecost10_rating7]])*1000000</f>
        <v>13.717171373100001</v>
      </c>
      <c r="JX9" s="1">
        <f>(Table15678[[#This Row],[failurecost500_rating8]]+Table15678[[#This Row],[failurecost100_rating8]]+Table15678[[#This Row],[failurecost50_rating8]]+Table15678[[#This Row],[failurecost10_rating8]])*1000000</f>
        <v>2.185061358913333</v>
      </c>
      <c r="JY9" s="1">
        <f>(Table15678[[#This Row],[failurecost500_rating9]]+Table15678[[#This Row],[failurecost100_rating9]]+Table15678[[#This Row],[failurecost50_rating9]]+Table15678[[#This Row],[failurecost10_rating9]])*1000000</f>
        <v>0.20654100198333333</v>
      </c>
    </row>
    <row r="10" spans="1:285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Table15678[[#This Row],[Depth10_Soil_vol]]*(9.353+9.027)+(Table15678[[#This Row],[Depth10_Soil_vol]]/2.5)*20*1.053+(PI()*Table15678[[#This Row],[Depth10_Scour]])*Table15678[[#This Row],[DECK_WIDTH_MT_052]]*1.062</f>
        <v>2767.3671308174216</v>
      </c>
      <c r="AR10" s="1">
        <f>Table15678[[#This Row],[Depth50_Soil_vol]]*(9.353+9.027)+(Table15678[[#This Row],[Depth50_Soil_vol]]/2.5)*20*1.053+(PI()*Table15678[[#This Row],[Depth50_Scour]])*Table15678[[#This Row],[DECK_WIDTH_MT_052]]*1.062</f>
        <v>2942.0444801705157</v>
      </c>
      <c r="AS10" s="1">
        <f>Table15678[[#This Row],[Depth100_Soil_vol]]*(9.353+9.027)+(Table15678[[#This Row],[Depth100_Soil_vol]]/2.5)*20*1.053+(PI()*Table15678[[#This Row],[Depth100_Scour]])*Table15678[[#This Row],[DECK_WIDTH_MT_052]]*1.062</f>
        <v>3019.9468768096358</v>
      </c>
      <c r="AT10" s="1">
        <f>Table15678[[#This Row],[Depth500_Soil_vol]]*(9.353+9.027)+(Table15678[[#This Row],[Depth500_Soil_vol]]/2.5)*20*1.053+(PI()*Table15678[[#This Row],[Depth500_Scour]])*Table15678[[#This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10" s="1">
        <v>17.884614809999999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v>15897.435386666666</v>
      </c>
      <c r="GM10" s="1">
        <v>8942.3074049999996</v>
      </c>
      <c r="GN10" s="1">
        <v>5723.0767392000007</v>
      </c>
      <c r="GO10" s="1">
        <v>3974.3588466666665</v>
      </c>
      <c r="GP10" s="1">
        <v>2919.9371118367344</v>
      </c>
      <c r="GQ10" s="1">
        <v>2235.5768512499999</v>
      </c>
      <c r="GR10" s="1">
        <v>1766.3817096296293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1</v>
      </c>
      <c r="HF10" s="1">
        <v>0.01</v>
      </c>
      <c r="HG10" s="1">
        <v>1.25E-3</v>
      </c>
      <c r="HH10" s="1">
        <v>2.7500000000000002E-4</v>
      </c>
      <c r="HI10" s="1">
        <v>1E-4</v>
      </c>
      <c r="HJ10" s="1">
        <v>1.7499999999999998E-5</v>
      </c>
      <c r="HK10" s="1">
        <v>4.5000000000000001E-6</v>
      </c>
      <c r="HL10" s="1">
        <v>4.5000000000000001E-6</v>
      </c>
      <c r="HM10" s="1">
        <v>9.9999999999999995E-8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Table15678[[#This Row],[Total_Cost_MUSD]]*Table15678[[#This Row],[prob500-failure_rating1]]/500</f>
        <v>3.5769229619999997E-4</v>
      </c>
      <c r="IG10" s="1">
        <f>Table15678[[#This Row],[Total_Cost_MUSD]]*Table15678[[#This Row],[prob500-failure_rating2]]/500</f>
        <v>1.7884614809999998E-4</v>
      </c>
      <c r="IH10" s="1">
        <f>Table15678[[#This Row],[Total_Cost_MUSD]]*Table15678[[#This Row],[prob500-failure_rating3]]/500</f>
        <v>3.9346152581999999E-5</v>
      </c>
      <c r="II10" s="1">
        <f>Table15678[[#This Row],[Total_Cost_MUSD]]*Table15678[[#This Row],[prob500-failure_rating4]]/500</f>
        <v>1.4307691847999999E-5</v>
      </c>
      <c r="IJ10" s="1">
        <f>Table15678[[#This Row],[Total_Cost_MUSD]]*Table15678[[#This Row],[prob500-failure_rating5]]/500</f>
        <v>2.5038460733999997E-6</v>
      </c>
      <c r="IK10" s="1">
        <f>Table15678[[#This Row],[Total_Cost_MUSD]]*Table15678[[#This Row],[prob500-failure_rating6]]/500</f>
        <v>6.438461331599999E-7</v>
      </c>
      <c r="IL10" s="1">
        <f>Table15678[[#This Row],[Total_Cost_MUSD]]*Table15678[[#This Row],[prob500-failure_rating7]]/500</f>
        <v>6.438461331599999E-7</v>
      </c>
      <c r="IM10" s="1">
        <f>Table15678[[#This Row],[Total_Cost_MUSD]]*Table15678[[#This Row],[prob500-failure_rating8]]/500</f>
        <v>1.4307691847999998E-8</v>
      </c>
      <c r="IN10" s="1">
        <f>Table15678[[#This Row],[Total_Cost_MUSD]]*Table15678[[#This Row],[prob500-failure_rating9]]/500</f>
        <v>8.9423074049999994E-9</v>
      </c>
      <c r="IO10" s="1">
        <f>Table15678[[#This Row],[Total_Cost_MUSD]]*Table15678[[#This Row],[prob100-failure_rating1]]/100</f>
        <v>0.17884614809999999</v>
      </c>
      <c r="IP10" s="1">
        <f>Table15678[[#This Row],[Total_Cost_MUSD]]*Table15678[[#This Row],[prob100-failure_rating2]]/100</f>
        <v>1.7884614809999999E-3</v>
      </c>
      <c r="IQ10" s="1">
        <f>Table15678[[#This Row],[Total_Cost_MUSD]]*Table15678[[#This Row],[prob100-failure_rating3]]/100</f>
        <v>2.2355768512499999E-4</v>
      </c>
      <c r="IR10" s="1">
        <f>Table15678[[#This Row],[Total_Cost_MUSD]]*Table15678[[#This Row],[prob100-failure_rating4]]/100</f>
        <v>4.9182690727500002E-5</v>
      </c>
      <c r="IS10" s="1">
        <f>Table15678[[#This Row],[Total_Cost_MUSD]]*Table15678[[#This Row],[prob100-failure_rating5]]/100</f>
        <v>1.7884614809999999E-5</v>
      </c>
      <c r="IT10" s="1">
        <f>Table15678[[#This Row],[Total_Cost_MUSD]]*Table15678[[#This Row],[prob100-failure_rating6]]/100</f>
        <v>3.1298075917499996E-6</v>
      </c>
      <c r="IU10" s="1">
        <f>Table15678[[#This Row],[Total_Cost_MUSD]]*Table15678[[#This Row],[prob100-failure_rating7]]/100</f>
        <v>8.0480766644999999E-7</v>
      </c>
      <c r="IV10" s="1">
        <f>Table15678[[#This Row],[Total_Cost_MUSD]]*Table15678[[#This Row],[prob100-failure_rating8]]/100</f>
        <v>8.0480766644999999E-7</v>
      </c>
      <c r="IW10" s="1">
        <f>Table15678[[#This Row],[Total_Cost_MUSD]]*Table15678[[#This Row],[prob100-failure_rating9]]/100</f>
        <v>1.7884614809999999E-8</v>
      </c>
      <c r="IX10" s="1">
        <f>Table15678[[#This Row],[Total_Cost_MUSD]]*Table15678[[#This Row],[prob50-failure_rating1]]/50</f>
        <v>3.5769229619999998E-3</v>
      </c>
      <c r="IY10" s="1">
        <f>Table15678[[#This Row],[Total_Cost_MUSD]]*Table15678[[#This Row],[prob50-failure_rating2]]/50</f>
        <v>2.9807691349999997E-4</v>
      </c>
      <c r="IZ10" s="1">
        <f>Table15678[[#This Row],[Total_Cost_MUSD]]*Table15678[[#This Row],[prob50-failure_rating3]]/50</f>
        <v>6.5576920969999993E-5</v>
      </c>
      <c r="JA10" s="1">
        <f>Table15678[[#This Row],[Total_Cost_MUSD]]*Table15678[[#This Row],[prob50-failure_rating4]]/50</f>
        <v>2.3846153079999999E-5</v>
      </c>
      <c r="JB10" s="1">
        <f>Table15678[[#This Row],[Total_Cost_MUSD]]*Table15678[[#This Row],[prob50-failure_rating5]]/50</f>
        <v>4.1730767889999995E-6</v>
      </c>
      <c r="JC10" s="1">
        <f>Table15678[[#This Row],[Total_Cost_MUSD]]*Table15678[[#This Row],[prob50-failure_rating6]]/50</f>
        <v>1.0730768886E-6</v>
      </c>
      <c r="JD10" s="1">
        <f>Table15678[[#This Row],[Total_Cost_MUSD]]*Table15678[[#This Row],[prob50-failure_rating7]]/50</f>
        <v>1.0730768886E-6</v>
      </c>
      <c r="JE10" s="1">
        <f>Table15678[[#This Row],[Total_Cost_MUSD]]*Table15678[[#This Row],[prob50-failure_rating8]]/50</f>
        <v>2.3846153080000002E-8</v>
      </c>
      <c r="JF10" s="1">
        <f>Table15678[[#This Row],[Total_Cost_MUSD]]*Table15678[[#This Row],[prob50-failure_rating9]]/50</f>
        <v>1.4903845674999996E-8</v>
      </c>
      <c r="JG10" s="1">
        <f>Table15678[[#This Row],[Total_Cost_MUSD]]*Table15678[[#This Row],[prob10-failure_rating1]]/10</f>
        <v>1.7884614809999998E-2</v>
      </c>
      <c r="JH10" s="1">
        <f>Table15678[[#This Row],[Total_Cost_MUSD]]*Table15678[[#This Row],[prob10-failure_rating2]]/10</f>
        <v>8.9423074049999984E-4</v>
      </c>
      <c r="JI10" s="1">
        <f>Table15678[[#This Row],[Total_Cost_MUSD]]*Table15678[[#This Row],[prob10-failure_rating3]]/10</f>
        <v>1.9673076291000001E-4</v>
      </c>
      <c r="JJ10" s="1">
        <f>Table15678[[#This Row],[Total_Cost_MUSD]]*Table15678[[#This Row],[prob10-failure_rating4]]/10</f>
        <v>7.153845924000001E-5</v>
      </c>
      <c r="JK10" s="1">
        <f>Table15678[[#This Row],[Total_Cost_MUSD]]*Table15678[[#This Row],[prob10-failure_rating5]]/10</f>
        <v>1.2519230366999997E-5</v>
      </c>
      <c r="JL10" s="1">
        <f>Table15678[[#This Row],[Total_Cost_MUSD]]*Table15678[[#This Row],[prob10-failure_rating6]]/10</f>
        <v>3.2192306657999999E-6</v>
      </c>
      <c r="JM10" s="1">
        <f>Table15678[[#This Row],[Total_Cost_MUSD]]*Table15678[[#This Row],[prob10-failure_rating7]]/10</f>
        <v>3.2192306657999999E-6</v>
      </c>
      <c r="JN10" s="1">
        <f>Table15678[[#This Row],[Total_Cost_MUSD]]*Table15678[[#This Row],[prob10-failure_rating8]]/10</f>
        <v>7.1538459239999995E-8</v>
      </c>
      <c r="JO10" s="1">
        <f>Table15678[[#This Row],[Total_Cost_MUSD]]*Table15678[[#This Row],[prob10-failure_rating9]]/10</f>
        <v>4.4711537024999997E-8</v>
      </c>
      <c r="JP10" s="1">
        <f>Table15678[[#This Row],[FailureCost_Rating1]]</f>
        <v>3159.6152830999995</v>
      </c>
      <c r="JQ10" s="1">
        <f>Table15678[[#This Row],[FailureCost_Rating2]]</f>
        <v>3159.6152830999995</v>
      </c>
      <c r="JR10" s="1">
        <f>(Table15678[[#This Row],[failurecost500_rating2]]+Table15678[[#This Row],[failurecost100_rating2]]+Table15678[[#This Row],[failurecost50_rating2]]+Table15678[[#This Row],[failurecost10_rating2]])*1000000</f>
        <v>3159.6152830999995</v>
      </c>
      <c r="JS10" s="1">
        <f>(Table15678[[#This Row],[failurecost500_rating3]]+Table15678[[#This Row],[failurecost100_rating3]]+Table15678[[#This Row],[failurecost50_rating3]]+Table15678[[#This Row],[failurecost10_rating3]])*1000000</f>
        <v>525.21152158699999</v>
      </c>
      <c r="JT10" s="1">
        <f>(Table15678[[#This Row],[failurecost500_rating4]]+Table15678[[#This Row],[failurecost100_rating4]]+Table15678[[#This Row],[failurecost50_rating4]]+Table15678[[#This Row],[failurecost10_rating4]])*1000000</f>
        <v>158.87499489550001</v>
      </c>
      <c r="JU10" s="1">
        <f>(Table15678[[#This Row],[failurecost500_rating5]]+Table15678[[#This Row],[failurecost100_rating5]]+Table15678[[#This Row],[failurecost50_rating5]]+Table15678[[#This Row],[failurecost10_rating5]])*1000000</f>
        <v>37.080768039399992</v>
      </c>
      <c r="JV10" s="1">
        <f>(Table15678[[#This Row],[failurecost500_rating6]]+Table15678[[#This Row],[failurecost100_rating6]]+Table15678[[#This Row],[failurecost50_rating6]]+Table15678[[#This Row],[failurecost10_rating6]])*1000000</f>
        <v>8.0659612793099988</v>
      </c>
      <c r="JW10" s="1">
        <f>(Table15678[[#This Row],[failurecost500_rating7]]+Table15678[[#This Row],[failurecost100_rating7]]+Table15678[[#This Row],[failurecost50_rating7]]+Table15678[[#This Row],[failurecost10_rating7]])*1000000</f>
        <v>5.7409613540100004</v>
      </c>
      <c r="JX10" s="1">
        <f>(Table15678[[#This Row],[failurecost500_rating8]]+Table15678[[#This Row],[failurecost100_rating8]]+Table15678[[#This Row],[failurecost50_rating8]]+Table15678[[#This Row],[failurecost10_rating8]])*1000000</f>
        <v>0.91449997061800015</v>
      </c>
      <c r="JY10" s="1">
        <f>(Table15678[[#This Row],[failurecost500_rating9]]+Table15678[[#This Row],[failurecost100_rating9]]+Table15678[[#This Row],[failurecost50_rating9]]+Table15678[[#This Row],[failurecost10_rating9]])*1000000</f>
        <v>8.6442304915000004E-2</v>
      </c>
    </row>
    <row r="11" spans="1:285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Table15678[[#This Row],[Depth10_Soil_vol]]*(9.353+9.027)+(Table15678[[#This Row],[Depth10_Soil_vol]]/2.5)*20*1.053+(PI()*Table15678[[#This Row],[Depth10_Scour]])*Table15678[[#This Row],[DECK_WIDTH_MT_052]]*1.062</f>
        <v>12912.070383440046</v>
      </c>
      <c r="AR11" s="1">
        <f>Table15678[[#This Row],[Depth50_Soil_vol]]*(9.353+9.027)+(Table15678[[#This Row],[Depth50_Soil_vol]]/2.5)*20*1.053+(PI()*Table15678[[#This Row],[Depth50_Scour]])*Table15678[[#This Row],[DECK_WIDTH_MT_052]]*1.062</f>
        <v>13809.829327894035</v>
      </c>
      <c r="AS11" s="1">
        <f>Table15678[[#This Row],[Depth100_Soil_vol]]*(9.353+9.027)+(Table15678[[#This Row],[Depth100_Soil_vol]]/2.5)*20*1.053+(PI()*Table15678[[#This Row],[Depth100_Scour]])*Table15678[[#This Row],[DECK_WIDTH_MT_052]]*1.062</f>
        <v>14209.20261771438</v>
      </c>
      <c r="AT11" s="1">
        <f>Table15678[[#This Row],[Depth500_Soil_vol]]*(9.353+9.027)+(Table15678[[#This Row],[Depth500_Soil_vol]]/2.5)*20*1.053+(PI()*Table15678[[#This Row],[Depth500_Scour]])*Table15678[[#This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11" s="1">
        <v>61.928876150000001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v>55047.889911111102</v>
      </c>
      <c r="GM11" s="1">
        <v>30964.438074999998</v>
      </c>
      <c r="GN11" s="1">
        <v>19817.240368000002</v>
      </c>
      <c r="GO11" s="1">
        <v>13761.972477777776</v>
      </c>
      <c r="GP11" s="1">
        <v>10110.83692244898</v>
      </c>
      <c r="GQ11" s="1">
        <v>7741.1095187499996</v>
      </c>
      <c r="GR11" s="1">
        <v>6116.4322123456786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1</v>
      </c>
      <c r="HF11" s="1">
        <v>0.01</v>
      </c>
      <c r="HG11" s="1">
        <v>1.25E-3</v>
      </c>
      <c r="HH11" s="1">
        <v>2.7500000000000002E-4</v>
      </c>
      <c r="HI11" s="1">
        <v>1E-4</v>
      </c>
      <c r="HJ11" s="1">
        <v>1.7499999999999998E-5</v>
      </c>
      <c r="HK11" s="1">
        <v>4.5000000000000001E-6</v>
      </c>
      <c r="HL11" s="1">
        <v>4.5000000000000001E-6</v>
      </c>
      <c r="HM11" s="1">
        <v>9.9999999999999995E-8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Table15678[[#This Row],[Total_Cost_MUSD]]*Table15678[[#This Row],[prob500-failure_rating1]]/500</f>
        <v>1.2385775230000001E-3</v>
      </c>
      <c r="IG11" s="1">
        <f>Table15678[[#This Row],[Total_Cost_MUSD]]*Table15678[[#This Row],[prob500-failure_rating2]]/500</f>
        <v>6.1928876150000006E-4</v>
      </c>
      <c r="IH11" s="1">
        <f>Table15678[[#This Row],[Total_Cost_MUSD]]*Table15678[[#This Row],[prob500-failure_rating3]]/500</f>
        <v>1.3624352753000002E-4</v>
      </c>
      <c r="II11" s="1">
        <f>Table15678[[#This Row],[Total_Cost_MUSD]]*Table15678[[#This Row],[prob500-failure_rating4]]/500</f>
        <v>4.9543100920000008E-5</v>
      </c>
      <c r="IJ11" s="1">
        <f>Table15678[[#This Row],[Total_Cost_MUSD]]*Table15678[[#This Row],[prob500-failure_rating5]]/500</f>
        <v>8.6700426609999988E-6</v>
      </c>
      <c r="IK11" s="1">
        <f>Table15678[[#This Row],[Total_Cost_MUSD]]*Table15678[[#This Row],[prob500-failure_rating6]]/500</f>
        <v>2.2294395414000003E-6</v>
      </c>
      <c r="IL11" s="1">
        <f>Table15678[[#This Row],[Total_Cost_MUSD]]*Table15678[[#This Row],[prob500-failure_rating7]]/500</f>
        <v>2.2294395414000003E-6</v>
      </c>
      <c r="IM11" s="1">
        <f>Table15678[[#This Row],[Total_Cost_MUSD]]*Table15678[[#This Row],[prob500-failure_rating8]]/500</f>
        <v>4.9543100919999999E-8</v>
      </c>
      <c r="IN11" s="1">
        <f>Table15678[[#This Row],[Total_Cost_MUSD]]*Table15678[[#This Row],[prob500-failure_rating9]]/500</f>
        <v>3.0964438075000002E-8</v>
      </c>
      <c r="IO11" s="1">
        <f>Table15678[[#This Row],[Total_Cost_MUSD]]*Table15678[[#This Row],[prob100-failure_rating1]]/100</f>
        <v>0.61928876150000001</v>
      </c>
      <c r="IP11" s="1">
        <f>Table15678[[#This Row],[Total_Cost_MUSD]]*Table15678[[#This Row],[prob100-failure_rating2]]/100</f>
        <v>6.1928876149999999E-3</v>
      </c>
      <c r="IQ11" s="1">
        <f>Table15678[[#This Row],[Total_Cost_MUSD]]*Table15678[[#This Row],[prob100-failure_rating3]]/100</f>
        <v>7.7411095187499999E-4</v>
      </c>
      <c r="IR11" s="1">
        <f>Table15678[[#This Row],[Total_Cost_MUSD]]*Table15678[[#This Row],[prob100-failure_rating4]]/100</f>
        <v>1.7030440941250002E-4</v>
      </c>
      <c r="IS11" s="1">
        <f>Table15678[[#This Row],[Total_Cost_MUSD]]*Table15678[[#This Row],[prob100-failure_rating5]]/100</f>
        <v>6.1928876150000011E-5</v>
      </c>
      <c r="IT11" s="1">
        <f>Table15678[[#This Row],[Total_Cost_MUSD]]*Table15678[[#This Row],[prob100-failure_rating6]]/100</f>
        <v>1.0837553326249999E-5</v>
      </c>
      <c r="IU11" s="1">
        <f>Table15678[[#This Row],[Total_Cost_MUSD]]*Table15678[[#This Row],[prob100-failure_rating7]]/100</f>
        <v>2.7867994267500002E-6</v>
      </c>
      <c r="IV11" s="1">
        <f>Table15678[[#This Row],[Total_Cost_MUSD]]*Table15678[[#This Row],[prob100-failure_rating8]]/100</f>
        <v>2.7867994267500002E-6</v>
      </c>
      <c r="IW11" s="1">
        <f>Table15678[[#This Row],[Total_Cost_MUSD]]*Table15678[[#This Row],[prob100-failure_rating9]]/100</f>
        <v>6.1928876150000004E-8</v>
      </c>
      <c r="IX11" s="1">
        <f>Table15678[[#This Row],[Total_Cost_MUSD]]*Table15678[[#This Row],[prob50-failure_rating1]]/50</f>
        <v>1.238577523E-2</v>
      </c>
      <c r="IY11" s="1">
        <f>Table15678[[#This Row],[Total_Cost_MUSD]]*Table15678[[#This Row],[prob50-failure_rating2]]/50</f>
        <v>1.0321479358333333E-3</v>
      </c>
      <c r="IZ11" s="1">
        <f>Table15678[[#This Row],[Total_Cost_MUSD]]*Table15678[[#This Row],[prob50-failure_rating3]]/50</f>
        <v>2.2707254588333334E-4</v>
      </c>
      <c r="JA11" s="1">
        <f>Table15678[[#This Row],[Total_Cost_MUSD]]*Table15678[[#This Row],[prob50-failure_rating4]]/50</f>
        <v>8.2571834866666664E-5</v>
      </c>
      <c r="JB11" s="1">
        <f>Table15678[[#This Row],[Total_Cost_MUSD]]*Table15678[[#This Row],[prob50-failure_rating5]]/50</f>
        <v>1.4450071101666667E-5</v>
      </c>
      <c r="JC11" s="1">
        <f>Table15678[[#This Row],[Total_Cost_MUSD]]*Table15678[[#This Row],[prob50-failure_rating6]]/50</f>
        <v>3.7157325690000001E-6</v>
      </c>
      <c r="JD11" s="1">
        <f>Table15678[[#This Row],[Total_Cost_MUSD]]*Table15678[[#This Row],[prob50-failure_rating7]]/50</f>
        <v>3.7157325690000001E-6</v>
      </c>
      <c r="JE11" s="1">
        <f>Table15678[[#This Row],[Total_Cost_MUSD]]*Table15678[[#This Row],[prob50-failure_rating8]]/50</f>
        <v>8.2571834866666668E-8</v>
      </c>
      <c r="JF11" s="1">
        <f>Table15678[[#This Row],[Total_Cost_MUSD]]*Table15678[[#This Row],[prob50-failure_rating9]]/50</f>
        <v>5.1607396791666666E-8</v>
      </c>
      <c r="JG11" s="1">
        <f>Table15678[[#This Row],[Total_Cost_MUSD]]*Table15678[[#This Row],[prob10-failure_rating1]]/10</f>
        <v>6.1928876149999999E-2</v>
      </c>
      <c r="JH11" s="1">
        <f>Table15678[[#This Row],[Total_Cost_MUSD]]*Table15678[[#This Row],[prob10-failure_rating2]]/10</f>
        <v>3.0964438075E-3</v>
      </c>
      <c r="JI11" s="1">
        <f>Table15678[[#This Row],[Total_Cost_MUSD]]*Table15678[[#This Row],[prob10-failure_rating3]]/10</f>
        <v>6.8121763764999999E-4</v>
      </c>
      <c r="JJ11" s="1">
        <f>Table15678[[#This Row],[Total_Cost_MUSD]]*Table15678[[#This Row],[prob10-failure_rating4]]/10</f>
        <v>2.4771550460000004E-4</v>
      </c>
      <c r="JK11" s="1">
        <f>Table15678[[#This Row],[Total_Cost_MUSD]]*Table15678[[#This Row],[prob10-failure_rating5]]/10</f>
        <v>4.3350213304999996E-5</v>
      </c>
      <c r="JL11" s="1">
        <f>Table15678[[#This Row],[Total_Cost_MUSD]]*Table15678[[#This Row],[prob10-failure_rating6]]/10</f>
        <v>1.1147197707000001E-5</v>
      </c>
      <c r="JM11" s="1">
        <f>Table15678[[#This Row],[Total_Cost_MUSD]]*Table15678[[#This Row],[prob10-failure_rating7]]/10</f>
        <v>1.1147197707000001E-5</v>
      </c>
      <c r="JN11" s="1">
        <f>Table15678[[#This Row],[Total_Cost_MUSD]]*Table15678[[#This Row],[prob10-failure_rating8]]/10</f>
        <v>2.4771550460000002E-7</v>
      </c>
      <c r="JO11" s="1">
        <f>Table15678[[#This Row],[Total_Cost_MUSD]]*Table15678[[#This Row],[prob10-failure_rating9]]/10</f>
        <v>1.54822190375E-7</v>
      </c>
      <c r="JP11" s="1">
        <f>Table15678[[#This Row],[FailureCost_Rating1]]</f>
        <v>10940.768119833332</v>
      </c>
      <c r="JQ11" s="1">
        <f>Table15678[[#This Row],[FailureCost_Rating2]]</f>
        <v>10940.768119833332</v>
      </c>
      <c r="JR11" s="1">
        <f>(Table15678[[#This Row],[failurecost500_rating2]]+Table15678[[#This Row],[failurecost100_rating2]]+Table15678[[#This Row],[failurecost50_rating2]]+Table15678[[#This Row],[failurecost10_rating2]])*1000000</f>
        <v>10940.768119833332</v>
      </c>
      <c r="JS11" s="1">
        <f>(Table15678[[#This Row],[failurecost500_rating3]]+Table15678[[#This Row],[failurecost100_rating3]]+Table15678[[#This Row],[failurecost50_rating3]]+Table15678[[#This Row],[failurecost10_rating3]])*1000000</f>
        <v>1818.6446629383336</v>
      </c>
      <c r="JT11" s="1">
        <f>(Table15678[[#This Row],[failurecost500_rating4]]+Table15678[[#This Row],[failurecost100_rating4]]+Table15678[[#This Row],[failurecost50_rating4]]+Table15678[[#This Row],[failurecost10_rating4]])*1000000</f>
        <v>550.13484979916677</v>
      </c>
      <c r="JU11" s="1">
        <f>(Table15678[[#This Row],[failurecost500_rating5]]+Table15678[[#This Row],[failurecost100_rating5]]+Table15678[[#This Row],[failurecost50_rating5]]+Table15678[[#This Row],[failurecost10_rating5]])*1000000</f>
        <v>128.39920321766667</v>
      </c>
      <c r="JV11" s="1">
        <f>(Table15678[[#This Row],[failurecost500_rating6]]+Table15678[[#This Row],[failurecost100_rating6]]+Table15678[[#This Row],[failurecost50_rating6]]+Table15678[[#This Row],[failurecost10_rating6]])*1000000</f>
        <v>27.929923143650001</v>
      </c>
      <c r="JW11" s="1">
        <f>(Table15678[[#This Row],[failurecost500_rating7]]+Table15678[[#This Row],[failurecost100_rating7]]+Table15678[[#This Row],[failurecost50_rating7]]+Table15678[[#This Row],[failurecost10_rating7]])*1000000</f>
        <v>19.879169244150003</v>
      </c>
      <c r="JX11" s="1">
        <f>(Table15678[[#This Row],[failurecost500_rating8]]+Table15678[[#This Row],[failurecost100_rating8]]+Table15678[[#This Row],[failurecost50_rating8]]+Table15678[[#This Row],[failurecost10_rating8]])*1000000</f>
        <v>3.1666298671366668</v>
      </c>
      <c r="JY11" s="1">
        <f>(Table15678[[#This Row],[failurecost500_rating9]]+Table15678[[#This Row],[failurecost100_rating9]]+Table15678[[#This Row],[failurecost50_rating9]]+Table15678[[#This Row],[failurecost10_rating9]])*1000000</f>
        <v>0.29932290139166667</v>
      </c>
    </row>
    <row r="12" spans="1:285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Table15678[[#This Row],[Depth10_Soil_vol]]*(9.353+9.027)+(Table15678[[#This Row],[Depth10_Soil_vol]]/2.5)*20*1.053+(PI()*Table15678[[#This Row],[Depth10_Scour]])*Table15678[[#This Row],[DECK_WIDTH_MT_052]]*1.062</f>
        <v>6737.4062355001524</v>
      </c>
      <c r="AR12" s="1">
        <f>Table15678[[#This Row],[Depth50_Soil_vol]]*(9.353+9.027)+(Table15678[[#This Row],[Depth50_Soil_vol]]/2.5)*20*1.053+(PI()*Table15678[[#This Row],[Depth50_Scour]])*Table15678[[#This Row],[DECK_WIDTH_MT_052]]*1.062</f>
        <v>7415.8873465101096</v>
      </c>
      <c r="AS12" s="1">
        <f>Table15678[[#This Row],[Depth100_Soil_vol]]*(9.353+9.027)+(Table15678[[#This Row],[Depth100_Soil_vol]]/2.5)*20*1.053+(PI()*Table15678[[#This Row],[Depth100_Scour]])*Table15678[[#This Row],[DECK_WIDTH_MT_052]]*1.062</f>
        <v>7705.9386938101106</v>
      </c>
      <c r="AT12" s="1">
        <f>Table15678[[#This Row],[Depth500_Soil_vol]]*(9.353+9.027)+(Table15678[[#This Row],[Depth500_Soil_vol]]/2.5)*20*1.053+(PI()*Table15678[[#This Row],[Depth500_Scour]])*Table15678[[#This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12" s="1">
        <v>12.298697430000001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v>10932.175493333332</v>
      </c>
      <c r="GM12" s="1">
        <v>6149.348715000001</v>
      </c>
      <c r="GN12" s="1">
        <v>3935.5831776</v>
      </c>
      <c r="GO12" s="1">
        <v>2733.0438733333331</v>
      </c>
      <c r="GP12" s="1">
        <v>2007.9506008163264</v>
      </c>
      <c r="GQ12" s="1">
        <v>1537.3371787500002</v>
      </c>
      <c r="GR12" s="1">
        <v>1214.6861659259259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1</v>
      </c>
      <c r="HF12" s="1">
        <v>0.01</v>
      </c>
      <c r="HG12" s="1">
        <v>1.25E-3</v>
      </c>
      <c r="HH12" s="1">
        <v>2.7500000000000002E-4</v>
      </c>
      <c r="HI12" s="1">
        <v>1E-4</v>
      </c>
      <c r="HJ12" s="1">
        <v>1.7499999999999998E-5</v>
      </c>
      <c r="HK12" s="1">
        <v>4.5000000000000001E-6</v>
      </c>
      <c r="HL12" s="1">
        <v>4.5000000000000001E-6</v>
      </c>
      <c r="HM12" s="1">
        <v>9.9999999999999995E-8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Table15678[[#This Row],[Total_Cost_MUSD]]*Table15678[[#This Row],[prob500-failure_rating1]]/500</f>
        <v>2.4597394860000001E-4</v>
      </c>
      <c r="IG12" s="1">
        <f>Table15678[[#This Row],[Total_Cost_MUSD]]*Table15678[[#This Row],[prob500-failure_rating2]]/500</f>
        <v>1.229869743E-4</v>
      </c>
      <c r="IH12" s="1">
        <f>Table15678[[#This Row],[Total_Cost_MUSD]]*Table15678[[#This Row],[prob500-failure_rating3]]/500</f>
        <v>2.7057134346000005E-5</v>
      </c>
      <c r="II12" s="1">
        <f>Table15678[[#This Row],[Total_Cost_MUSD]]*Table15678[[#This Row],[prob500-failure_rating4]]/500</f>
        <v>9.8389579440000009E-6</v>
      </c>
      <c r="IJ12" s="1">
        <f>Table15678[[#This Row],[Total_Cost_MUSD]]*Table15678[[#This Row],[prob500-failure_rating5]]/500</f>
        <v>1.7218176401999999E-6</v>
      </c>
      <c r="IK12" s="1">
        <f>Table15678[[#This Row],[Total_Cost_MUSD]]*Table15678[[#This Row],[prob500-failure_rating6]]/500</f>
        <v>4.4275310748000003E-7</v>
      </c>
      <c r="IL12" s="1">
        <f>Table15678[[#This Row],[Total_Cost_MUSD]]*Table15678[[#This Row],[prob500-failure_rating7]]/500</f>
        <v>4.4275310748000003E-7</v>
      </c>
      <c r="IM12" s="1">
        <f>Table15678[[#This Row],[Total_Cost_MUSD]]*Table15678[[#This Row],[prob500-failure_rating8]]/500</f>
        <v>9.838957944000001E-9</v>
      </c>
      <c r="IN12" s="1">
        <f>Table15678[[#This Row],[Total_Cost_MUSD]]*Table15678[[#This Row],[prob500-failure_rating9]]/500</f>
        <v>6.1493487150000002E-9</v>
      </c>
      <c r="IO12" s="1">
        <f>Table15678[[#This Row],[Total_Cost_MUSD]]*Table15678[[#This Row],[prob100-failure_rating1]]/100</f>
        <v>0.12298697430000001</v>
      </c>
      <c r="IP12" s="1">
        <f>Table15678[[#This Row],[Total_Cost_MUSD]]*Table15678[[#This Row],[prob100-failure_rating2]]/100</f>
        <v>1.229869743E-3</v>
      </c>
      <c r="IQ12" s="1">
        <f>Table15678[[#This Row],[Total_Cost_MUSD]]*Table15678[[#This Row],[prob100-failure_rating3]]/100</f>
        <v>1.53733717875E-4</v>
      </c>
      <c r="IR12" s="1">
        <f>Table15678[[#This Row],[Total_Cost_MUSD]]*Table15678[[#This Row],[prob100-failure_rating4]]/100</f>
        <v>3.3821417932500002E-5</v>
      </c>
      <c r="IS12" s="1">
        <f>Table15678[[#This Row],[Total_Cost_MUSD]]*Table15678[[#This Row],[prob100-failure_rating5]]/100</f>
        <v>1.2298697430000001E-5</v>
      </c>
      <c r="IT12" s="1">
        <f>Table15678[[#This Row],[Total_Cost_MUSD]]*Table15678[[#This Row],[prob100-failure_rating6]]/100</f>
        <v>2.1522720502500003E-6</v>
      </c>
      <c r="IU12" s="1">
        <f>Table15678[[#This Row],[Total_Cost_MUSD]]*Table15678[[#This Row],[prob100-failure_rating7]]/100</f>
        <v>5.534413843500001E-7</v>
      </c>
      <c r="IV12" s="1">
        <f>Table15678[[#This Row],[Total_Cost_MUSD]]*Table15678[[#This Row],[prob100-failure_rating8]]/100</f>
        <v>5.534413843500001E-7</v>
      </c>
      <c r="IW12" s="1">
        <f>Table15678[[#This Row],[Total_Cost_MUSD]]*Table15678[[#This Row],[prob100-failure_rating9]]/100</f>
        <v>1.229869743E-8</v>
      </c>
      <c r="IX12" s="1">
        <f>Table15678[[#This Row],[Total_Cost_MUSD]]*Table15678[[#This Row],[prob50-failure_rating1]]/50</f>
        <v>2.4597394860000001E-3</v>
      </c>
      <c r="IY12" s="1">
        <f>Table15678[[#This Row],[Total_Cost_MUSD]]*Table15678[[#This Row],[prob50-failure_rating2]]/50</f>
        <v>2.0497829050000003E-4</v>
      </c>
      <c r="IZ12" s="1">
        <f>Table15678[[#This Row],[Total_Cost_MUSD]]*Table15678[[#This Row],[prob50-failure_rating3]]/50</f>
        <v>4.5095223909999999E-5</v>
      </c>
      <c r="JA12" s="1">
        <f>Table15678[[#This Row],[Total_Cost_MUSD]]*Table15678[[#This Row],[prob50-failure_rating4]]/50</f>
        <v>1.6398263240000003E-5</v>
      </c>
      <c r="JB12" s="1">
        <f>Table15678[[#This Row],[Total_Cost_MUSD]]*Table15678[[#This Row],[prob50-failure_rating5]]/50</f>
        <v>2.8696960670000001E-6</v>
      </c>
      <c r="JC12" s="1">
        <f>Table15678[[#This Row],[Total_Cost_MUSD]]*Table15678[[#This Row],[prob50-failure_rating6]]/50</f>
        <v>7.3792184580000007E-7</v>
      </c>
      <c r="JD12" s="1">
        <f>Table15678[[#This Row],[Total_Cost_MUSD]]*Table15678[[#This Row],[prob50-failure_rating7]]/50</f>
        <v>7.3792184580000007E-7</v>
      </c>
      <c r="JE12" s="1">
        <f>Table15678[[#This Row],[Total_Cost_MUSD]]*Table15678[[#This Row],[prob50-failure_rating8]]/50</f>
        <v>1.6398263240000003E-8</v>
      </c>
      <c r="JF12" s="1">
        <f>Table15678[[#This Row],[Total_Cost_MUSD]]*Table15678[[#This Row],[prob50-failure_rating9]]/50</f>
        <v>1.0248914524999999E-8</v>
      </c>
      <c r="JG12" s="1">
        <f>Table15678[[#This Row],[Total_Cost_MUSD]]*Table15678[[#This Row],[prob10-failure_rating1]]/10</f>
        <v>1.2298697430000002E-2</v>
      </c>
      <c r="JH12" s="1">
        <f>Table15678[[#This Row],[Total_Cost_MUSD]]*Table15678[[#This Row],[prob10-failure_rating2]]/10</f>
        <v>6.1493487150000013E-4</v>
      </c>
      <c r="JI12" s="1">
        <f>Table15678[[#This Row],[Total_Cost_MUSD]]*Table15678[[#This Row],[prob10-failure_rating3]]/10</f>
        <v>1.3528567173000001E-4</v>
      </c>
      <c r="JJ12" s="1">
        <f>Table15678[[#This Row],[Total_Cost_MUSD]]*Table15678[[#This Row],[prob10-failure_rating4]]/10</f>
        <v>4.9194789720000003E-5</v>
      </c>
      <c r="JK12" s="1">
        <f>Table15678[[#This Row],[Total_Cost_MUSD]]*Table15678[[#This Row],[prob10-failure_rating5]]/10</f>
        <v>8.6090882009999993E-6</v>
      </c>
      <c r="JL12" s="1">
        <f>Table15678[[#This Row],[Total_Cost_MUSD]]*Table15678[[#This Row],[prob10-failure_rating6]]/10</f>
        <v>2.2137655374E-6</v>
      </c>
      <c r="JM12" s="1">
        <f>Table15678[[#This Row],[Total_Cost_MUSD]]*Table15678[[#This Row],[prob10-failure_rating7]]/10</f>
        <v>2.2137655374E-6</v>
      </c>
      <c r="JN12" s="1">
        <f>Table15678[[#This Row],[Total_Cost_MUSD]]*Table15678[[#This Row],[prob10-failure_rating8]]/10</f>
        <v>4.9194789720000002E-8</v>
      </c>
      <c r="JO12" s="1">
        <f>Table15678[[#This Row],[Total_Cost_MUSD]]*Table15678[[#This Row],[prob10-failure_rating9]]/10</f>
        <v>3.0746743575000003E-8</v>
      </c>
      <c r="JP12" s="1">
        <f>Table15678[[#This Row],[FailureCost_Rating1]]</f>
        <v>2172.7698793000004</v>
      </c>
      <c r="JQ12" s="1">
        <f>Table15678[[#This Row],[FailureCost_Rating2]]</f>
        <v>2172.7698793000004</v>
      </c>
      <c r="JR12" s="1">
        <f>(Table15678[[#This Row],[failurecost500_rating2]]+Table15678[[#This Row],[failurecost100_rating2]]+Table15678[[#This Row],[failurecost50_rating2]]+Table15678[[#This Row],[failurecost10_rating2]])*1000000</f>
        <v>2172.7698793000004</v>
      </c>
      <c r="JS12" s="1">
        <f>(Table15678[[#This Row],[failurecost500_rating3]]+Table15678[[#This Row],[failurecost100_rating3]]+Table15678[[#This Row],[failurecost50_rating3]]+Table15678[[#This Row],[failurecost10_rating3]])*1000000</f>
        <v>361.17174786099997</v>
      </c>
      <c r="JT12" s="1">
        <f>(Table15678[[#This Row],[failurecost500_rating4]]+Table15678[[#This Row],[failurecost100_rating4]]+Table15678[[#This Row],[failurecost50_rating4]]+Table15678[[#This Row],[failurecost10_rating4]])*1000000</f>
        <v>109.25342883650001</v>
      </c>
      <c r="JU12" s="1">
        <f>(Table15678[[#This Row],[failurecost500_rating5]]+Table15678[[#This Row],[failurecost100_rating5]]+Table15678[[#This Row],[failurecost50_rating5]]+Table15678[[#This Row],[failurecost10_rating5]])*1000000</f>
        <v>25.4992993382</v>
      </c>
      <c r="JV12" s="1">
        <f>(Table15678[[#This Row],[failurecost500_rating6]]+Table15678[[#This Row],[failurecost100_rating6]]+Table15678[[#This Row],[failurecost50_rating6]]+Table15678[[#This Row],[failurecost10_rating6]])*1000000</f>
        <v>5.5467125409300007</v>
      </c>
      <c r="JW12" s="1">
        <f>(Table15678[[#This Row],[failurecost500_rating7]]+Table15678[[#This Row],[failurecost100_rating7]]+Table15678[[#This Row],[failurecost50_rating7]]+Table15678[[#This Row],[failurecost10_rating7]])*1000000</f>
        <v>3.9478818750299998</v>
      </c>
      <c r="JX12" s="1">
        <f>(Table15678[[#This Row],[failurecost500_rating8]]+Table15678[[#This Row],[failurecost100_rating8]]+Table15678[[#This Row],[failurecost50_rating8]]+Table15678[[#This Row],[failurecost10_rating8]])*1000000</f>
        <v>0.6288733952540001</v>
      </c>
      <c r="JY12" s="1">
        <f>(Table15678[[#This Row],[failurecost500_rating9]]+Table15678[[#This Row],[failurecost100_rating9]]+Table15678[[#This Row],[failurecost50_rating9]]+Table15678[[#This Row],[failurecost10_rating9]])*1000000</f>
        <v>5.9443704244999999E-2</v>
      </c>
    </row>
    <row r="13" spans="1:285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Table15678[[#This Row],[Depth10_Soil_vol]]*(9.353+9.027)+(Table15678[[#This Row],[Depth10_Soil_vol]]/2.5)*20*1.053+(PI()*Table15678[[#This Row],[Depth10_Scour]])*Table15678[[#This Row],[DECK_WIDTH_MT_052]]*1.062</f>
        <v>6992.666213599131</v>
      </c>
      <c r="AR13" s="1">
        <f>Table15678[[#This Row],[Depth50_Soil_vol]]*(9.353+9.027)+(Table15678[[#This Row],[Depth50_Soil_vol]]/2.5)*20*1.053+(PI()*Table15678[[#This Row],[Depth50_Scour]])*Table15678[[#This Row],[DECK_WIDTH_MT_052]]*1.062</f>
        <v>8975.9969727162606</v>
      </c>
      <c r="AS13" s="1">
        <f>Table15678[[#This Row],[Depth100_Soil_vol]]*(9.353+9.027)+(Table15678[[#This Row],[Depth100_Soil_vol]]/2.5)*20*1.053+(PI()*Table15678[[#This Row],[Depth100_Scour]])*Table15678[[#This Row],[DECK_WIDTH_MT_052]]*1.062</f>
        <v>9724.0394899581861</v>
      </c>
      <c r="AT13" s="1">
        <f>Table15678[[#This Row],[Depth500_Soil_vol]]*(9.353+9.027)+(Table15678[[#This Row],[Depth500_Soil_vol]]/2.5)*20*1.053+(PI()*Table15678[[#This Row],[Depth500_Scour]])*Table15678[[#This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</v>
      </c>
      <c r="GF13" s="1">
        <v>25.743303220000001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v>22882.936195555554</v>
      </c>
      <c r="GM13" s="1">
        <v>12871.651610000001</v>
      </c>
      <c r="GN13" s="1">
        <v>8237.8570304000023</v>
      </c>
      <c r="GO13" s="1">
        <v>5720.7340488888885</v>
      </c>
      <c r="GP13" s="1">
        <v>4202.9882808163275</v>
      </c>
      <c r="GQ13" s="1">
        <v>3217.9129025000002</v>
      </c>
      <c r="GR13" s="1">
        <v>2542.5484661728392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1</v>
      </c>
      <c r="HF13" s="1">
        <v>0.01</v>
      </c>
      <c r="HG13" s="1">
        <v>1.25E-3</v>
      </c>
      <c r="HH13" s="1">
        <v>2.7500000000000002E-4</v>
      </c>
      <c r="HI13" s="1">
        <v>1E-4</v>
      </c>
      <c r="HJ13" s="1">
        <v>1.7499999999999998E-5</v>
      </c>
      <c r="HK13" s="1">
        <v>4.5000000000000001E-6</v>
      </c>
      <c r="HL13" s="1">
        <v>4.5000000000000001E-6</v>
      </c>
      <c r="HM13" s="1">
        <v>9.9999999999999995E-8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Table15678[[#This Row],[Total_Cost_MUSD]]*Table15678[[#This Row],[prob500-failure_rating1]]/500</f>
        <v>5.1486606440000009E-4</v>
      </c>
      <c r="IG13" s="1">
        <f>Table15678[[#This Row],[Total_Cost_MUSD]]*Table15678[[#This Row],[prob500-failure_rating2]]/500</f>
        <v>2.5743303220000004E-4</v>
      </c>
      <c r="IH13" s="1">
        <f>Table15678[[#This Row],[Total_Cost_MUSD]]*Table15678[[#This Row],[prob500-failure_rating3]]/500</f>
        <v>5.6635267084000006E-5</v>
      </c>
      <c r="II13" s="1">
        <f>Table15678[[#This Row],[Total_Cost_MUSD]]*Table15678[[#This Row],[prob500-failure_rating4]]/500</f>
        <v>2.0594642576000001E-5</v>
      </c>
      <c r="IJ13" s="1">
        <f>Table15678[[#This Row],[Total_Cost_MUSD]]*Table15678[[#This Row],[prob500-failure_rating5]]/500</f>
        <v>3.6040624508000001E-6</v>
      </c>
      <c r="IK13" s="1">
        <f>Table15678[[#This Row],[Total_Cost_MUSD]]*Table15678[[#This Row],[prob500-failure_rating6]]/500</f>
        <v>9.2675891592000007E-7</v>
      </c>
      <c r="IL13" s="1">
        <f>Table15678[[#This Row],[Total_Cost_MUSD]]*Table15678[[#This Row],[prob500-failure_rating7]]/500</f>
        <v>9.2675891592000007E-7</v>
      </c>
      <c r="IM13" s="1">
        <f>Table15678[[#This Row],[Total_Cost_MUSD]]*Table15678[[#This Row],[prob500-failure_rating8]]/500</f>
        <v>2.0594642576000002E-8</v>
      </c>
      <c r="IN13" s="1">
        <f>Table15678[[#This Row],[Total_Cost_MUSD]]*Table15678[[#This Row],[prob500-failure_rating9]]/500</f>
        <v>1.2871651609999999E-8</v>
      </c>
      <c r="IO13" s="1">
        <f>Table15678[[#This Row],[Total_Cost_MUSD]]*Table15678[[#This Row],[prob100-failure_rating1]]/100</f>
        <v>0.25743303220000002</v>
      </c>
      <c r="IP13" s="1">
        <f>Table15678[[#This Row],[Total_Cost_MUSD]]*Table15678[[#This Row],[prob100-failure_rating2]]/100</f>
        <v>2.5743303220000001E-3</v>
      </c>
      <c r="IQ13" s="1">
        <f>Table15678[[#This Row],[Total_Cost_MUSD]]*Table15678[[#This Row],[prob100-failure_rating3]]/100</f>
        <v>3.2179129025000002E-4</v>
      </c>
      <c r="IR13" s="1">
        <f>Table15678[[#This Row],[Total_Cost_MUSD]]*Table15678[[#This Row],[prob100-failure_rating4]]/100</f>
        <v>7.0794083855000011E-5</v>
      </c>
      <c r="IS13" s="1">
        <f>Table15678[[#This Row],[Total_Cost_MUSD]]*Table15678[[#This Row],[prob100-failure_rating5]]/100</f>
        <v>2.5743303220000002E-5</v>
      </c>
      <c r="IT13" s="1">
        <f>Table15678[[#This Row],[Total_Cost_MUSD]]*Table15678[[#This Row],[prob100-failure_rating6]]/100</f>
        <v>4.5050780635000002E-6</v>
      </c>
      <c r="IU13" s="1">
        <f>Table15678[[#This Row],[Total_Cost_MUSD]]*Table15678[[#This Row],[prob100-failure_rating7]]/100</f>
        <v>1.1584486449000001E-6</v>
      </c>
      <c r="IV13" s="1">
        <f>Table15678[[#This Row],[Total_Cost_MUSD]]*Table15678[[#This Row],[prob100-failure_rating8]]/100</f>
        <v>1.1584486449000001E-6</v>
      </c>
      <c r="IW13" s="1">
        <f>Table15678[[#This Row],[Total_Cost_MUSD]]*Table15678[[#This Row],[prob100-failure_rating9]]/100</f>
        <v>2.5743303220000001E-8</v>
      </c>
      <c r="IX13" s="1">
        <f>Table15678[[#This Row],[Total_Cost_MUSD]]*Table15678[[#This Row],[prob50-failure_rating1]]/50</f>
        <v>5.1486606440000002E-3</v>
      </c>
      <c r="IY13" s="1">
        <f>Table15678[[#This Row],[Total_Cost_MUSD]]*Table15678[[#This Row],[prob50-failure_rating2]]/50</f>
        <v>4.2905505366666672E-4</v>
      </c>
      <c r="IZ13" s="1">
        <f>Table15678[[#This Row],[Total_Cost_MUSD]]*Table15678[[#This Row],[prob50-failure_rating3]]/50</f>
        <v>9.4392111806666668E-5</v>
      </c>
      <c r="JA13" s="1">
        <f>Table15678[[#This Row],[Total_Cost_MUSD]]*Table15678[[#This Row],[prob50-failure_rating4]]/50</f>
        <v>3.4324404293333341E-5</v>
      </c>
      <c r="JB13" s="1">
        <f>Table15678[[#This Row],[Total_Cost_MUSD]]*Table15678[[#This Row],[prob50-failure_rating5]]/50</f>
        <v>6.0067707513333338E-6</v>
      </c>
      <c r="JC13" s="1">
        <f>Table15678[[#This Row],[Total_Cost_MUSD]]*Table15678[[#This Row],[prob50-failure_rating6]]/50</f>
        <v>1.5445981932000003E-6</v>
      </c>
      <c r="JD13" s="1">
        <f>Table15678[[#This Row],[Total_Cost_MUSD]]*Table15678[[#This Row],[prob50-failure_rating7]]/50</f>
        <v>1.5445981932000003E-6</v>
      </c>
      <c r="JE13" s="1">
        <f>Table15678[[#This Row],[Total_Cost_MUSD]]*Table15678[[#This Row],[prob50-failure_rating8]]/50</f>
        <v>3.432440429333334E-8</v>
      </c>
      <c r="JF13" s="1">
        <f>Table15678[[#This Row],[Total_Cost_MUSD]]*Table15678[[#This Row],[prob50-failure_rating9]]/50</f>
        <v>2.1452752683333336E-8</v>
      </c>
      <c r="JG13" s="1">
        <f>Table15678[[#This Row],[Total_Cost_MUSD]]*Table15678[[#This Row],[prob10-failure_rating1]]/10</f>
        <v>2.5743303220000003E-2</v>
      </c>
      <c r="JH13" s="1">
        <f>Table15678[[#This Row],[Total_Cost_MUSD]]*Table15678[[#This Row],[prob10-failure_rating2]]/10</f>
        <v>1.2871651610000001E-3</v>
      </c>
      <c r="JI13" s="1">
        <f>Table15678[[#This Row],[Total_Cost_MUSD]]*Table15678[[#This Row],[prob10-failure_rating3]]/10</f>
        <v>2.8317633542000004E-4</v>
      </c>
      <c r="JJ13" s="1">
        <f>Table15678[[#This Row],[Total_Cost_MUSD]]*Table15678[[#This Row],[prob10-failure_rating4]]/10</f>
        <v>1.0297321288000002E-4</v>
      </c>
      <c r="JK13" s="1">
        <f>Table15678[[#This Row],[Total_Cost_MUSD]]*Table15678[[#This Row],[prob10-failure_rating5]]/10</f>
        <v>1.8020312254000001E-5</v>
      </c>
      <c r="JL13" s="1">
        <f>Table15678[[#This Row],[Total_Cost_MUSD]]*Table15678[[#This Row],[prob10-failure_rating6]]/10</f>
        <v>4.6337945796000004E-6</v>
      </c>
      <c r="JM13" s="1">
        <f>Table15678[[#This Row],[Total_Cost_MUSD]]*Table15678[[#This Row],[prob10-failure_rating7]]/10</f>
        <v>4.6337945796000004E-6</v>
      </c>
      <c r="JN13" s="1">
        <f>Table15678[[#This Row],[Total_Cost_MUSD]]*Table15678[[#This Row],[prob10-failure_rating8]]/10</f>
        <v>1.0297321288000001E-7</v>
      </c>
      <c r="JO13" s="1">
        <f>Table15678[[#This Row],[Total_Cost_MUSD]]*Table15678[[#This Row],[prob10-failure_rating9]]/10</f>
        <v>6.4358258050000007E-8</v>
      </c>
      <c r="JP13" s="1">
        <f>Table15678[[#This Row],[FailureCost_Rating1]]</f>
        <v>4547.9835688666672</v>
      </c>
      <c r="JQ13" s="1">
        <f>Table15678[[#This Row],[FailureCost_Rating2]]</f>
        <v>4547.9835688666672</v>
      </c>
      <c r="JR13" s="1">
        <f>(Table15678[[#This Row],[failurecost500_rating2]]+Table15678[[#This Row],[failurecost100_rating2]]+Table15678[[#This Row],[failurecost50_rating2]]+Table15678[[#This Row],[failurecost10_rating2]])*1000000</f>
        <v>4547.9835688666672</v>
      </c>
      <c r="JS13" s="1">
        <f>(Table15678[[#This Row],[failurecost500_rating3]]+Table15678[[#This Row],[failurecost100_rating3]]+Table15678[[#This Row],[failurecost50_rating3]]+Table15678[[#This Row],[failurecost10_rating3]])*1000000</f>
        <v>755.99500456066676</v>
      </c>
      <c r="JT13" s="1">
        <f>(Table15678[[#This Row],[failurecost500_rating4]]+Table15678[[#This Row],[failurecost100_rating4]]+Table15678[[#This Row],[failurecost50_rating4]]+Table15678[[#This Row],[failurecost10_rating4]])*1000000</f>
        <v>228.68634360433339</v>
      </c>
      <c r="JU13" s="1">
        <f>(Table15678[[#This Row],[failurecost500_rating5]]+Table15678[[#This Row],[failurecost100_rating5]]+Table15678[[#This Row],[failurecost50_rating5]]+Table15678[[#This Row],[failurecost10_rating5]])*1000000</f>
        <v>53.374448676133333</v>
      </c>
      <c r="JV13" s="1">
        <f>(Table15678[[#This Row],[failurecost500_rating6]]+Table15678[[#This Row],[failurecost100_rating6]]+Table15678[[#This Row],[failurecost50_rating6]]+Table15678[[#This Row],[failurecost10_rating6]])*1000000</f>
        <v>11.61022975222</v>
      </c>
      <c r="JW13" s="1">
        <f>(Table15678[[#This Row],[failurecost500_rating7]]+Table15678[[#This Row],[failurecost100_rating7]]+Table15678[[#This Row],[failurecost50_rating7]]+Table15678[[#This Row],[failurecost10_rating7]])*1000000</f>
        <v>8.2636003336200012</v>
      </c>
      <c r="JX13" s="1">
        <f>(Table15678[[#This Row],[failurecost500_rating8]]+Table15678[[#This Row],[failurecost100_rating8]]+Table15678[[#This Row],[failurecost50_rating8]]+Table15678[[#This Row],[failurecost10_rating8]])*1000000</f>
        <v>1.3163409046493335</v>
      </c>
      <c r="JY13" s="1">
        <f>(Table15678[[#This Row],[failurecost500_rating9]]+Table15678[[#This Row],[failurecost100_rating9]]+Table15678[[#This Row],[failurecost50_rating9]]+Table15678[[#This Row],[failurecost10_rating9]])*1000000</f>
        <v>0.12442596556333332</v>
      </c>
    </row>
    <row r="14" spans="1:285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Table15678[[#This Row],[Depth10_Soil_vol]]*(9.353+9.027)+(Table15678[[#This Row],[Depth10_Soil_vol]]/2.5)*20*1.053+(PI()*Table15678[[#This Row],[Depth10_Scour]])*Table15678[[#This Row],[DECK_WIDTH_MT_052]]*1.062</f>
        <v>13653.389769605932</v>
      </c>
      <c r="AR14" s="1">
        <f>Table15678[[#This Row],[Depth50_Soil_vol]]*(9.353+9.027)+(Table15678[[#This Row],[Depth50_Soil_vol]]/2.5)*20*1.053+(PI()*Table15678[[#This Row],[Depth50_Scour]])*Table15678[[#This Row],[DECK_WIDTH_MT_052]]*1.062</f>
        <v>14501.430182908143</v>
      </c>
      <c r="AS14" s="1">
        <f>Table15678[[#This Row],[Depth100_Soil_vol]]*(9.353+9.027)+(Table15678[[#This Row],[Depth100_Soil_vol]]/2.5)*20*1.053+(PI()*Table15678[[#This Row],[Depth100_Scour]])*Table15678[[#This Row],[DECK_WIDTH_MT_052]]*1.062</f>
        <v>14880.875971506524</v>
      </c>
      <c r="AT14" s="1">
        <f>Table15678[[#This Row],[Depth500_Soil_vol]]*(9.353+9.027)+(Table15678[[#This Row],[Depth500_Soil_vol]]/2.5)*20*1.053+(PI()*Table15678[[#This Row],[Depth500_Scour]])*Table15678[[#This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0.52800000000000002</v>
      </c>
      <c r="GF14" s="1">
        <v>83.517219859999997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v>74237.528764444432</v>
      </c>
      <c r="GM14" s="1">
        <v>41758.609930000006</v>
      </c>
      <c r="GN14" s="1">
        <v>26725.510355200004</v>
      </c>
      <c r="GO14" s="1">
        <v>18559.382191111108</v>
      </c>
      <c r="GP14" s="1">
        <v>13635.464466938776</v>
      </c>
      <c r="GQ14" s="1">
        <v>10439.652482500001</v>
      </c>
      <c r="GR14" s="1">
        <v>8248.6143071604929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1</v>
      </c>
      <c r="HF14" s="1">
        <v>0.01</v>
      </c>
      <c r="HG14" s="1">
        <v>1.25E-3</v>
      </c>
      <c r="HH14" s="1">
        <v>2.7500000000000002E-4</v>
      </c>
      <c r="HI14" s="1">
        <v>1E-4</v>
      </c>
      <c r="HJ14" s="1">
        <v>1.7499999999999998E-5</v>
      </c>
      <c r="HK14" s="1">
        <v>4.5000000000000001E-6</v>
      </c>
      <c r="HL14" s="1">
        <v>4.5000000000000001E-6</v>
      </c>
      <c r="HM14" s="1">
        <v>9.9999999999999995E-8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Table15678[[#This Row],[Total_Cost_MUSD]]*Table15678[[#This Row],[prob500-failure_rating1]]/500</f>
        <v>1.6703443972000001E-3</v>
      </c>
      <c r="IG14" s="1">
        <f>Table15678[[#This Row],[Total_Cost_MUSD]]*Table15678[[#This Row],[prob500-failure_rating2]]/500</f>
        <v>8.3517219860000007E-4</v>
      </c>
      <c r="IH14" s="1">
        <f>Table15678[[#This Row],[Total_Cost_MUSD]]*Table15678[[#This Row],[prob500-failure_rating3]]/500</f>
        <v>1.8373788369200001E-4</v>
      </c>
      <c r="II14" s="1">
        <f>Table15678[[#This Row],[Total_Cost_MUSD]]*Table15678[[#This Row],[prob500-failure_rating4]]/500</f>
        <v>6.6813775887999993E-5</v>
      </c>
      <c r="IJ14" s="1">
        <f>Table15678[[#This Row],[Total_Cost_MUSD]]*Table15678[[#This Row],[prob500-failure_rating5]]/500</f>
        <v>1.1692410780399998E-5</v>
      </c>
      <c r="IK14" s="1">
        <f>Table15678[[#This Row],[Total_Cost_MUSD]]*Table15678[[#This Row],[prob500-failure_rating6]]/500</f>
        <v>3.0066199149599998E-6</v>
      </c>
      <c r="IL14" s="1">
        <f>Table15678[[#This Row],[Total_Cost_MUSD]]*Table15678[[#This Row],[prob500-failure_rating7]]/500</f>
        <v>3.0066199149599998E-6</v>
      </c>
      <c r="IM14" s="1">
        <f>Table15678[[#This Row],[Total_Cost_MUSD]]*Table15678[[#This Row],[prob500-failure_rating8]]/500</f>
        <v>6.6813775887999997E-8</v>
      </c>
      <c r="IN14" s="1">
        <f>Table15678[[#This Row],[Total_Cost_MUSD]]*Table15678[[#This Row],[prob500-failure_rating9]]/500</f>
        <v>4.1758609929999998E-8</v>
      </c>
      <c r="IO14" s="1">
        <f>Table15678[[#This Row],[Total_Cost_MUSD]]*Table15678[[#This Row],[prob100-failure_rating1]]/100</f>
        <v>0.83517219860000003</v>
      </c>
      <c r="IP14" s="1">
        <f>Table15678[[#This Row],[Total_Cost_MUSD]]*Table15678[[#This Row],[prob100-failure_rating2]]/100</f>
        <v>8.3517219859999998E-3</v>
      </c>
      <c r="IQ14" s="1">
        <f>Table15678[[#This Row],[Total_Cost_MUSD]]*Table15678[[#This Row],[prob100-failure_rating3]]/100</f>
        <v>1.04396524825E-3</v>
      </c>
      <c r="IR14" s="1">
        <f>Table15678[[#This Row],[Total_Cost_MUSD]]*Table15678[[#This Row],[prob100-failure_rating4]]/100</f>
        <v>2.2967235461500001E-4</v>
      </c>
      <c r="IS14" s="1">
        <f>Table15678[[#This Row],[Total_Cost_MUSD]]*Table15678[[#This Row],[prob100-failure_rating5]]/100</f>
        <v>8.3517219860000004E-5</v>
      </c>
      <c r="IT14" s="1">
        <f>Table15678[[#This Row],[Total_Cost_MUSD]]*Table15678[[#This Row],[prob100-failure_rating6]]/100</f>
        <v>1.4615513475499998E-5</v>
      </c>
      <c r="IU14" s="1">
        <f>Table15678[[#This Row],[Total_Cost_MUSD]]*Table15678[[#This Row],[prob100-failure_rating7]]/100</f>
        <v>3.7582748936999998E-6</v>
      </c>
      <c r="IV14" s="1">
        <f>Table15678[[#This Row],[Total_Cost_MUSD]]*Table15678[[#This Row],[prob100-failure_rating8]]/100</f>
        <v>3.7582748936999998E-6</v>
      </c>
      <c r="IW14" s="1">
        <f>Table15678[[#This Row],[Total_Cost_MUSD]]*Table15678[[#This Row],[prob100-failure_rating9]]/100</f>
        <v>8.3517219859999996E-8</v>
      </c>
      <c r="IX14" s="1">
        <f>Table15678[[#This Row],[Total_Cost_MUSD]]*Table15678[[#This Row],[prob50-failure_rating1]]/50</f>
        <v>1.6703443972E-2</v>
      </c>
      <c r="IY14" s="1">
        <f>Table15678[[#This Row],[Total_Cost_MUSD]]*Table15678[[#This Row],[prob50-failure_rating2]]/50</f>
        <v>1.3919536643333334E-3</v>
      </c>
      <c r="IZ14" s="1">
        <f>Table15678[[#This Row],[Total_Cost_MUSD]]*Table15678[[#This Row],[prob50-failure_rating3]]/50</f>
        <v>3.0622980615333336E-4</v>
      </c>
      <c r="JA14" s="1">
        <f>Table15678[[#This Row],[Total_Cost_MUSD]]*Table15678[[#This Row],[prob50-failure_rating4]]/50</f>
        <v>1.1135629314666667E-4</v>
      </c>
      <c r="JB14" s="1">
        <f>Table15678[[#This Row],[Total_Cost_MUSD]]*Table15678[[#This Row],[prob50-failure_rating5]]/50</f>
        <v>1.9487351300666666E-5</v>
      </c>
      <c r="JC14" s="1">
        <f>Table15678[[#This Row],[Total_Cost_MUSD]]*Table15678[[#This Row],[prob50-failure_rating6]]/50</f>
        <v>5.0110331915999998E-6</v>
      </c>
      <c r="JD14" s="1">
        <f>Table15678[[#This Row],[Total_Cost_MUSD]]*Table15678[[#This Row],[prob50-failure_rating7]]/50</f>
        <v>5.0110331915999998E-6</v>
      </c>
      <c r="JE14" s="1">
        <f>Table15678[[#This Row],[Total_Cost_MUSD]]*Table15678[[#This Row],[prob50-failure_rating8]]/50</f>
        <v>1.1135629314666667E-7</v>
      </c>
      <c r="JF14" s="1">
        <f>Table15678[[#This Row],[Total_Cost_MUSD]]*Table15678[[#This Row],[prob50-failure_rating9]]/50</f>
        <v>6.9597683216666648E-8</v>
      </c>
      <c r="JG14" s="1">
        <f>Table15678[[#This Row],[Total_Cost_MUSD]]*Table15678[[#This Row],[prob10-failure_rating1]]/10</f>
        <v>8.3517219860000005E-2</v>
      </c>
      <c r="JH14" s="1">
        <f>Table15678[[#This Row],[Total_Cost_MUSD]]*Table15678[[#This Row],[prob10-failure_rating2]]/10</f>
        <v>4.1758609929999999E-3</v>
      </c>
      <c r="JI14" s="1">
        <f>Table15678[[#This Row],[Total_Cost_MUSD]]*Table15678[[#This Row],[prob10-failure_rating3]]/10</f>
        <v>9.1868941845999993E-4</v>
      </c>
      <c r="JJ14" s="1">
        <f>Table15678[[#This Row],[Total_Cost_MUSD]]*Table15678[[#This Row],[prob10-failure_rating4]]/10</f>
        <v>3.3406887944000002E-4</v>
      </c>
      <c r="JK14" s="1">
        <f>Table15678[[#This Row],[Total_Cost_MUSD]]*Table15678[[#This Row],[prob10-failure_rating5]]/10</f>
        <v>5.8462053901999987E-5</v>
      </c>
      <c r="JL14" s="1">
        <f>Table15678[[#This Row],[Total_Cost_MUSD]]*Table15678[[#This Row],[prob10-failure_rating6]]/10</f>
        <v>1.5033099574800001E-5</v>
      </c>
      <c r="JM14" s="1">
        <f>Table15678[[#This Row],[Total_Cost_MUSD]]*Table15678[[#This Row],[prob10-failure_rating7]]/10</f>
        <v>1.5033099574800001E-5</v>
      </c>
      <c r="JN14" s="1">
        <f>Table15678[[#This Row],[Total_Cost_MUSD]]*Table15678[[#This Row],[prob10-failure_rating8]]/10</f>
        <v>3.3406887944000004E-7</v>
      </c>
      <c r="JO14" s="1">
        <f>Table15678[[#This Row],[Total_Cost_MUSD]]*Table15678[[#This Row],[prob10-failure_rating9]]/10</f>
        <v>2.0879304964999998E-7</v>
      </c>
      <c r="JP14" s="1">
        <f>Table15678[[#This Row],[FailureCost_Rating1]]</f>
        <v>14754.708841933332</v>
      </c>
      <c r="JQ14" s="1">
        <f>Table15678[[#This Row],[FailureCost_Rating2]]</f>
        <v>14754.708841933332</v>
      </c>
      <c r="JR14" s="1">
        <f>(Table15678[[#This Row],[failurecost500_rating2]]+Table15678[[#This Row],[failurecost100_rating2]]+Table15678[[#This Row],[failurecost50_rating2]]+Table15678[[#This Row],[failurecost10_rating2]])*1000000</f>
        <v>14754.708841933332</v>
      </c>
      <c r="JS14" s="1">
        <f>(Table15678[[#This Row],[failurecost500_rating3]]+Table15678[[#This Row],[failurecost100_rating3]]+Table15678[[#This Row],[failurecost50_rating3]]+Table15678[[#This Row],[failurecost10_rating3]])*1000000</f>
        <v>2452.6223565553332</v>
      </c>
      <c r="JT14" s="1">
        <f>(Table15678[[#This Row],[failurecost500_rating4]]+Table15678[[#This Row],[failurecost100_rating4]]+Table15678[[#This Row],[failurecost50_rating4]]+Table15678[[#This Row],[failurecost10_rating4]])*1000000</f>
        <v>741.91130308966672</v>
      </c>
      <c r="JU14" s="1">
        <f>(Table15678[[#This Row],[failurecost500_rating5]]+Table15678[[#This Row],[failurecost100_rating5]]+Table15678[[#This Row],[failurecost50_rating5]]+Table15678[[#This Row],[failurecost10_rating5]])*1000000</f>
        <v>173.15903584306665</v>
      </c>
      <c r="JV14" s="1">
        <f>(Table15678[[#This Row],[failurecost500_rating6]]+Table15678[[#This Row],[failurecost100_rating6]]+Table15678[[#This Row],[failurecost50_rating6]]+Table15678[[#This Row],[failurecost10_rating6]])*1000000</f>
        <v>37.666266156860004</v>
      </c>
      <c r="JW14" s="1">
        <f>(Table15678[[#This Row],[failurecost500_rating7]]+Table15678[[#This Row],[failurecost100_rating7]]+Table15678[[#This Row],[failurecost50_rating7]]+Table15678[[#This Row],[failurecost10_rating7]])*1000000</f>
        <v>26.80902757506</v>
      </c>
      <c r="JX14" s="1">
        <f>(Table15678[[#This Row],[failurecost500_rating8]]+Table15678[[#This Row],[failurecost100_rating8]]+Table15678[[#This Row],[failurecost50_rating8]]+Table15678[[#This Row],[failurecost10_rating8]])*1000000</f>
        <v>4.2705138421746662</v>
      </c>
      <c r="JY14" s="1">
        <f>(Table15678[[#This Row],[failurecost500_rating9]]+Table15678[[#This Row],[failurecost100_rating9]]+Table15678[[#This Row],[failurecost50_rating9]]+Table15678[[#This Row],[failurecost10_rating9]])*1000000</f>
        <v>0.40366656265666662</v>
      </c>
    </row>
    <row r="15" spans="1:285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Table15678[[#This Row],[Depth10_Soil_vol]]*(9.353+9.027)+(Table15678[[#This Row],[Depth10_Soil_vol]]/2.5)*20*1.053+(PI()*Table15678[[#This Row],[Depth10_Scour]])*Table15678[[#This Row],[DECK_WIDTH_MT_052]]*1.062</f>
        <v>9589.4503766877388</v>
      </c>
      <c r="AR15" s="1">
        <f>Table15678[[#This Row],[Depth50_Soil_vol]]*(9.353+9.027)+(Table15678[[#This Row],[Depth50_Soil_vol]]/2.5)*20*1.053+(PI()*Table15678[[#This Row],[Depth50_Scour]])*Table15678[[#This Row],[DECK_WIDTH_MT_052]]*1.062</f>
        <v>10089.839206196759</v>
      </c>
      <c r="AS15" s="1">
        <f>Table15678[[#This Row],[Depth100_Soil_vol]]*(9.353+9.027)+(Table15678[[#This Row],[Depth100_Soil_vol]]/2.5)*20*1.053+(PI()*Table15678[[#This Row],[Depth100_Scour]])*Table15678[[#This Row],[DECK_WIDTH_MT_052]]*1.062</f>
        <v>10312.30726316059</v>
      </c>
      <c r="AT15" s="1">
        <f>Table15678[[#This Row],[Depth500_Soil_vol]]*(9.353+9.027)+(Table15678[[#This Row],[Depth500_Soil_vol]]/2.5)*20*1.053+(PI()*Table15678[[#This Row],[Depth500_Scour]])*Table15678[[#This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0.66</v>
      </c>
      <c r="GF15" s="1">
        <v>51.219814960000001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v>45528.724408888891</v>
      </c>
      <c r="GM15" s="1">
        <v>25609.907479999998</v>
      </c>
      <c r="GN15" s="1">
        <v>16390.340787200003</v>
      </c>
      <c r="GO15" s="1">
        <v>11382.181102222223</v>
      </c>
      <c r="GP15" s="1">
        <v>8362.4187689795926</v>
      </c>
      <c r="GQ15" s="1">
        <v>6402.4768699999995</v>
      </c>
      <c r="GR15" s="1">
        <v>5058.7471565432097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1</v>
      </c>
      <c r="HF15" s="1">
        <v>0.01</v>
      </c>
      <c r="HG15" s="1">
        <v>1.25E-3</v>
      </c>
      <c r="HH15" s="1">
        <v>2.7500000000000002E-4</v>
      </c>
      <c r="HI15" s="1">
        <v>1E-4</v>
      </c>
      <c r="HJ15" s="1">
        <v>1.7499999999999998E-5</v>
      </c>
      <c r="HK15" s="1">
        <v>4.5000000000000001E-6</v>
      </c>
      <c r="HL15" s="1">
        <v>4.5000000000000001E-6</v>
      </c>
      <c r="HM15" s="1">
        <v>9.9999999999999995E-8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Table15678[[#This Row],[Total_Cost_MUSD]]*Table15678[[#This Row],[prob500-failure_rating1]]/500</f>
        <v>1.0243962992E-3</v>
      </c>
      <c r="IG15" s="1">
        <f>Table15678[[#This Row],[Total_Cost_MUSD]]*Table15678[[#This Row],[prob500-failure_rating2]]/500</f>
        <v>5.1219814959999998E-4</v>
      </c>
      <c r="IH15" s="1">
        <f>Table15678[[#This Row],[Total_Cost_MUSD]]*Table15678[[#This Row],[prob500-failure_rating3]]/500</f>
        <v>1.1268359291200001E-4</v>
      </c>
      <c r="II15" s="1">
        <f>Table15678[[#This Row],[Total_Cost_MUSD]]*Table15678[[#This Row],[prob500-failure_rating4]]/500</f>
        <v>4.0975851968E-5</v>
      </c>
      <c r="IJ15" s="1">
        <f>Table15678[[#This Row],[Total_Cost_MUSD]]*Table15678[[#This Row],[prob500-failure_rating5]]/500</f>
        <v>7.1707740943999997E-6</v>
      </c>
      <c r="IK15" s="1">
        <f>Table15678[[#This Row],[Total_Cost_MUSD]]*Table15678[[#This Row],[prob500-failure_rating6]]/500</f>
        <v>1.8439133385600001E-6</v>
      </c>
      <c r="IL15" s="1">
        <f>Table15678[[#This Row],[Total_Cost_MUSD]]*Table15678[[#This Row],[prob500-failure_rating7]]/500</f>
        <v>1.8439133385600001E-6</v>
      </c>
      <c r="IM15" s="1">
        <f>Table15678[[#This Row],[Total_Cost_MUSD]]*Table15678[[#This Row],[prob500-failure_rating8]]/500</f>
        <v>4.0975851968000003E-8</v>
      </c>
      <c r="IN15" s="1">
        <f>Table15678[[#This Row],[Total_Cost_MUSD]]*Table15678[[#This Row],[prob500-failure_rating9]]/500</f>
        <v>2.5609907479999998E-8</v>
      </c>
      <c r="IO15" s="1">
        <f>Table15678[[#This Row],[Total_Cost_MUSD]]*Table15678[[#This Row],[prob100-failure_rating1]]/100</f>
        <v>0.51219814959999999</v>
      </c>
      <c r="IP15" s="1">
        <f>Table15678[[#This Row],[Total_Cost_MUSD]]*Table15678[[#This Row],[prob100-failure_rating2]]/100</f>
        <v>5.121981496E-3</v>
      </c>
      <c r="IQ15" s="1">
        <f>Table15678[[#This Row],[Total_Cost_MUSD]]*Table15678[[#This Row],[prob100-failure_rating3]]/100</f>
        <v>6.40247687E-4</v>
      </c>
      <c r="IR15" s="1">
        <f>Table15678[[#This Row],[Total_Cost_MUSD]]*Table15678[[#This Row],[prob100-failure_rating4]]/100</f>
        <v>1.4085449114E-4</v>
      </c>
      <c r="IS15" s="1">
        <f>Table15678[[#This Row],[Total_Cost_MUSD]]*Table15678[[#This Row],[prob100-failure_rating5]]/100</f>
        <v>5.1219814960000002E-5</v>
      </c>
      <c r="IT15" s="1">
        <f>Table15678[[#This Row],[Total_Cost_MUSD]]*Table15678[[#This Row],[prob100-failure_rating6]]/100</f>
        <v>8.9634676179999999E-6</v>
      </c>
      <c r="IU15" s="1">
        <f>Table15678[[#This Row],[Total_Cost_MUSD]]*Table15678[[#This Row],[prob100-failure_rating7]]/100</f>
        <v>2.3048916732000001E-6</v>
      </c>
      <c r="IV15" s="1">
        <f>Table15678[[#This Row],[Total_Cost_MUSD]]*Table15678[[#This Row],[prob100-failure_rating8]]/100</f>
        <v>2.3048916732000001E-6</v>
      </c>
      <c r="IW15" s="1">
        <f>Table15678[[#This Row],[Total_Cost_MUSD]]*Table15678[[#This Row],[prob100-failure_rating9]]/100</f>
        <v>5.1219814960000003E-8</v>
      </c>
      <c r="IX15" s="1">
        <f>Table15678[[#This Row],[Total_Cost_MUSD]]*Table15678[[#This Row],[prob50-failure_rating1]]/50</f>
        <v>1.0243962992E-2</v>
      </c>
      <c r="IY15" s="1">
        <f>Table15678[[#This Row],[Total_Cost_MUSD]]*Table15678[[#This Row],[prob50-failure_rating2]]/50</f>
        <v>8.5366358266666682E-4</v>
      </c>
      <c r="IZ15" s="1">
        <f>Table15678[[#This Row],[Total_Cost_MUSD]]*Table15678[[#This Row],[prob50-failure_rating3]]/50</f>
        <v>1.8780598818666667E-4</v>
      </c>
      <c r="JA15" s="1">
        <f>Table15678[[#This Row],[Total_Cost_MUSD]]*Table15678[[#This Row],[prob50-failure_rating4]]/50</f>
        <v>6.8293086613333332E-5</v>
      </c>
      <c r="JB15" s="1">
        <f>Table15678[[#This Row],[Total_Cost_MUSD]]*Table15678[[#This Row],[prob50-failure_rating5]]/50</f>
        <v>1.1951290157333334E-5</v>
      </c>
      <c r="JC15" s="1">
        <f>Table15678[[#This Row],[Total_Cost_MUSD]]*Table15678[[#This Row],[prob50-failure_rating6]]/50</f>
        <v>3.0731888975999999E-6</v>
      </c>
      <c r="JD15" s="1">
        <f>Table15678[[#This Row],[Total_Cost_MUSD]]*Table15678[[#This Row],[prob50-failure_rating7]]/50</f>
        <v>3.0731888975999999E-6</v>
      </c>
      <c r="JE15" s="1">
        <f>Table15678[[#This Row],[Total_Cost_MUSD]]*Table15678[[#This Row],[prob50-failure_rating8]]/50</f>
        <v>6.8293086613333337E-8</v>
      </c>
      <c r="JF15" s="1">
        <f>Table15678[[#This Row],[Total_Cost_MUSD]]*Table15678[[#This Row],[prob50-failure_rating9]]/50</f>
        <v>4.2683179133333336E-8</v>
      </c>
      <c r="JG15" s="1">
        <f>Table15678[[#This Row],[Total_Cost_MUSD]]*Table15678[[#This Row],[prob10-failure_rating1]]/10</f>
        <v>5.1219814959999999E-2</v>
      </c>
      <c r="JH15" s="1">
        <f>Table15678[[#This Row],[Total_Cost_MUSD]]*Table15678[[#This Row],[prob10-failure_rating2]]/10</f>
        <v>2.560990748E-3</v>
      </c>
      <c r="JI15" s="1">
        <f>Table15678[[#This Row],[Total_Cost_MUSD]]*Table15678[[#This Row],[prob10-failure_rating3]]/10</f>
        <v>5.6341796455999999E-4</v>
      </c>
      <c r="JJ15" s="1">
        <f>Table15678[[#This Row],[Total_Cost_MUSD]]*Table15678[[#This Row],[prob10-failure_rating4]]/10</f>
        <v>2.0487925984000004E-4</v>
      </c>
      <c r="JK15" s="1">
        <f>Table15678[[#This Row],[Total_Cost_MUSD]]*Table15678[[#This Row],[prob10-failure_rating5]]/10</f>
        <v>3.5853870471999993E-5</v>
      </c>
      <c r="JL15" s="1">
        <f>Table15678[[#This Row],[Total_Cost_MUSD]]*Table15678[[#This Row],[prob10-failure_rating6]]/10</f>
        <v>9.2195666928000003E-6</v>
      </c>
      <c r="JM15" s="1">
        <f>Table15678[[#This Row],[Total_Cost_MUSD]]*Table15678[[#This Row],[prob10-failure_rating7]]/10</f>
        <v>9.2195666928000003E-6</v>
      </c>
      <c r="JN15" s="1">
        <f>Table15678[[#This Row],[Total_Cost_MUSD]]*Table15678[[#This Row],[prob10-failure_rating8]]/10</f>
        <v>2.0487925984000001E-7</v>
      </c>
      <c r="JO15" s="1">
        <f>Table15678[[#This Row],[Total_Cost_MUSD]]*Table15678[[#This Row],[prob10-failure_rating9]]/10</f>
        <v>1.2804953740000001E-7</v>
      </c>
      <c r="JP15" s="1">
        <f>Table15678[[#This Row],[FailureCost_Rating1]]</f>
        <v>9048.8339762666674</v>
      </c>
      <c r="JQ15" s="1">
        <f>Table15678[[#This Row],[FailureCost_Rating2]]</f>
        <v>9048.8339762666674</v>
      </c>
      <c r="JR15" s="1">
        <f>(Table15678[[#This Row],[failurecost500_rating2]]+Table15678[[#This Row],[failurecost100_rating2]]+Table15678[[#This Row],[failurecost50_rating2]]+Table15678[[#This Row],[failurecost10_rating2]])*1000000</f>
        <v>9048.8339762666674</v>
      </c>
      <c r="JS15" s="1">
        <f>(Table15678[[#This Row],[failurecost500_rating3]]+Table15678[[#This Row],[failurecost100_rating3]]+Table15678[[#This Row],[failurecost50_rating3]]+Table15678[[#This Row],[failurecost10_rating3]])*1000000</f>
        <v>1504.1552326586668</v>
      </c>
      <c r="JT15" s="1">
        <f>(Table15678[[#This Row],[failurecost500_rating4]]+Table15678[[#This Row],[failurecost100_rating4]]+Table15678[[#This Row],[failurecost50_rating4]]+Table15678[[#This Row],[failurecost10_rating4]])*1000000</f>
        <v>455.00268956133334</v>
      </c>
      <c r="JU15" s="1">
        <f>(Table15678[[#This Row],[failurecost500_rating5]]+Table15678[[#This Row],[failurecost100_rating5]]+Table15678[[#This Row],[failurecost50_rating5]]+Table15678[[#This Row],[failurecost10_rating5]])*1000000</f>
        <v>106.19574968373333</v>
      </c>
      <c r="JV15" s="1">
        <f>(Table15678[[#This Row],[failurecost500_rating6]]+Table15678[[#This Row],[failurecost100_rating6]]+Table15678[[#This Row],[failurecost50_rating6]]+Table15678[[#This Row],[failurecost10_rating6]])*1000000</f>
        <v>23.100136546960002</v>
      </c>
      <c r="JW15" s="1">
        <f>(Table15678[[#This Row],[failurecost500_rating7]]+Table15678[[#This Row],[failurecost100_rating7]]+Table15678[[#This Row],[failurecost50_rating7]]+Table15678[[#This Row],[failurecost10_rating7]])*1000000</f>
        <v>16.441560602159999</v>
      </c>
      <c r="JX15" s="1">
        <f>(Table15678[[#This Row],[failurecost500_rating8]]+Table15678[[#This Row],[failurecost100_rating8]]+Table15678[[#This Row],[failurecost50_rating8]]+Table15678[[#This Row],[failurecost10_rating8]])*1000000</f>
        <v>2.6190398716213337</v>
      </c>
      <c r="JY15" s="1">
        <f>(Table15678[[#This Row],[failurecost500_rating9]]+Table15678[[#This Row],[failurecost100_rating9]]+Table15678[[#This Row],[failurecost50_rating9]]+Table15678[[#This Row],[failurecost10_rating9]])*1000000</f>
        <v>0.24756243897333338</v>
      </c>
    </row>
    <row r="16" spans="1:285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Table15678[[#This Row],[Depth10_Soil_vol]]*(9.353+9.027)+(Table15678[[#This Row],[Depth10_Soil_vol]]/2.5)*20*1.053+(PI()*Table15678[[#This Row],[Depth10_Scour]])*Table15678[[#This Row],[DECK_WIDTH_MT_052]]*1.062</f>
        <v>6758.7093437956364</v>
      </c>
      <c r="AR16" s="1">
        <f>Table15678[[#This Row],[Depth50_Soil_vol]]*(9.353+9.027)+(Table15678[[#This Row],[Depth50_Soil_vol]]/2.5)*20*1.053+(PI()*Table15678[[#This Row],[Depth50_Scour]])*Table15678[[#This Row],[DECK_WIDTH_MT_052]]*1.062</f>
        <v>7157.860599196707</v>
      </c>
      <c r="AS16" s="1">
        <f>Table15678[[#This Row],[Depth100_Soil_vol]]*(9.353+9.027)+(Table15678[[#This Row],[Depth100_Soil_vol]]/2.5)*20*1.053+(PI()*Table15678[[#This Row],[Depth100_Scour]])*Table15678[[#This Row],[DECK_WIDTH_MT_052]]*1.062</f>
        <v>7335.7235370312192</v>
      </c>
      <c r="AT16" s="1">
        <f>Table15678[[#This Row],[Depth500_Soil_vol]]*(9.353+9.027)+(Table15678[[#This Row],[Depth500_Soil_vol]]/2.5)*20*1.053+(PI()*Table15678[[#This Row],[Depth500_Scour]])*Table15678[[#This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0.66</v>
      </c>
      <c r="GF16" s="1">
        <v>73.969602710000004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v>65750.757964444449</v>
      </c>
      <c r="GM16" s="1">
        <v>36984.801354999996</v>
      </c>
      <c r="GN16" s="1">
        <v>23670.272867200001</v>
      </c>
      <c r="GO16" s="1">
        <v>16437.689491111112</v>
      </c>
      <c r="GP16" s="1">
        <v>12076.669830204082</v>
      </c>
      <c r="GQ16" s="1">
        <v>9246.200338749999</v>
      </c>
      <c r="GR16" s="1">
        <v>7305.6397738271608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1</v>
      </c>
      <c r="HF16" s="1">
        <v>0.01</v>
      </c>
      <c r="HG16" s="1">
        <v>1.25E-3</v>
      </c>
      <c r="HH16" s="1">
        <v>2.7500000000000002E-4</v>
      </c>
      <c r="HI16" s="1">
        <v>1E-4</v>
      </c>
      <c r="HJ16" s="1">
        <v>1.7499999999999998E-5</v>
      </c>
      <c r="HK16" s="1">
        <v>4.5000000000000001E-6</v>
      </c>
      <c r="HL16" s="1">
        <v>4.5000000000000001E-6</v>
      </c>
      <c r="HM16" s="1">
        <v>9.9999999999999995E-8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Table15678[[#This Row],[Total_Cost_MUSD]]*Table15678[[#This Row],[prob500-failure_rating1]]/500</f>
        <v>1.4793920542000001E-3</v>
      </c>
      <c r="IG16" s="1">
        <f>Table15678[[#This Row],[Total_Cost_MUSD]]*Table15678[[#This Row],[prob500-failure_rating2]]/500</f>
        <v>7.3969602710000006E-4</v>
      </c>
      <c r="IH16" s="1">
        <f>Table15678[[#This Row],[Total_Cost_MUSD]]*Table15678[[#This Row],[prob500-failure_rating3]]/500</f>
        <v>1.62733125962E-4</v>
      </c>
      <c r="II16" s="1">
        <f>Table15678[[#This Row],[Total_Cost_MUSD]]*Table15678[[#This Row],[prob500-failure_rating4]]/500</f>
        <v>5.9175682168E-5</v>
      </c>
      <c r="IJ16" s="1">
        <f>Table15678[[#This Row],[Total_Cost_MUSD]]*Table15678[[#This Row],[prob500-failure_rating5]]/500</f>
        <v>1.0355744379399999E-5</v>
      </c>
      <c r="IK16" s="1">
        <f>Table15678[[#This Row],[Total_Cost_MUSD]]*Table15678[[#This Row],[prob500-failure_rating6]]/500</f>
        <v>2.6629056975600003E-6</v>
      </c>
      <c r="IL16" s="1">
        <f>Table15678[[#This Row],[Total_Cost_MUSD]]*Table15678[[#This Row],[prob500-failure_rating7]]/500</f>
        <v>2.6629056975600003E-6</v>
      </c>
      <c r="IM16" s="1">
        <f>Table15678[[#This Row],[Total_Cost_MUSD]]*Table15678[[#This Row],[prob500-failure_rating8]]/500</f>
        <v>5.9175682168000003E-8</v>
      </c>
      <c r="IN16" s="1">
        <f>Table15678[[#This Row],[Total_Cost_MUSD]]*Table15678[[#This Row],[prob500-failure_rating9]]/500</f>
        <v>3.6984801355000001E-8</v>
      </c>
      <c r="IO16" s="1">
        <f>Table15678[[#This Row],[Total_Cost_MUSD]]*Table15678[[#This Row],[prob100-failure_rating1]]/100</f>
        <v>0.73969602710000004</v>
      </c>
      <c r="IP16" s="1">
        <f>Table15678[[#This Row],[Total_Cost_MUSD]]*Table15678[[#This Row],[prob100-failure_rating2]]/100</f>
        <v>7.3969602710000004E-3</v>
      </c>
      <c r="IQ16" s="1">
        <f>Table15678[[#This Row],[Total_Cost_MUSD]]*Table15678[[#This Row],[prob100-failure_rating3]]/100</f>
        <v>9.2462003387500005E-4</v>
      </c>
      <c r="IR16" s="1">
        <f>Table15678[[#This Row],[Total_Cost_MUSD]]*Table15678[[#This Row],[prob100-failure_rating4]]/100</f>
        <v>2.0341640745250001E-4</v>
      </c>
      <c r="IS16" s="1">
        <f>Table15678[[#This Row],[Total_Cost_MUSD]]*Table15678[[#This Row],[prob100-failure_rating5]]/100</f>
        <v>7.3969602710000001E-5</v>
      </c>
      <c r="IT16" s="1">
        <f>Table15678[[#This Row],[Total_Cost_MUSD]]*Table15678[[#This Row],[prob100-failure_rating6]]/100</f>
        <v>1.2944680474249998E-5</v>
      </c>
      <c r="IU16" s="1">
        <f>Table15678[[#This Row],[Total_Cost_MUSD]]*Table15678[[#This Row],[prob100-failure_rating7]]/100</f>
        <v>3.3286321219500005E-6</v>
      </c>
      <c r="IV16" s="1">
        <f>Table15678[[#This Row],[Total_Cost_MUSD]]*Table15678[[#This Row],[prob100-failure_rating8]]/100</f>
        <v>3.3286321219500005E-6</v>
      </c>
      <c r="IW16" s="1">
        <f>Table15678[[#This Row],[Total_Cost_MUSD]]*Table15678[[#This Row],[prob100-failure_rating9]]/100</f>
        <v>7.3969602710000002E-8</v>
      </c>
      <c r="IX16" s="1">
        <f>Table15678[[#This Row],[Total_Cost_MUSD]]*Table15678[[#This Row],[prob50-failure_rating1]]/50</f>
        <v>1.4793920542000001E-2</v>
      </c>
      <c r="IY16" s="1">
        <f>Table15678[[#This Row],[Total_Cost_MUSD]]*Table15678[[#This Row],[prob50-failure_rating2]]/50</f>
        <v>1.2328267118333334E-3</v>
      </c>
      <c r="IZ16" s="1">
        <f>Table15678[[#This Row],[Total_Cost_MUSD]]*Table15678[[#This Row],[prob50-failure_rating3]]/50</f>
        <v>2.7122187660333336E-4</v>
      </c>
      <c r="JA16" s="1">
        <f>Table15678[[#This Row],[Total_Cost_MUSD]]*Table15678[[#This Row],[prob50-failure_rating4]]/50</f>
        <v>9.8626136946666667E-5</v>
      </c>
      <c r="JB16" s="1">
        <f>Table15678[[#This Row],[Total_Cost_MUSD]]*Table15678[[#This Row],[prob50-failure_rating5]]/50</f>
        <v>1.7259573965666667E-5</v>
      </c>
      <c r="JC16" s="1">
        <f>Table15678[[#This Row],[Total_Cost_MUSD]]*Table15678[[#This Row],[prob50-failure_rating6]]/50</f>
        <v>4.4381761626000007E-6</v>
      </c>
      <c r="JD16" s="1">
        <f>Table15678[[#This Row],[Total_Cost_MUSD]]*Table15678[[#This Row],[prob50-failure_rating7]]/50</f>
        <v>4.4381761626000007E-6</v>
      </c>
      <c r="JE16" s="1">
        <f>Table15678[[#This Row],[Total_Cost_MUSD]]*Table15678[[#This Row],[prob50-failure_rating8]]/50</f>
        <v>9.862613694666667E-8</v>
      </c>
      <c r="JF16" s="1">
        <f>Table15678[[#This Row],[Total_Cost_MUSD]]*Table15678[[#This Row],[prob50-failure_rating9]]/50</f>
        <v>6.1641335591666662E-8</v>
      </c>
      <c r="JG16" s="1">
        <f>Table15678[[#This Row],[Total_Cost_MUSD]]*Table15678[[#This Row],[prob10-failure_rating1]]/10</f>
        <v>7.3969602709999999E-2</v>
      </c>
      <c r="JH16" s="1">
        <f>Table15678[[#This Row],[Total_Cost_MUSD]]*Table15678[[#This Row],[prob10-failure_rating2]]/10</f>
        <v>3.6984801354999998E-3</v>
      </c>
      <c r="JI16" s="1">
        <f>Table15678[[#This Row],[Total_Cost_MUSD]]*Table15678[[#This Row],[prob10-failure_rating3]]/10</f>
        <v>8.1366562981000003E-4</v>
      </c>
      <c r="JJ16" s="1">
        <f>Table15678[[#This Row],[Total_Cost_MUSD]]*Table15678[[#This Row],[prob10-failure_rating4]]/10</f>
        <v>2.9587841084E-4</v>
      </c>
      <c r="JK16" s="1">
        <f>Table15678[[#This Row],[Total_Cost_MUSD]]*Table15678[[#This Row],[prob10-failure_rating5]]/10</f>
        <v>5.1778721896999994E-5</v>
      </c>
      <c r="JL16" s="1">
        <f>Table15678[[#This Row],[Total_Cost_MUSD]]*Table15678[[#This Row],[prob10-failure_rating6]]/10</f>
        <v>1.3314528487800002E-5</v>
      </c>
      <c r="JM16" s="1">
        <f>Table15678[[#This Row],[Total_Cost_MUSD]]*Table15678[[#This Row],[prob10-failure_rating7]]/10</f>
        <v>1.3314528487800002E-5</v>
      </c>
      <c r="JN16" s="1">
        <f>Table15678[[#This Row],[Total_Cost_MUSD]]*Table15678[[#This Row],[prob10-failure_rating8]]/10</f>
        <v>2.9587841084000001E-7</v>
      </c>
      <c r="JO16" s="1">
        <f>Table15678[[#This Row],[Total_Cost_MUSD]]*Table15678[[#This Row],[prob10-failure_rating9]]/10</f>
        <v>1.8492400677500001E-7</v>
      </c>
      <c r="JP16" s="1">
        <f>Table15678[[#This Row],[FailureCost_Rating1]]</f>
        <v>13067.963145433334</v>
      </c>
      <c r="JQ16" s="1">
        <f>Table15678[[#This Row],[FailureCost_Rating2]]</f>
        <v>13067.963145433334</v>
      </c>
      <c r="JR16" s="1">
        <f>(Table15678[[#This Row],[failurecost500_rating2]]+Table15678[[#This Row],[failurecost100_rating2]]+Table15678[[#This Row],[failurecost50_rating2]]+Table15678[[#This Row],[failurecost10_rating2]])*1000000</f>
        <v>13067.963145433334</v>
      </c>
      <c r="JS16" s="1">
        <f>(Table15678[[#This Row],[failurecost500_rating3]]+Table15678[[#This Row],[failurecost100_rating3]]+Table15678[[#This Row],[failurecost50_rating3]]+Table15678[[#This Row],[failurecost10_rating3]])*1000000</f>
        <v>2172.2406662503331</v>
      </c>
      <c r="JT16" s="1">
        <f>(Table15678[[#This Row],[failurecost500_rating4]]+Table15678[[#This Row],[failurecost100_rating4]]+Table15678[[#This Row],[failurecost50_rating4]]+Table15678[[#This Row],[failurecost10_rating4]])*1000000</f>
        <v>657.09663740716667</v>
      </c>
      <c r="JU16" s="1">
        <f>(Table15678[[#This Row],[failurecost500_rating5]]+Table15678[[#This Row],[failurecost100_rating5]]+Table15678[[#This Row],[failurecost50_rating5]]+Table15678[[#This Row],[failurecost10_rating5]])*1000000</f>
        <v>153.36364295206667</v>
      </c>
      <c r="JV16" s="1">
        <f>(Table15678[[#This Row],[failurecost500_rating6]]+Table15678[[#This Row],[failurecost100_rating6]]+Table15678[[#This Row],[failurecost50_rating6]]+Table15678[[#This Row],[failurecost10_rating6]])*1000000</f>
        <v>33.360290822210004</v>
      </c>
      <c r="JW16" s="1">
        <f>(Table15678[[#This Row],[failurecost500_rating7]]+Table15678[[#This Row],[failurecost100_rating7]]+Table15678[[#This Row],[failurecost50_rating7]]+Table15678[[#This Row],[failurecost10_rating7]])*1000000</f>
        <v>23.744242469910002</v>
      </c>
      <c r="JX16" s="1">
        <f>(Table15678[[#This Row],[failurecost500_rating8]]+Table15678[[#This Row],[failurecost100_rating8]]+Table15678[[#This Row],[failurecost50_rating8]]+Table15678[[#This Row],[failurecost10_rating8]])*1000000</f>
        <v>3.7823123519046669</v>
      </c>
      <c r="JY16" s="1">
        <f>(Table15678[[#This Row],[failurecost500_rating9]]+Table15678[[#This Row],[failurecost100_rating9]]+Table15678[[#This Row],[failurecost50_rating9]]+Table15678[[#This Row],[failurecost10_rating9]])*1000000</f>
        <v>0.35751974643166662</v>
      </c>
    </row>
    <row r="17" spans="1:285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Table15678[[#This Row],[Depth10_Soil_vol]]*(9.353+9.027)+(Table15678[[#This Row],[Depth10_Soil_vol]]/2.5)*20*1.053+(PI()*Table15678[[#This Row],[Depth10_Scour]])*Table15678[[#This Row],[DECK_WIDTH_MT_052]]*1.062</f>
        <v>0</v>
      </c>
      <c r="AR17" s="1">
        <f>Table15678[[#This Row],[Depth50_Soil_vol]]*(9.353+9.027)+(Table15678[[#This Row],[Depth50_Soil_vol]]/2.5)*20*1.053+(PI()*Table15678[[#This Row],[Depth50_Scour]])*Table15678[[#This Row],[DECK_WIDTH_MT_052]]*1.062</f>
        <v>73.925295948361111</v>
      </c>
      <c r="AS17" s="1">
        <f>Table15678[[#This Row],[Depth100_Soil_vol]]*(9.353+9.027)+(Table15678[[#This Row],[Depth100_Soil_vol]]/2.5)*20*1.053+(PI()*Table15678[[#This Row],[Depth100_Scour]])*Table15678[[#This Row],[DECK_WIDTH_MT_052]]*1.062</f>
        <v>101.29876563204503</v>
      </c>
      <c r="AT17" s="1">
        <f>Table15678[[#This Row],[Depth500_Soil_vol]]*(9.353+9.027)+(Table15678[[#This Row],[Depth500_Soil_vol]]/2.5)*20*1.053+(PI()*Table15678[[#This Row],[Depth500_Scour]])*Table15678[[#This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0.22800000000000001</v>
      </c>
      <c r="GF17" s="1">
        <v>8.343465471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v>7416.4137519999995</v>
      </c>
      <c r="GM17" s="1">
        <v>4171.7327355000007</v>
      </c>
      <c r="GN17" s="1">
        <v>2669.9089507200001</v>
      </c>
      <c r="GO17" s="1">
        <v>1854.1034379999999</v>
      </c>
      <c r="GP17" s="1">
        <v>1362.1984442448979</v>
      </c>
      <c r="GQ17" s="1">
        <v>1042.9331838750002</v>
      </c>
      <c r="GR17" s="1">
        <v>824.04597244444449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1</v>
      </c>
      <c r="HF17" s="1">
        <v>0.01</v>
      </c>
      <c r="HG17" s="1">
        <v>1.25E-3</v>
      </c>
      <c r="HH17" s="1">
        <v>2.7500000000000002E-4</v>
      </c>
      <c r="HI17" s="1">
        <v>1E-4</v>
      </c>
      <c r="HJ17" s="1">
        <v>1.7499999999999998E-5</v>
      </c>
      <c r="HK17" s="1">
        <v>4.5000000000000001E-6</v>
      </c>
      <c r="HL17" s="1">
        <v>4.5000000000000001E-6</v>
      </c>
      <c r="HM17" s="1">
        <v>9.9999999999999995E-8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Table15678[[#This Row],[Total_Cost_MUSD]]*Table15678[[#This Row],[prob500-failure_rating1]]/500</f>
        <v>1.6686930942E-4</v>
      </c>
      <c r="IG17" s="1">
        <f>Table15678[[#This Row],[Total_Cost_MUSD]]*Table15678[[#This Row],[prob500-failure_rating2]]/500</f>
        <v>8.3434654710000001E-5</v>
      </c>
      <c r="IH17" s="1">
        <f>Table15678[[#This Row],[Total_Cost_MUSD]]*Table15678[[#This Row],[prob500-failure_rating3]]/500</f>
        <v>1.8355624036200003E-5</v>
      </c>
      <c r="II17" s="1">
        <f>Table15678[[#This Row],[Total_Cost_MUSD]]*Table15678[[#This Row],[prob500-failure_rating4]]/500</f>
        <v>6.6747723768000004E-6</v>
      </c>
      <c r="IJ17" s="1">
        <f>Table15678[[#This Row],[Total_Cost_MUSD]]*Table15678[[#This Row],[prob500-failure_rating5]]/500</f>
        <v>1.1680851659399999E-6</v>
      </c>
      <c r="IK17" s="1">
        <f>Table15678[[#This Row],[Total_Cost_MUSD]]*Table15678[[#This Row],[prob500-failure_rating6]]/500</f>
        <v>3.00364756956E-7</v>
      </c>
      <c r="IL17" s="1">
        <f>Table15678[[#This Row],[Total_Cost_MUSD]]*Table15678[[#This Row],[prob500-failure_rating7]]/500</f>
        <v>3.00364756956E-7</v>
      </c>
      <c r="IM17" s="1">
        <f>Table15678[[#This Row],[Total_Cost_MUSD]]*Table15678[[#This Row],[prob500-failure_rating8]]/500</f>
        <v>6.6747723767999996E-9</v>
      </c>
      <c r="IN17" s="1">
        <f>Table15678[[#This Row],[Total_Cost_MUSD]]*Table15678[[#This Row],[prob500-failure_rating9]]/500</f>
        <v>4.1717327355000004E-9</v>
      </c>
      <c r="IO17" s="1">
        <f>Table15678[[#This Row],[Total_Cost_MUSD]]*Table15678[[#This Row],[prob100-failure_rating1]]/100</f>
        <v>8.343465471E-2</v>
      </c>
      <c r="IP17" s="1">
        <f>Table15678[[#This Row],[Total_Cost_MUSD]]*Table15678[[#This Row],[prob100-failure_rating2]]/100</f>
        <v>8.3434654709999998E-4</v>
      </c>
      <c r="IQ17" s="1">
        <f>Table15678[[#This Row],[Total_Cost_MUSD]]*Table15678[[#This Row],[prob100-failure_rating3]]/100</f>
        <v>1.042933183875E-4</v>
      </c>
      <c r="IR17" s="1">
        <f>Table15678[[#This Row],[Total_Cost_MUSD]]*Table15678[[#This Row],[prob100-failure_rating4]]/100</f>
        <v>2.2944530045250003E-5</v>
      </c>
      <c r="IS17" s="1">
        <f>Table15678[[#This Row],[Total_Cost_MUSD]]*Table15678[[#This Row],[prob100-failure_rating5]]/100</f>
        <v>8.3434654710000005E-6</v>
      </c>
      <c r="IT17" s="1">
        <f>Table15678[[#This Row],[Total_Cost_MUSD]]*Table15678[[#This Row],[prob100-failure_rating6]]/100</f>
        <v>1.4601064574249999E-6</v>
      </c>
      <c r="IU17" s="1">
        <f>Table15678[[#This Row],[Total_Cost_MUSD]]*Table15678[[#This Row],[prob100-failure_rating7]]/100</f>
        <v>3.7545594619500002E-7</v>
      </c>
      <c r="IV17" s="1">
        <f>Table15678[[#This Row],[Total_Cost_MUSD]]*Table15678[[#This Row],[prob100-failure_rating8]]/100</f>
        <v>3.7545594619500002E-7</v>
      </c>
      <c r="IW17" s="1">
        <f>Table15678[[#This Row],[Total_Cost_MUSD]]*Table15678[[#This Row],[prob100-failure_rating9]]/100</f>
        <v>8.3434654709999991E-9</v>
      </c>
      <c r="IX17" s="1">
        <f>Table15678[[#This Row],[Total_Cost_MUSD]]*Table15678[[#This Row],[prob50-failure_rating1]]/50</f>
        <v>1.6686930942E-3</v>
      </c>
      <c r="IY17" s="1">
        <f>Table15678[[#This Row],[Total_Cost_MUSD]]*Table15678[[#This Row],[prob50-failure_rating2]]/50</f>
        <v>1.3905775785000001E-4</v>
      </c>
      <c r="IZ17" s="1">
        <f>Table15678[[#This Row],[Total_Cost_MUSD]]*Table15678[[#This Row],[prob50-failure_rating3]]/50</f>
        <v>3.0592706727000002E-5</v>
      </c>
      <c r="JA17" s="1">
        <f>Table15678[[#This Row],[Total_Cost_MUSD]]*Table15678[[#This Row],[prob50-failure_rating4]]/50</f>
        <v>1.1124620628E-5</v>
      </c>
      <c r="JB17" s="1">
        <f>Table15678[[#This Row],[Total_Cost_MUSD]]*Table15678[[#This Row],[prob50-failure_rating5]]/50</f>
        <v>1.9468086099E-6</v>
      </c>
      <c r="JC17" s="1">
        <f>Table15678[[#This Row],[Total_Cost_MUSD]]*Table15678[[#This Row],[prob50-failure_rating6]]/50</f>
        <v>5.0060792826000003E-7</v>
      </c>
      <c r="JD17" s="1">
        <f>Table15678[[#This Row],[Total_Cost_MUSD]]*Table15678[[#This Row],[prob50-failure_rating7]]/50</f>
        <v>5.0060792826000003E-7</v>
      </c>
      <c r="JE17" s="1">
        <f>Table15678[[#This Row],[Total_Cost_MUSD]]*Table15678[[#This Row],[prob50-failure_rating8]]/50</f>
        <v>1.1124620628000001E-8</v>
      </c>
      <c r="JF17" s="1">
        <f>Table15678[[#This Row],[Total_Cost_MUSD]]*Table15678[[#This Row],[prob50-failure_rating9]]/50</f>
        <v>6.952887892499999E-9</v>
      </c>
      <c r="JG17" s="1">
        <f>Table15678[[#This Row],[Total_Cost_MUSD]]*Table15678[[#This Row],[prob10-failure_rating1]]/10</f>
        <v>8.3434654710000007E-3</v>
      </c>
      <c r="JH17" s="1">
        <f>Table15678[[#This Row],[Total_Cost_MUSD]]*Table15678[[#This Row],[prob10-failure_rating2]]/10</f>
        <v>4.1717327355000005E-4</v>
      </c>
      <c r="JI17" s="1">
        <f>Table15678[[#This Row],[Total_Cost_MUSD]]*Table15678[[#This Row],[prob10-failure_rating3]]/10</f>
        <v>9.1778120181E-5</v>
      </c>
      <c r="JJ17" s="1">
        <f>Table15678[[#This Row],[Total_Cost_MUSD]]*Table15678[[#This Row],[prob10-failure_rating4]]/10</f>
        <v>3.3373861884000002E-5</v>
      </c>
      <c r="JK17" s="1">
        <f>Table15678[[#This Row],[Total_Cost_MUSD]]*Table15678[[#This Row],[prob10-failure_rating5]]/10</f>
        <v>5.8404258296999995E-6</v>
      </c>
      <c r="JL17" s="1">
        <f>Table15678[[#This Row],[Total_Cost_MUSD]]*Table15678[[#This Row],[prob10-failure_rating6]]/10</f>
        <v>1.5018237847800001E-6</v>
      </c>
      <c r="JM17" s="1">
        <f>Table15678[[#This Row],[Total_Cost_MUSD]]*Table15678[[#This Row],[prob10-failure_rating7]]/10</f>
        <v>1.5018237847800001E-6</v>
      </c>
      <c r="JN17" s="1">
        <f>Table15678[[#This Row],[Total_Cost_MUSD]]*Table15678[[#This Row],[prob10-failure_rating8]]/10</f>
        <v>3.3373861884000003E-8</v>
      </c>
      <c r="JO17" s="1">
        <f>Table15678[[#This Row],[Total_Cost_MUSD]]*Table15678[[#This Row],[prob10-failure_rating9]]/10</f>
        <v>2.0858663677499998E-8</v>
      </c>
      <c r="JP17" s="1">
        <f>Table15678[[#This Row],[FailureCost_Rating1]]</f>
        <v>1474.01223321</v>
      </c>
      <c r="JQ17" s="1">
        <f>Table15678[[#This Row],[FailureCost_Rating2]]</f>
        <v>1474.01223321</v>
      </c>
      <c r="JR17" s="1">
        <f>(Table15678[[#This Row],[failurecost500_rating2]]+Table15678[[#This Row],[failurecost100_rating2]]+Table15678[[#This Row],[failurecost50_rating2]]+Table15678[[#This Row],[failurecost10_rating2]])*1000000</f>
        <v>1474.01223321</v>
      </c>
      <c r="JS17" s="1">
        <f>(Table15678[[#This Row],[failurecost500_rating3]]+Table15678[[#This Row],[failurecost100_rating3]]+Table15678[[#This Row],[failurecost50_rating3]]+Table15678[[#This Row],[failurecost10_rating3]])*1000000</f>
        <v>245.01976933169999</v>
      </c>
      <c r="JT17" s="1">
        <f>(Table15678[[#This Row],[failurecost500_rating4]]+Table15678[[#This Row],[failurecost100_rating4]]+Table15678[[#This Row],[failurecost50_rating4]]+Table15678[[#This Row],[failurecost10_rating4]])*1000000</f>
        <v>74.117784934050007</v>
      </c>
      <c r="JU17" s="1">
        <f>(Table15678[[#This Row],[failurecost500_rating5]]+Table15678[[#This Row],[failurecost100_rating5]]+Table15678[[#This Row],[failurecost50_rating5]]+Table15678[[#This Row],[failurecost10_rating5]])*1000000</f>
        <v>17.29878507654</v>
      </c>
      <c r="JV17" s="1">
        <f>(Table15678[[#This Row],[failurecost500_rating6]]+Table15678[[#This Row],[failurecost100_rating6]]+Table15678[[#This Row],[failurecost50_rating6]]+Table15678[[#This Row],[failurecost10_rating6]])*1000000</f>
        <v>3.762902927421</v>
      </c>
      <c r="JW17" s="1">
        <f>(Table15678[[#This Row],[failurecost500_rating7]]+Table15678[[#This Row],[failurecost100_rating7]]+Table15678[[#This Row],[failurecost50_rating7]]+Table15678[[#This Row],[failurecost10_rating7]])*1000000</f>
        <v>2.678252416191</v>
      </c>
      <c r="JX17" s="1">
        <f>(Table15678[[#This Row],[failurecost500_rating8]]+Table15678[[#This Row],[failurecost100_rating8]]+Table15678[[#This Row],[failurecost50_rating8]]+Table15678[[#This Row],[failurecost10_rating8]])*1000000</f>
        <v>0.42662920108380004</v>
      </c>
      <c r="JY17" s="1">
        <f>(Table15678[[#This Row],[failurecost500_rating9]]+Table15678[[#This Row],[failurecost100_rating9]]+Table15678[[#This Row],[failurecost50_rating9]]+Table15678[[#This Row],[failurecost10_rating9]])*1000000</f>
        <v>4.0326749776499991E-2</v>
      </c>
    </row>
    <row r="18" spans="1:285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Table15678[[#This Row],[Depth10_Soil_vol]]*(9.353+9.027)+(Table15678[[#This Row],[Depth10_Soil_vol]]/2.5)*20*1.053+(PI()*Table15678[[#This Row],[Depth10_Scour]])*Table15678[[#This Row],[DECK_WIDTH_MT_052]]*1.062</f>
        <v>15354.595084739485</v>
      </c>
      <c r="AR18" s="1">
        <f>Table15678[[#This Row],[Depth50_Soil_vol]]*(9.353+9.027)+(Table15678[[#This Row],[Depth50_Soil_vol]]/2.5)*20*1.053+(PI()*Table15678[[#This Row],[Depth50_Scour]])*Table15678[[#This Row],[DECK_WIDTH_MT_052]]*1.062</f>
        <v>13414.428771618834</v>
      </c>
      <c r="AS18" s="1">
        <f>Table15678[[#This Row],[Depth100_Soil_vol]]*(9.353+9.027)+(Table15678[[#This Row],[Depth100_Soil_vol]]/2.5)*20*1.053+(PI()*Table15678[[#This Row],[Depth100_Scour]])*Table15678[[#This Row],[DECK_WIDTH_MT_052]]*1.062</f>
        <v>13976.739331979787</v>
      </c>
      <c r="AT18" s="1">
        <f>Table15678[[#This Row],[Depth500_Soil_vol]]*(9.353+9.027)+(Table15678[[#This Row],[Depth500_Soil_vol]]/2.5)*20*1.053+(PI()*Table15678[[#This Row],[Depth500_Scour]])*Table15678[[#This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0.52800000000000002</v>
      </c>
      <c r="GF18" s="1">
        <v>2.8449664000000001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v>2528.8590222222219</v>
      </c>
      <c r="GM18" s="1">
        <v>1422.4832000000001</v>
      </c>
      <c r="GN18" s="1">
        <v>910.38924800000018</v>
      </c>
      <c r="GO18" s="1">
        <v>632.21475555555548</v>
      </c>
      <c r="GP18" s="1">
        <v>464.48431020408162</v>
      </c>
      <c r="GQ18" s="1">
        <v>355.62080000000003</v>
      </c>
      <c r="GR18" s="1">
        <v>280.9843358024691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1</v>
      </c>
      <c r="HF18" s="1">
        <v>0.01</v>
      </c>
      <c r="HG18" s="1">
        <v>1.25E-3</v>
      </c>
      <c r="HH18" s="1">
        <v>2.7500000000000002E-4</v>
      </c>
      <c r="HI18" s="1">
        <v>1E-4</v>
      </c>
      <c r="HJ18" s="1">
        <v>1.7499999999999998E-5</v>
      </c>
      <c r="HK18" s="1">
        <v>4.5000000000000001E-6</v>
      </c>
      <c r="HL18" s="1">
        <v>4.5000000000000001E-6</v>
      </c>
      <c r="HM18" s="1">
        <v>9.9999999999999995E-8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Table15678[[#This Row],[Total_Cost_MUSD]]*Table15678[[#This Row],[prob500-failure_rating1]]/500</f>
        <v>5.6899328000000009E-5</v>
      </c>
      <c r="IG18" s="1">
        <f>Table15678[[#This Row],[Total_Cost_MUSD]]*Table15678[[#This Row],[prob500-failure_rating2]]/500</f>
        <v>2.8449664000000005E-5</v>
      </c>
      <c r="IH18" s="1">
        <f>Table15678[[#This Row],[Total_Cost_MUSD]]*Table15678[[#This Row],[prob500-failure_rating3]]/500</f>
        <v>6.2589260800000001E-6</v>
      </c>
      <c r="II18" s="1">
        <f>Table15678[[#This Row],[Total_Cost_MUSD]]*Table15678[[#This Row],[prob500-failure_rating4]]/500</f>
        <v>2.2759731200000002E-6</v>
      </c>
      <c r="IJ18" s="1">
        <f>Table15678[[#This Row],[Total_Cost_MUSD]]*Table15678[[#This Row],[prob500-failure_rating5]]/500</f>
        <v>3.9829529599999994E-7</v>
      </c>
      <c r="IK18" s="1">
        <f>Table15678[[#This Row],[Total_Cost_MUSD]]*Table15678[[#This Row],[prob500-failure_rating6]]/500</f>
        <v>1.024187904E-7</v>
      </c>
      <c r="IL18" s="1">
        <f>Table15678[[#This Row],[Total_Cost_MUSD]]*Table15678[[#This Row],[prob500-failure_rating7]]/500</f>
        <v>1.024187904E-7</v>
      </c>
      <c r="IM18" s="1">
        <f>Table15678[[#This Row],[Total_Cost_MUSD]]*Table15678[[#This Row],[prob500-failure_rating8]]/500</f>
        <v>2.2759731199999998E-9</v>
      </c>
      <c r="IN18" s="1">
        <f>Table15678[[#This Row],[Total_Cost_MUSD]]*Table15678[[#This Row],[prob500-failure_rating9]]/500</f>
        <v>1.4224832E-9</v>
      </c>
      <c r="IO18" s="1">
        <f>Table15678[[#This Row],[Total_Cost_MUSD]]*Table15678[[#This Row],[prob100-failure_rating1]]/100</f>
        <v>2.8449664E-2</v>
      </c>
      <c r="IP18" s="1">
        <f>Table15678[[#This Row],[Total_Cost_MUSD]]*Table15678[[#This Row],[prob100-failure_rating2]]/100</f>
        <v>2.8449664000000001E-4</v>
      </c>
      <c r="IQ18" s="1">
        <f>Table15678[[#This Row],[Total_Cost_MUSD]]*Table15678[[#This Row],[prob100-failure_rating3]]/100</f>
        <v>3.5562080000000002E-5</v>
      </c>
      <c r="IR18" s="1">
        <f>Table15678[[#This Row],[Total_Cost_MUSD]]*Table15678[[#This Row],[prob100-failure_rating4]]/100</f>
        <v>7.8236575999999997E-6</v>
      </c>
      <c r="IS18" s="1">
        <f>Table15678[[#This Row],[Total_Cost_MUSD]]*Table15678[[#This Row],[prob100-failure_rating5]]/100</f>
        <v>2.8449664E-6</v>
      </c>
      <c r="IT18" s="1">
        <f>Table15678[[#This Row],[Total_Cost_MUSD]]*Table15678[[#This Row],[prob100-failure_rating6]]/100</f>
        <v>4.9786911999999993E-7</v>
      </c>
      <c r="IU18" s="1">
        <f>Table15678[[#This Row],[Total_Cost_MUSD]]*Table15678[[#This Row],[prob100-failure_rating7]]/100</f>
        <v>1.28023488E-7</v>
      </c>
      <c r="IV18" s="1">
        <f>Table15678[[#This Row],[Total_Cost_MUSD]]*Table15678[[#This Row],[prob100-failure_rating8]]/100</f>
        <v>1.28023488E-7</v>
      </c>
      <c r="IW18" s="1">
        <f>Table15678[[#This Row],[Total_Cost_MUSD]]*Table15678[[#This Row],[prob100-failure_rating9]]/100</f>
        <v>2.8449663999999996E-9</v>
      </c>
      <c r="IX18" s="1">
        <f>Table15678[[#This Row],[Total_Cost_MUSD]]*Table15678[[#This Row],[prob50-failure_rating1]]/50</f>
        <v>5.6899328000000002E-4</v>
      </c>
      <c r="IY18" s="1">
        <f>Table15678[[#This Row],[Total_Cost_MUSD]]*Table15678[[#This Row],[prob50-failure_rating2]]/50</f>
        <v>4.7416106666666678E-5</v>
      </c>
      <c r="IZ18" s="1">
        <f>Table15678[[#This Row],[Total_Cost_MUSD]]*Table15678[[#This Row],[prob50-failure_rating3]]/50</f>
        <v>1.0431543466666666E-5</v>
      </c>
      <c r="JA18" s="1">
        <f>Table15678[[#This Row],[Total_Cost_MUSD]]*Table15678[[#This Row],[prob50-failure_rating4]]/50</f>
        <v>3.7932885333333337E-6</v>
      </c>
      <c r="JB18" s="1">
        <f>Table15678[[#This Row],[Total_Cost_MUSD]]*Table15678[[#This Row],[prob50-failure_rating5]]/50</f>
        <v>6.6382549333333324E-7</v>
      </c>
      <c r="JC18" s="1">
        <f>Table15678[[#This Row],[Total_Cost_MUSD]]*Table15678[[#This Row],[prob50-failure_rating6]]/50</f>
        <v>1.7069798400000001E-7</v>
      </c>
      <c r="JD18" s="1">
        <f>Table15678[[#This Row],[Total_Cost_MUSD]]*Table15678[[#This Row],[prob50-failure_rating7]]/50</f>
        <v>1.7069798400000001E-7</v>
      </c>
      <c r="JE18" s="1">
        <f>Table15678[[#This Row],[Total_Cost_MUSD]]*Table15678[[#This Row],[prob50-failure_rating8]]/50</f>
        <v>3.7932885333333337E-9</v>
      </c>
      <c r="JF18" s="1">
        <f>Table15678[[#This Row],[Total_Cost_MUSD]]*Table15678[[#This Row],[prob50-failure_rating9]]/50</f>
        <v>2.3708053333333332E-9</v>
      </c>
      <c r="JG18" s="1">
        <f>Table15678[[#This Row],[Total_Cost_MUSD]]*Table15678[[#This Row],[prob10-failure_rating1]]/10</f>
        <v>2.8449664000000001E-3</v>
      </c>
      <c r="JH18" s="1">
        <f>Table15678[[#This Row],[Total_Cost_MUSD]]*Table15678[[#This Row],[prob10-failure_rating2]]/10</f>
        <v>1.4224832000000001E-4</v>
      </c>
      <c r="JI18" s="1">
        <f>Table15678[[#This Row],[Total_Cost_MUSD]]*Table15678[[#This Row],[prob10-failure_rating3]]/10</f>
        <v>3.1294630399999999E-5</v>
      </c>
      <c r="JJ18" s="1">
        <f>Table15678[[#This Row],[Total_Cost_MUSD]]*Table15678[[#This Row],[prob10-failure_rating4]]/10</f>
        <v>1.1379865600000002E-5</v>
      </c>
      <c r="JK18" s="1">
        <f>Table15678[[#This Row],[Total_Cost_MUSD]]*Table15678[[#This Row],[prob10-failure_rating5]]/10</f>
        <v>1.9914764799999997E-6</v>
      </c>
      <c r="JL18" s="1">
        <f>Table15678[[#This Row],[Total_Cost_MUSD]]*Table15678[[#This Row],[prob10-failure_rating6]]/10</f>
        <v>5.1209395200000002E-7</v>
      </c>
      <c r="JM18" s="1">
        <f>Table15678[[#This Row],[Total_Cost_MUSD]]*Table15678[[#This Row],[prob10-failure_rating7]]/10</f>
        <v>5.1209395200000002E-7</v>
      </c>
      <c r="JN18" s="1">
        <f>Table15678[[#This Row],[Total_Cost_MUSD]]*Table15678[[#This Row],[prob10-failure_rating8]]/10</f>
        <v>1.13798656E-8</v>
      </c>
      <c r="JO18" s="1">
        <f>Table15678[[#This Row],[Total_Cost_MUSD]]*Table15678[[#This Row],[prob10-failure_rating9]]/10</f>
        <v>7.1124159999999997E-9</v>
      </c>
      <c r="JP18" s="1">
        <f>Table15678[[#This Row],[FailureCost_Rating1]]</f>
        <v>502.61073066666671</v>
      </c>
      <c r="JQ18" s="1">
        <f>Table15678[[#This Row],[FailureCost_Rating2]]</f>
        <v>502.61073066666671</v>
      </c>
      <c r="JR18" s="1">
        <f>(Table15678[[#This Row],[failurecost500_rating2]]+Table15678[[#This Row],[failurecost100_rating2]]+Table15678[[#This Row],[failurecost50_rating2]]+Table15678[[#This Row],[failurecost10_rating2]])*1000000</f>
        <v>502.61073066666671</v>
      </c>
      <c r="JS18" s="1">
        <f>(Table15678[[#This Row],[failurecost500_rating3]]+Table15678[[#This Row],[failurecost100_rating3]]+Table15678[[#This Row],[failurecost50_rating3]]+Table15678[[#This Row],[failurecost10_rating3]])*1000000</f>
        <v>83.54717994666666</v>
      </c>
      <c r="JT18" s="1">
        <f>(Table15678[[#This Row],[failurecost500_rating4]]+Table15678[[#This Row],[failurecost100_rating4]]+Table15678[[#This Row],[failurecost50_rating4]]+Table15678[[#This Row],[failurecost10_rating4]])*1000000</f>
        <v>25.272784853333338</v>
      </c>
      <c r="JU18" s="1">
        <f>(Table15678[[#This Row],[failurecost500_rating5]]+Table15678[[#This Row],[failurecost100_rating5]]+Table15678[[#This Row],[failurecost50_rating5]]+Table15678[[#This Row],[failurecost10_rating5]])*1000000</f>
        <v>5.898563669333333</v>
      </c>
      <c r="JV18" s="1">
        <f>(Table15678[[#This Row],[failurecost500_rating6]]+Table15678[[#This Row],[failurecost100_rating6]]+Table15678[[#This Row],[failurecost50_rating6]]+Table15678[[#This Row],[failurecost10_rating6]])*1000000</f>
        <v>1.2830798463999999</v>
      </c>
      <c r="JW18" s="1">
        <f>(Table15678[[#This Row],[failurecost500_rating7]]+Table15678[[#This Row],[failurecost100_rating7]]+Table15678[[#This Row],[failurecost50_rating7]]+Table15678[[#This Row],[failurecost10_rating7]])*1000000</f>
        <v>0.91323421439999997</v>
      </c>
      <c r="JX18" s="1">
        <f>(Table15678[[#This Row],[failurecost500_rating8]]+Table15678[[#This Row],[failurecost100_rating8]]+Table15678[[#This Row],[failurecost50_rating8]]+Table15678[[#This Row],[failurecost10_rating8]])*1000000</f>
        <v>0.14547261525333335</v>
      </c>
      <c r="JY18" s="1">
        <f>(Table15678[[#This Row],[failurecost500_rating9]]+Table15678[[#This Row],[failurecost100_rating9]]+Table15678[[#This Row],[failurecost50_rating9]]+Table15678[[#This Row],[failurecost10_rating9]])*1000000</f>
        <v>1.3750670933333332E-2</v>
      </c>
    </row>
    <row r="19" spans="1:285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Table15678[[#This Row],[Depth10_Soil_vol]]*(9.353+9.027)+(Table15678[[#This Row],[Depth10_Soil_vol]]/2.5)*20*1.053+(PI()*Table15678[[#This Row],[Depth10_Scour]])*Table15678[[#This Row],[DECK_WIDTH_MT_052]]*1.062</f>
        <v>10223.699035708925</v>
      </c>
      <c r="AR19" s="1">
        <f>Table15678[[#This Row],[Depth50_Soil_vol]]*(9.353+9.027)+(Table15678[[#This Row],[Depth50_Soil_vol]]/2.5)*20*1.053+(PI()*Table15678[[#This Row],[Depth50_Scour]])*Table15678[[#This Row],[DECK_WIDTH_MT_052]]*1.062</f>
        <v>11295.880242844603</v>
      </c>
      <c r="AS19" s="1">
        <f>Table15678[[#This Row],[Depth100_Soil_vol]]*(9.353+9.027)+(Table15678[[#This Row],[Depth100_Soil_vol]]/2.5)*20*1.053+(PI()*Table15678[[#This Row],[Depth100_Scour]])*Table15678[[#This Row],[DECK_WIDTH_MT_052]]*1.062</f>
        <v>11757.366155411924</v>
      </c>
      <c r="AT19" s="1">
        <f>Table15678[[#This Row],[Depth500_Soil_vol]]*(9.353+9.027)+(Table15678[[#This Row],[Depth500_Soil_vol]]/2.5)*20*1.053+(PI()*Table15678[[#This Row],[Depth500_Scour]])*Table15678[[#This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0.79200000000000004</v>
      </c>
      <c r="GF19" s="1">
        <v>29.559959710000001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v>26275.519742222223</v>
      </c>
      <c r="GM19" s="1">
        <v>14779.979855</v>
      </c>
      <c r="GN19" s="1">
        <v>9459.1871072000013</v>
      </c>
      <c r="GO19" s="1">
        <v>6568.8799355555557</v>
      </c>
      <c r="GP19" s="1">
        <v>4826.1158710204081</v>
      </c>
      <c r="GQ19" s="1">
        <v>3694.9949637499999</v>
      </c>
      <c r="GR19" s="1">
        <v>2919.502193580247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1</v>
      </c>
      <c r="HF19" s="1">
        <v>0.01</v>
      </c>
      <c r="HG19" s="1">
        <v>1.25E-3</v>
      </c>
      <c r="HH19" s="1">
        <v>2.7500000000000002E-4</v>
      </c>
      <c r="HI19" s="1">
        <v>1E-4</v>
      </c>
      <c r="HJ19" s="1">
        <v>1.7499999999999998E-5</v>
      </c>
      <c r="HK19" s="1">
        <v>4.5000000000000001E-6</v>
      </c>
      <c r="HL19" s="1">
        <v>4.5000000000000001E-6</v>
      </c>
      <c r="HM19" s="1">
        <v>9.9999999999999995E-8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Table15678[[#This Row],[Total_Cost_MUSD]]*Table15678[[#This Row],[prob500-failure_rating1]]/500</f>
        <v>5.9119919419999998E-4</v>
      </c>
      <c r="IG19" s="1">
        <f>Table15678[[#This Row],[Total_Cost_MUSD]]*Table15678[[#This Row],[prob500-failure_rating2]]/500</f>
        <v>2.9559959709999999E-4</v>
      </c>
      <c r="IH19" s="1">
        <f>Table15678[[#This Row],[Total_Cost_MUSD]]*Table15678[[#This Row],[prob500-failure_rating3]]/500</f>
        <v>6.5031911362000008E-5</v>
      </c>
      <c r="II19" s="1">
        <f>Table15678[[#This Row],[Total_Cost_MUSD]]*Table15678[[#This Row],[prob500-failure_rating4]]/500</f>
        <v>2.3647967768000004E-5</v>
      </c>
      <c r="IJ19" s="1">
        <f>Table15678[[#This Row],[Total_Cost_MUSD]]*Table15678[[#This Row],[prob500-failure_rating5]]/500</f>
        <v>4.1383943593999991E-6</v>
      </c>
      <c r="IK19" s="1">
        <f>Table15678[[#This Row],[Total_Cost_MUSD]]*Table15678[[#This Row],[prob500-failure_rating6]]/500</f>
        <v>1.0641585495600002E-6</v>
      </c>
      <c r="IL19" s="1">
        <f>Table15678[[#This Row],[Total_Cost_MUSD]]*Table15678[[#This Row],[prob500-failure_rating7]]/500</f>
        <v>1.0641585495600002E-6</v>
      </c>
      <c r="IM19" s="1">
        <f>Table15678[[#This Row],[Total_Cost_MUSD]]*Table15678[[#This Row],[prob500-failure_rating8]]/500</f>
        <v>2.3647967767999999E-8</v>
      </c>
      <c r="IN19" s="1">
        <f>Table15678[[#This Row],[Total_Cost_MUSD]]*Table15678[[#This Row],[prob500-failure_rating9]]/500</f>
        <v>1.4779979855000001E-8</v>
      </c>
      <c r="IO19" s="1">
        <f>Table15678[[#This Row],[Total_Cost_MUSD]]*Table15678[[#This Row],[prob100-failure_rating1]]/100</f>
        <v>0.2955995971</v>
      </c>
      <c r="IP19" s="1">
        <f>Table15678[[#This Row],[Total_Cost_MUSD]]*Table15678[[#This Row],[prob100-failure_rating2]]/100</f>
        <v>2.9559959709999999E-3</v>
      </c>
      <c r="IQ19" s="1">
        <f>Table15678[[#This Row],[Total_Cost_MUSD]]*Table15678[[#This Row],[prob100-failure_rating3]]/100</f>
        <v>3.6949949637499999E-4</v>
      </c>
      <c r="IR19" s="1">
        <f>Table15678[[#This Row],[Total_Cost_MUSD]]*Table15678[[#This Row],[prob100-failure_rating4]]/100</f>
        <v>8.1289889202500017E-5</v>
      </c>
      <c r="IS19" s="1">
        <f>Table15678[[#This Row],[Total_Cost_MUSD]]*Table15678[[#This Row],[prob100-failure_rating5]]/100</f>
        <v>2.9559959710000004E-5</v>
      </c>
      <c r="IT19" s="1">
        <f>Table15678[[#This Row],[Total_Cost_MUSD]]*Table15678[[#This Row],[prob100-failure_rating6]]/100</f>
        <v>5.1729929492499992E-6</v>
      </c>
      <c r="IU19" s="1">
        <f>Table15678[[#This Row],[Total_Cost_MUSD]]*Table15678[[#This Row],[prob100-failure_rating7]]/100</f>
        <v>1.3301981869500001E-6</v>
      </c>
      <c r="IV19" s="1">
        <f>Table15678[[#This Row],[Total_Cost_MUSD]]*Table15678[[#This Row],[prob100-failure_rating8]]/100</f>
        <v>1.3301981869500001E-6</v>
      </c>
      <c r="IW19" s="1">
        <f>Table15678[[#This Row],[Total_Cost_MUSD]]*Table15678[[#This Row],[prob100-failure_rating9]]/100</f>
        <v>2.9559959710000002E-8</v>
      </c>
      <c r="IX19" s="1">
        <f>Table15678[[#This Row],[Total_Cost_MUSD]]*Table15678[[#This Row],[prob50-failure_rating1]]/50</f>
        <v>5.9119919419999998E-3</v>
      </c>
      <c r="IY19" s="1">
        <f>Table15678[[#This Row],[Total_Cost_MUSD]]*Table15678[[#This Row],[prob50-failure_rating2]]/50</f>
        <v>4.9266599516666672E-4</v>
      </c>
      <c r="IZ19" s="1">
        <f>Table15678[[#This Row],[Total_Cost_MUSD]]*Table15678[[#This Row],[prob50-failure_rating3]]/50</f>
        <v>1.0838651893666668E-4</v>
      </c>
      <c r="JA19" s="1">
        <f>Table15678[[#This Row],[Total_Cost_MUSD]]*Table15678[[#This Row],[prob50-failure_rating4]]/50</f>
        <v>3.9413279613333339E-5</v>
      </c>
      <c r="JB19" s="1">
        <f>Table15678[[#This Row],[Total_Cost_MUSD]]*Table15678[[#This Row],[prob50-failure_rating5]]/50</f>
        <v>6.8973239323333337E-6</v>
      </c>
      <c r="JC19" s="1">
        <f>Table15678[[#This Row],[Total_Cost_MUSD]]*Table15678[[#This Row],[prob50-failure_rating6]]/50</f>
        <v>1.7735975826000002E-6</v>
      </c>
      <c r="JD19" s="1">
        <f>Table15678[[#This Row],[Total_Cost_MUSD]]*Table15678[[#This Row],[prob50-failure_rating7]]/50</f>
        <v>1.7735975826000002E-6</v>
      </c>
      <c r="JE19" s="1">
        <f>Table15678[[#This Row],[Total_Cost_MUSD]]*Table15678[[#This Row],[prob50-failure_rating8]]/50</f>
        <v>3.9413279613333338E-8</v>
      </c>
      <c r="JF19" s="1">
        <f>Table15678[[#This Row],[Total_Cost_MUSD]]*Table15678[[#This Row],[prob50-failure_rating9]]/50</f>
        <v>2.4633299758333334E-8</v>
      </c>
      <c r="JG19" s="1">
        <f>Table15678[[#This Row],[Total_Cost_MUSD]]*Table15678[[#This Row],[prob10-failure_rating1]]/10</f>
        <v>2.955995971E-2</v>
      </c>
      <c r="JH19" s="1">
        <f>Table15678[[#This Row],[Total_Cost_MUSD]]*Table15678[[#This Row],[prob10-failure_rating2]]/10</f>
        <v>1.4779979855E-3</v>
      </c>
      <c r="JI19" s="1">
        <f>Table15678[[#This Row],[Total_Cost_MUSD]]*Table15678[[#This Row],[prob10-failure_rating3]]/10</f>
        <v>3.2515955681000001E-4</v>
      </c>
      <c r="JJ19" s="1">
        <f>Table15678[[#This Row],[Total_Cost_MUSD]]*Table15678[[#This Row],[prob10-failure_rating4]]/10</f>
        <v>1.1823983884000002E-4</v>
      </c>
      <c r="JK19" s="1">
        <f>Table15678[[#This Row],[Total_Cost_MUSD]]*Table15678[[#This Row],[prob10-failure_rating5]]/10</f>
        <v>2.0691971796999997E-5</v>
      </c>
      <c r="JL19" s="1">
        <f>Table15678[[#This Row],[Total_Cost_MUSD]]*Table15678[[#This Row],[prob10-failure_rating6]]/10</f>
        <v>5.3207927478000006E-6</v>
      </c>
      <c r="JM19" s="1">
        <f>Table15678[[#This Row],[Total_Cost_MUSD]]*Table15678[[#This Row],[prob10-failure_rating7]]/10</f>
        <v>5.3207927478000006E-6</v>
      </c>
      <c r="JN19" s="1">
        <f>Table15678[[#This Row],[Total_Cost_MUSD]]*Table15678[[#This Row],[prob10-failure_rating8]]/10</f>
        <v>1.1823983884000001E-7</v>
      </c>
      <c r="JO19" s="1">
        <f>Table15678[[#This Row],[Total_Cost_MUSD]]*Table15678[[#This Row],[prob10-failure_rating9]]/10</f>
        <v>7.3899899275000004E-8</v>
      </c>
      <c r="JP19" s="1">
        <f>Table15678[[#This Row],[FailureCost_Rating1]]</f>
        <v>5222.2595487666667</v>
      </c>
      <c r="JQ19" s="1">
        <f>Table15678[[#This Row],[FailureCost_Rating2]]</f>
        <v>5222.2595487666667</v>
      </c>
      <c r="JR19" s="1">
        <f>(Table15678[[#This Row],[failurecost500_rating2]]+Table15678[[#This Row],[failurecost100_rating2]]+Table15678[[#This Row],[failurecost50_rating2]]+Table15678[[#This Row],[failurecost10_rating2]])*1000000</f>
        <v>5222.2595487666667</v>
      </c>
      <c r="JS19" s="1">
        <f>(Table15678[[#This Row],[failurecost500_rating3]]+Table15678[[#This Row],[failurecost100_rating3]]+Table15678[[#This Row],[failurecost50_rating3]]+Table15678[[#This Row],[failurecost10_rating3]])*1000000</f>
        <v>868.0774834836667</v>
      </c>
      <c r="JT19" s="1">
        <f>(Table15678[[#This Row],[failurecost500_rating4]]+Table15678[[#This Row],[failurecost100_rating4]]+Table15678[[#This Row],[failurecost50_rating4]]+Table15678[[#This Row],[failurecost10_rating4]])*1000000</f>
        <v>262.59097542383336</v>
      </c>
      <c r="JU19" s="1">
        <f>(Table15678[[#This Row],[failurecost500_rating5]]+Table15678[[#This Row],[failurecost100_rating5]]+Table15678[[#This Row],[failurecost50_rating5]]+Table15678[[#This Row],[failurecost10_rating5]])*1000000</f>
        <v>61.287649798733334</v>
      </c>
      <c r="JV19" s="1">
        <f>(Table15678[[#This Row],[failurecost500_rating6]]+Table15678[[#This Row],[failurecost100_rating6]]+Table15678[[#This Row],[failurecost50_rating6]]+Table15678[[#This Row],[failurecost10_rating6]])*1000000</f>
        <v>13.33154182921</v>
      </c>
      <c r="JW19" s="1">
        <f>(Table15678[[#This Row],[failurecost500_rating7]]+Table15678[[#This Row],[failurecost100_rating7]]+Table15678[[#This Row],[failurecost50_rating7]]+Table15678[[#This Row],[failurecost10_rating7]])*1000000</f>
        <v>9.4887470669100011</v>
      </c>
      <c r="JX19" s="1">
        <f>(Table15678[[#This Row],[failurecost500_rating8]]+Table15678[[#This Row],[failurecost100_rating8]]+Table15678[[#This Row],[failurecost50_rating8]]+Table15678[[#This Row],[failurecost10_rating8]])*1000000</f>
        <v>1.5114992731713337</v>
      </c>
      <c r="JY19" s="1">
        <f>(Table15678[[#This Row],[failurecost500_rating9]]+Table15678[[#This Row],[failurecost100_rating9]]+Table15678[[#This Row],[failurecost50_rating9]]+Table15678[[#This Row],[failurecost10_rating9]])*1000000</f>
        <v>0.14287313859833334</v>
      </c>
    </row>
    <row r="20" spans="1:285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Table15678[[#This Row],[Depth10_Soil_vol]]*(9.353+9.027)+(Table15678[[#This Row],[Depth10_Soil_vol]]/2.5)*20*1.053+(PI()*Table15678[[#This Row],[Depth10_Scour]])*Table15678[[#This Row],[DECK_WIDTH_MT_052]]*1.062</f>
        <v>13853.451944603266</v>
      </c>
      <c r="AR20" s="1">
        <f>Table15678[[#This Row],[Depth50_Soil_vol]]*(9.353+9.027)+(Table15678[[#This Row],[Depth50_Soil_vol]]/2.5)*20*1.053+(PI()*Table15678[[#This Row],[Depth50_Scour]])*Table15678[[#This Row],[DECK_WIDTH_MT_052]]*1.062</f>
        <v>14885.488907843239</v>
      </c>
      <c r="AS20" s="1">
        <f>Table15678[[#This Row],[Depth100_Soil_vol]]*(9.353+9.027)+(Table15678[[#This Row],[Depth100_Soil_vol]]/2.5)*20*1.053+(PI()*Table15678[[#This Row],[Depth100_Scour]])*Table15678[[#This Row],[DECK_WIDTH_MT_052]]*1.062</f>
        <v>15342.083437730904</v>
      </c>
      <c r="AT20" s="1">
        <f>Table15678[[#This Row],[Depth500_Soil_vol]]*(9.353+9.027)+(Table15678[[#This Row],[Depth500_Soil_vol]]/2.5)*20*1.053+(PI()*Table15678[[#This Row],[Depth500_Scour]])*Table15678[[#This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MAX(0,(Table15678[[#This Row],[Current_rating]]-Table15678[[#This Row],[Depth10_Rating]])/10+(Table15678[[#This Row],[Current_rating]]-Table15678[[#This Row],[Depth50_Rating]])/50+(Table15678[[#This Row],[Current_rating]]-Table15678[[#This Row],[Depth100_Rating]])/100+(Table15678[[#This Row],[Current_rating]]-Table15678[[#This Row],[Depth500_Rating]])/500)</f>
        <v>0.26400000000000001</v>
      </c>
      <c r="GF20" s="1">
        <v>38.312809770000001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v>34055.83090666667</v>
      </c>
      <c r="GM20" s="1">
        <v>19156.404885000004</v>
      </c>
      <c r="GN20" s="1">
        <v>12260.099126400002</v>
      </c>
      <c r="GO20" s="1">
        <v>8513.9577266666674</v>
      </c>
      <c r="GP20" s="1">
        <v>6255.1526155102047</v>
      </c>
      <c r="GQ20" s="1">
        <v>4789.1012212500009</v>
      </c>
      <c r="GR20" s="1">
        <v>3783.9812118518516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1</v>
      </c>
      <c r="HF20" s="1">
        <v>0.01</v>
      </c>
      <c r="HG20" s="1">
        <v>1.25E-3</v>
      </c>
      <c r="HH20" s="1">
        <v>2.7500000000000002E-4</v>
      </c>
      <c r="HI20" s="1">
        <v>1E-4</v>
      </c>
      <c r="HJ20" s="1">
        <v>1.7499999999999998E-5</v>
      </c>
      <c r="HK20" s="1">
        <v>4.5000000000000001E-6</v>
      </c>
      <c r="HL20" s="1">
        <v>4.5000000000000001E-6</v>
      </c>
      <c r="HM20" s="1">
        <v>9.9999999999999995E-8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Table15678[[#This Row],[Total_Cost_MUSD]]*Table15678[[#This Row],[prob500-failure_rating1]]/500</f>
        <v>7.6625619539999999E-4</v>
      </c>
      <c r="IG20" s="1">
        <f>Table15678[[#This Row],[Total_Cost_MUSD]]*Table15678[[#This Row],[prob500-failure_rating2]]/500</f>
        <v>3.8312809769999999E-4</v>
      </c>
      <c r="IH20" s="1">
        <f>Table15678[[#This Row],[Total_Cost_MUSD]]*Table15678[[#This Row],[prob500-failure_rating3]]/500</f>
        <v>8.4288181494000008E-5</v>
      </c>
      <c r="II20" s="1">
        <f>Table15678[[#This Row],[Total_Cost_MUSD]]*Table15678[[#This Row],[prob500-failure_rating4]]/500</f>
        <v>3.0650247816E-5</v>
      </c>
      <c r="IJ20" s="1">
        <f>Table15678[[#This Row],[Total_Cost_MUSD]]*Table15678[[#This Row],[prob500-failure_rating5]]/500</f>
        <v>5.3637933678000001E-6</v>
      </c>
      <c r="IK20" s="1">
        <f>Table15678[[#This Row],[Total_Cost_MUSD]]*Table15678[[#This Row],[prob500-failure_rating6]]/500</f>
        <v>1.3792611517200001E-6</v>
      </c>
      <c r="IL20" s="1">
        <f>Table15678[[#This Row],[Total_Cost_MUSD]]*Table15678[[#This Row],[prob500-failure_rating7]]/500</f>
        <v>1.3792611517200001E-6</v>
      </c>
      <c r="IM20" s="1">
        <f>Table15678[[#This Row],[Total_Cost_MUSD]]*Table15678[[#This Row],[prob500-failure_rating8]]/500</f>
        <v>3.0650247815999998E-8</v>
      </c>
      <c r="IN20" s="1">
        <f>Table15678[[#This Row],[Total_Cost_MUSD]]*Table15678[[#This Row],[prob500-failure_rating9]]/500</f>
        <v>1.9156404885000001E-8</v>
      </c>
      <c r="IO20" s="1">
        <f>Table15678[[#This Row],[Total_Cost_MUSD]]*Table15678[[#This Row],[prob100-failure_rating1]]/100</f>
        <v>0.3831280977</v>
      </c>
      <c r="IP20" s="1">
        <f>Table15678[[#This Row],[Total_Cost_MUSD]]*Table15678[[#This Row],[prob100-failure_rating2]]/100</f>
        <v>3.8312809769999998E-3</v>
      </c>
      <c r="IQ20" s="1">
        <f>Table15678[[#This Row],[Total_Cost_MUSD]]*Table15678[[#This Row],[prob100-failure_rating3]]/100</f>
        <v>4.7891012212499998E-4</v>
      </c>
      <c r="IR20" s="1">
        <f>Table15678[[#This Row],[Total_Cost_MUSD]]*Table15678[[#This Row],[prob100-failure_rating4]]/100</f>
        <v>1.0536022686750001E-4</v>
      </c>
      <c r="IS20" s="1">
        <f>Table15678[[#This Row],[Total_Cost_MUSD]]*Table15678[[#This Row],[prob100-failure_rating5]]/100</f>
        <v>3.8312809770000005E-5</v>
      </c>
      <c r="IT20" s="1">
        <f>Table15678[[#This Row],[Total_Cost_MUSD]]*Table15678[[#This Row],[prob100-failure_rating6]]/100</f>
        <v>6.7047417097500002E-6</v>
      </c>
      <c r="IU20" s="1">
        <f>Table15678[[#This Row],[Total_Cost_MUSD]]*Table15678[[#This Row],[prob100-failure_rating7]]/100</f>
        <v>1.7240764396500003E-6</v>
      </c>
      <c r="IV20" s="1">
        <f>Table15678[[#This Row],[Total_Cost_MUSD]]*Table15678[[#This Row],[prob100-failure_rating8]]/100</f>
        <v>1.7240764396500003E-6</v>
      </c>
      <c r="IW20" s="1">
        <f>Table15678[[#This Row],[Total_Cost_MUSD]]*Table15678[[#This Row],[prob100-failure_rating9]]/100</f>
        <v>3.8312809770000001E-8</v>
      </c>
      <c r="IX20" s="1">
        <f>Table15678[[#This Row],[Total_Cost_MUSD]]*Table15678[[#This Row],[prob50-failure_rating1]]/50</f>
        <v>7.6625619539999997E-3</v>
      </c>
      <c r="IY20" s="1">
        <f>Table15678[[#This Row],[Total_Cost_MUSD]]*Table15678[[#This Row],[prob50-failure_rating2]]/50</f>
        <v>6.3854682950000008E-4</v>
      </c>
      <c r="IZ20" s="1">
        <f>Table15678[[#This Row],[Total_Cost_MUSD]]*Table15678[[#This Row],[prob50-failure_rating3]]/50</f>
        <v>1.4048030249000002E-4</v>
      </c>
      <c r="JA20" s="1">
        <f>Table15678[[#This Row],[Total_Cost_MUSD]]*Table15678[[#This Row],[prob50-failure_rating4]]/50</f>
        <v>5.1083746360000007E-5</v>
      </c>
      <c r="JB20" s="1">
        <f>Table15678[[#This Row],[Total_Cost_MUSD]]*Table15678[[#This Row],[prob50-failure_rating5]]/50</f>
        <v>8.9396556130000008E-6</v>
      </c>
      <c r="JC20" s="1">
        <f>Table15678[[#This Row],[Total_Cost_MUSD]]*Table15678[[#This Row],[prob50-failure_rating6]]/50</f>
        <v>2.2987685861999998E-6</v>
      </c>
      <c r="JD20" s="1">
        <f>Table15678[[#This Row],[Total_Cost_MUSD]]*Table15678[[#This Row],[prob50-failure_rating7]]/50</f>
        <v>2.2987685861999998E-6</v>
      </c>
      <c r="JE20" s="1">
        <f>Table15678[[#This Row],[Total_Cost_MUSD]]*Table15678[[#This Row],[prob50-failure_rating8]]/50</f>
        <v>5.1083746360000002E-8</v>
      </c>
      <c r="JF20" s="1">
        <f>Table15678[[#This Row],[Total_Cost_MUSD]]*Table15678[[#This Row],[prob50-failure_rating9]]/50</f>
        <v>3.1927341475000001E-8</v>
      </c>
      <c r="JG20" s="1">
        <f>Table15678[[#This Row],[Total_Cost_MUSD]]*Table15678[[#This Row],[prob10-failure_rating1]]/10</f>
        <v>3.8312809769999998E-2</v>
      </c>
      <c r="JH20" s="1">
        <f>Table15678[[#This Row],[Total_Cost_MUSD]]*Table15678[[#This Row],[prob10-failure_rating2]]/10</f>
        <v>1.9156404885000001E-3</v>
      </c>
      <c r="JI20" s="1">
        <f>Table15678[[#This Row],[Total_Cost_MUSD]]*Table15678[[#This Row],[prob10-failure_rating3]]/10</f>
        <v>4.2144090747E-4</v>
      </c>
      <c r="JJ20" s="1">
        <f>Table15678[[#This Row],[Total_Cost_MUSD]]*Table15678[[#This Row],[prob10-failure_rating4]]/10</f>
        <v>1.5325123908000002E-4</v>
      </c>
      <c r="JK20" s="1">
        <f>Table15678[[#This Row],[Total_Cost_MUSD]]*Table15678[[#This Row],[prob10-failure_rating5]]/10</f>
        <v>2.6818966838999997E-5</v>
      </c>
      <c r="JL20" s="1">
        <f>Table15678[[#This Row],[Total_Cost_MUSD]]*Table15678[[#This Row],[prob10-failure_rating6]]/10</f>
        <v>6.8963057586000012E-6</v>
      </c>
      <c r="JM20" s="1">
        <f>Table15678[[#This Row],[Total_Cost_MUSD]]*Table15678[[#This Row],[prob10-failure_rating7]]/10</f>
        <v>6.8963057586000012E-6</v>
      </c>
      <c r="JN20" s="1">
        <f>Table15678[[#This Row],[Total_Cost_MUSD]]*Table15678[[#This Row],[prob10-failure_rating8]]/10</f>
        <v>1.5325123908000001E-7</v>
      </c>
      <c r="JO20" s="1">
        <f>Table15678[[#This Row],[Total_Cost_MUSD]]*Table15678[[#This Row],[prob10-failure_rating9]]/10</f>
        <v>9.5782024424999997E-8</v>
      </c>
      <c r="JP20" s="1">
        <f>Table15678[[#This Row],[FailureCost_Rating1]]</f>
        <v>6768.5963927000012</v>
      </c>
      <c r="JQ20" s="1">
        <f>Table15678[[#This Row],[FailureCost_Rating2]]</f>
        <v>6768.5963927000012</v>
      </c>
      <c r="JR20" s="1">
        <f>(Table15678[[#This Row],[failurecost500_rating2]]+Table15678[[#This Row],[failurecost100_rating2]]+Table15678[[#This Row],[failurecost50_rating2]]+Table15678[[#This Row],[failurecost10_rating2]])*1000000</f>
        <v>6768.5963927000012</v>
      </c>
      <c r="JS20" s="1">
        <f>(Table15678[[#This Row],[failurecost500_rating3]]+Table15678[[#This Row],[failurecost100_rating3]]+Table15678[[#This Row],[failurecost50_rating3]]+Table15678[[#This Row],[failurecost10_rating3]])*1000000</f>
        <v>1125.1195135790001</v>
      </c>
      <c r="JT20" s="1">
        <f>(Table15678[[#This Row],[failurecost500_rating4]]+Table15678[[#This Row],[failurecost100_rating4]]+Table15678[[#This Row],[failurecost50_rating4]]+Table15678[[#This Row],[failurecost10_rating4]])*1000000</f>
        <v>340.34546012350006</v>
      </c>
      <c r="JU20" s="1">
        <f>(Table15678[[#This Row],[failurecost500_rating5]]+Table15678[[#This Row],[failurecost100_rating5]]+Table15678[[#This Row],[failurecost50_rating5]]+Table15678[[#This Row],[failurecost10_rating5]])*1000000</f>
        <v>79.435225589799998</v>
      </c>
      <c r="JV20" s="1">
        <f>(Table15678[[#This Row],[failurecost500_rating6]]+Table15678[[#This Row],[failurecost100_rating6]]+Table15678[[#This Row],[failurecost50_rating6]]+Table15678[[#This Row],[failurecost10_rating6]])*1000000</f>
        <v>17.279077206269999</v>
      </c>
      <c r="JW20" s="1">
        <f>(Table15678[[#This Row],[failurecost500_rating7]]+Table15678[[#This Row],[failurecost100_rating7]]+Table15678[[#This Row],[failurecost50_rating7]]+Table15678[[#This Row],[failurecost10_rating7]])*1000000</f>
        <v>12.298411936170002</v>
      </c>
      <c r="JX20" s="1">
        <f>(Table15678[[#This Row],[failurecost500_rating8]]+Table15678[[#This Row],[failurecost100_rating8]]+Table15678[[#This Row],[failurecost50_rating8]]+Table15678[[#This Row],[failurecost10_rating8]])*1000000</f>
        <v>1.9590616729060004</v>
      </c>
      <c r="JY20" s="1">
        <f>(Table15678[[#This Row],[failurecost500_rating9]]+Table15678[[#This Row],[failurecost100_rating9]]+Table15678[[#This Row],[failurecost50_rating9]]+Table15678[[#This Row],[failurecost10_rating9]])*1000000</f>
        <v>0.185178580555</v>
      </c>
    </row>
    <row r="23" spans="1:285" x14ac:dyDescent="0.3">
      <c r="GF23">
        <f>GF2/MAX($GF$2:$GF$20)</f>
        <v>0.34712348266138754</v>
      </c>
    </row>
    <row r="24" spans="1:285" x14ac:dyDescent="0.3">
      <c r="GF24">
        <f t="shared" ref="GF24:GF41" si="0">GF3/MAX($GF$2:$GF$20)</f>
        <v>0.22693402991348088</v>
      </c>
    </row>
    <row r="25" spans="1:285" x14ac:dyDescent="0.3">
      <c r="GF25">
        <f t="shared" si="0"/>
        <v>0.43551403448261289</v>
      </c>
    </row>
    <row r="26" spans="1:285" x14ac:dyDescent="0.3">
      <c r="GF26">
        <f t="shared" si="0"/>
        <v>0.19307652933168412</v>
      </c>
    </row>
    <row r="27" spans="1:285" x14ac:dyDescent="0.3">
      <c r="GF27">
        <f t="shared" si="0"/>
        <v>0.29429190424682322</v>
      </c>
    </row>
    <row r="28" spans="1:285" x14ac:dyDescent="0.3">
      <c r="GF28">
        <f t="shared" si="0"/>
        <v>0.11065577197722588</v>
      </c>
    </row>
    <row r="29" spans="1:285" x14ac:dyDescent="0.3">
      <c r="GF29">
        <f t="shared" si="0"/>
        <v>0.57395434798181266</v>
      </c>
    </row>
    <row r="30" spans="1:285" x14ac:dyDescent="0.3">
      <c r="GF30">
        <f t="shared" si="0"/>
        <v>0.5116623993427073</v>
      </c>
    </row>
    <row r="31" spans="1:285" x14ac:dyDescent="0.3">
      <c r="GF31">
        <f t="shared" si="0"/>
        <v>0.21414284191906768</v>
      </c>
    </row>
    <row r="32" spans="1:285" x14ac:dyDescent="0.3">
      <c r="GF32">
        <f t="shared" si="0"/>
        <v>0.7415102688261348</v>
      </c>
    </row>
    <row r="33" spans="188:188" x14ac:dyDescent="0.3">
      <c r="GF33">
        <f t="shared" si="0"/>
        <v>0.14725942087890762</v>
      </c>
    </row>
    <row r="34" spans="188:188" x14ac:dyDescent="0.3">
      <c r="GF34">
        <f t="shared" si="0"/>
        <v>0.30823946562341908</v>
      </c>
    </row>
    <row r="35" spans="188:188" x14ac:dyDescent="0.3">
      <c r="GF35">
        <f t="shared" si="0"/>
        <v>1</v>
      </c>
    </row>
    <row r="36" spans="188:188" x14ac:dyDescent="0.3">
      <c r="GF36">
        <f t="shared" si="0"/>
        <v>0.61328448247989853</v>
      </c>
    </row>
    <row r="37" spans="188:188" x14ac:dyDescent="0.3">
      <c r="GF37">
        <f t="shared" si="0"/>
        <v>0.88568085520561302</v>
      </c>
    </row>
    <row r="38" spans="188:188" x14ac:dyDescent="0.3">
      <c r="GF38">
        <f t="shared" si="0"/>
        <v>9.9901139968334191E-2</v>
      </c>
    </row>
    <row r="39" spans="188:188" x14ac:dyDescent="0.3">
      <c r="GF39">
        <f t="shared" si="0"/>
        <v>3.4064428925783451E-2</v>
      </c>
    </row>
    <row r="40" spans="188:188" x14ac:dyDescent="0.3">
      <c r="GF40">
        <f t="shared" si="0"/>
        <v>0.35393850225799411</v>
      </c>
    </row>
    <row r="41" spans="188:188" x14ac:dyDescent="0.3">
      <c r="GF41">
        <f t="shared" si="0"/>
        <v>0.45874144079776369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1DF7-4F54-47CE-9336-4D78970CDA3C}">
  <dimension ref="A1:X50"/>
  <sheetViews>
    <sheetView workbookViewId="0">
      <selection activeCell="Q13" sqref="Q13"/>
    </sheetView>
  </sheetViews>
  <sheetFormatPr defaultRowHeight="14.4" x14ac:dyDescent="0.3"/>
  <cols>
    <col min="10" max="10" width="10" bestFit="1" customWidth="1"/>
    <col min="17" max="17" width="12" bestFit="1" customWidth="1"/>
  </cols>
  <sheetData>
    <row r="1" spans="1:24" x14ac:dyDescent="0.3">
      <c r="A1" s="4"/>
      <c r="D1">
        <v>17027.915453333335</v>
      </c>
      <c r="E1">
        <v>9578.2024425000018</v>
      </c>
      <c r="F1">
        <v>6130.0495632000011</v>
      </c>
      <c r="G1">
        <v>4256.9788633333337</v>
      </c>
      <c r="H1">
        <v>3127.5763077551023</v>
      </c>
      <c r="I1">
        <v>2394.5506106250004</v>
      </c>
      <c r="J1">
        <v>1891.9906059259258</v>
      </c>
      <c r="R1" s="10" t="s">
        <v>412</v>
      </c>
      <c r="S1" s="10"/>
      <c r="T1" s="10"/>
      <c r="U1" s="10"/>
      <c r="V1" s="10"/>
      <c r="W1" s="10"/>
      <c r="X1" s="10"/>
    </row>
    <row r="2" spans="1:24" x14ac:dyDescent="0.3">
      <c r="A2" s="4"/>
      <c r="R2" s="10" t="s">
        <v>412</v>
      </c>
      <c r="S2" s="10"/>
      <c r="T2" s="10"/>
      <c r="U2" s="10"/>
      <c r="V2" s="10"/>
      <c r="W2" s="10"/>
      <c r="X2" s="10"/>
    </row>
    <row r="3" spans="1:24" x14ac:dyDescent="0.3">
      <c r="A3" s="4"/>
    </row>
    <row r="4" spans="1:24" x14ac:dyDescent="0.3">
      <c r="A4" s="4"/>
    </row>
    <row r="5" spans="1:24" x14ac:dyDescent="0.3">
      <c r="A5" s="4"/>
    </row>
    <row r="6" spans="1:24" x14ac:dyDescent="0.3">
      <c r="A6" s="4"/>
      <c r="D6">
        <v>17027.915453333335</v>
      </c>
    </row>
    <row r="7" spans="1:24" x14ac:dyDescent="0.3">
      <c r="A7" s="4"/>
      <c r="D7">
        <v>9578.2024425000018</v>
      </c>
    </row>
    <row r="8" spans="1:24" x14ac:dyDescent="0.3">
      <c r="D8">
        <v>6130.0495632000011</v>
      </c>
    </row>
    <row r="9" spans="1:24" x14ac:dyDescent="0.3">
      <c r="D9">
        <v>4256.9788633333337</v>
      </c>
    </row>
    <row r="10" spans="1:24" x14ac:dyDescent="0.3">
      <c r="D10">
        <v>3127.5763077551023</v>
      </c>
    </row>
    <row r="11" spans="1:24" x14ac:dyDescent="0.3">
      <c r="D11">
        <v>2394.5506106250004</v>
      </c>
    </row>
    <row r="12" spans="1:24" x14ac:dyDescent="0.3">
      <c r="D12">
        <v>1891.9906059259258</v>
      </c>
    </row>
    <row r="32" spans="1:24" x14ac:dyDescent="0.3">
      <c r="A32" s="4">
        <v>28.990788219999999</v>
      </c>
      <c r="B32" s="4">
        <v>0</v>
      </c>
      <c r="C32" s="4">
        <v>0</v>
      </c>
      <c r="D32" s="4">
        <v>0</v>
      </c>
      <c r="E32" s="4">
        <v>0</v>
      </c>
      <c r="F32" s="4">
        <v>8</v>
      </c>
      <c r="G32" s="4">
        <v>25769.589528888886</v>
      </c>
      <c r="H32" s="4">
        <v>14495.394110000001</v>
      </c>
      <c r="I32" s="4">
        <v>9277.0522304000006</v>
      </c>
      <c r="J32" s="4">
        <v>6442.3973822222215</v>
      </c>
      <c r="K32" s="4">
        <v>4733.1899134693876</v>
      </c>
      <c r="L32" s="4">
        <v>3623.8485275000003</v>
      </c>
      <c r="M32" s="4">
        <v>2863.2877254320983</v>
      </c>
      <c r="Q32">
        <f>G32/(1000000*$A32)</f>
        <v>8.8888888888888882E-4</v>
      </c>
      <c r="R32">
        <f t="shared" ref="R32:W32" si="0">H32/(1000000*$A32)</f>
        <v>5.0000000000000001E-4</v>
      </c>
      <c r="S32">
        <f t="shared" si="0"/>
        <v>3.2000000000000003E-4</v>
      </c>
      <c r="T32">
        <f t="shared" si="0"/>
        <v>2.2222222222222221E-4</v>
      </c>
      <c r="U32">
        <f t="shared" si="0"/>
        <v>1.6326530612244898E-4</v>
      </c>
      <c r="V32">
        <f t="shared" si="0"/>
        <v>1.25E-4</v>
      </c>
      <c r="W32">
        <f t="shared" si="0"/>
        <v>9.8765432098765426E-5</v>
      </c>
      <c r="X32">
        <f>N32/(1000000*$A32)</f>
        <v>0</v>
      </c>
    </row>
    <row r="33" spans="1:24" x14ac:dyDescent="0.3">
      <c r="A33" s="5">
        <v>18.95289927</v>
      </c>
      <c r="B33" s="5">
        <v>0</v>
      </c>
      <c r="C33" s="5">
        <v>0</v>
      </c>
      <c r="D33" s="5">
        <v>0</v>
      </c>
      <c r="E33" s="5">
        <v>0</v>
      </c>
      <c r="F33" s="5">
        <v>5</v>
      </c>
      <c r="G33" s="5">
        <v>16847.021573333332</v>
      </c>
      <c r="H33" s="5">
        <v>9476.4496350000009</v>
      </c>
      <c r="I33" s="5">
        <v>6064.9277664000001</v>
      </c>
      <c r="J33" s="5">
        <v>4211.7553933333329</v>
      </c>
      <c r="K33" s="5">
        <v>3094.3509012244895</v>
      </c>
      <c r="L33" s="5">
        <v>2369.1124087500002</v>
      </c>
      <c r="M33" s="5">
        <v>1871.8912859259258</v>
      </c>
      <c r="Q33">
        <f t="shared" ref="Q33:Q50" si="1">G33/(1000000*$A33)</f>
        <v>8.8888888888888882E-4</v>
      </c>
      <c r="R33">
        <f t="shared" ref="R33:R50" si="2">H33/(1000000*$A33)</f>
        <v>5.0000000000000001E-4</v>
      </c>
      <c r="S33">
        <f t="shared" ref="S33:S50" si="3">I33/(1000000*$A33)</f>
        <v>3.2000000000000003E-4</v>
      </c>
      <c r="T33">
        <f t="shared" ref="T33:T50" si="4">J33/(1000000*$A33)</f>
        <v>2.2222222222222221E-4</v>
      </c>
      <c r="U33">
        <f t="shared" ref="U33:U50" si="5">K33/(1000000*$A33)</f>
        <v>1.6326530612244895E-4</v>
      </c>
      <c r="V33">
        <f t="shared" ref="V33:V50" si="6">L33/(1000000*$A33)</f>
        <v>1.25E-4</v>
      </c>
      <c r="W33">
        <f t="shared" ref="W33:W50" si="7">M33/(1000000*$A33)</f>
        <v>9.8765432098765426E-5</v>
      </c>
      <c r="X33">
        <f t="shared" ref="X33:X50" si="8">N33/(1000000*$A33)</f>
        <v>0</v>
      </c>
    </row>
    <row r="34" spans="1:24" x14ac:dyDescent="0.3">
      <c r="A34" s="4">
        <v>36.37292137</v>
      </c>
      <c r="B34" s="4">
        <v>0</v>
      </c>
      <c r="C34" s="4">
        <v>0</v>
      </c>
      <c r="D34" s="4">
        <v>0</v>
      </c>
      <c r="E34" s="4">
        <v>0</v>
      </c>
      <c r="F34" s="4">
        <v>8</v>
      </c>
      <c r="G34" s="4">
        <v>32331.485662222221</v>
      </c>
      <c r="H34" s="4">
        <v>18186.460684999998</v>
      </c>
      <c r="I34" s="4">
        <v>11639.334838400002</v>
      </c>
      <c r="J34" s="4">
        <v>8082.8714155555554</v>
      </c>
      <c r="K34" s="4">
        <v>5938.4361420408168</v>
      </c>
      <c r="L34" s="4">
        <v>4546.6151712499995</v>
      </c>
      <c r="M34" s="4">
        <v>3592.387295802469</v>
      </c>
      <c r="Q34">
        <f t="shared" si="1"/>
        <v>8.8888888888888893E-4</v>
      </c>
      <c r="R34">
        <f t="shared" si="2"/>
        <v>5.0000000000000001E-4</v>
      </c>
      <c r="S34">
        <f t="shared" si="3"/>
        <v>3.2000000000000008E-4</v>
      </c>
      <c r="T34">
        <f t="shared" si="4"/>
        <v>2.2222222222222223E-4</v>
      </c>
      <c r="U34">
        <f t="shared" si="5"/>
        <v>1.6326530612244901E-4</v>
      </c>
      <c r="V34">
        <f t="shared" si="6"/>
        <v>1.25E-4</v>
      </c>
      <c r="W34">
        <f t="shared" si="7"/>
        <v>9.876543209876544E-5</v>
      </c>
      <c r="X34">
        <f t="shared" si="8"/>
        <v>0</v>
      </c>
    </row>
    <row r="35" spans="1:24" x14ac:dyDescent="0.3">
      <c r="A35" s="5">
        <v>16.12521495</v>
      </c>
      <c r="B35" s="5">
        <v>0</v>
      </c>
      <c r="C35" s="5">
        <v>0</v>
      </c>
      <c r="D35" s="5">
        <v>0</v>
      </c>
      <c r="E35" s="5">
        <v>0</v>
      </c>
      <c r="F35" s="5">
        <v>8</v>
      </c>
      <c r="G35" s="5">
        <v>14333.524399999998</v>
      </c>
      <c r="H35" s="5">
        <v>8062.6074750000007</v>
      </c>
      <c r="I35" s="5">
        <v>5160.068784000001</v>
      </c>
      <c r="J35" s="5">
        <v>3583.3810999999996</v>
      </c>
      <c r="K35" s="5">
        <v>2632.6881551020406</v>
      </c>
      <c r="L35" s="5">
        <v>2015.6518687500002</v>
      </c>
      <c r="M35" s="5">
        <v>1592.6138222222221</v>
      </c>
      <c r="Q35">
        <f t="shared" si="1"/>
        <v>8.8888888888888882E-4</v>
      </c>
      <c r="R35">
        <f t="shared" si="2"/>
        <v>5.0000000000000012E-4</v>
      </c>
      <c r="S35">
        <f t="shared" si="3"/>
        <v>3.2000000000000008E-4</v>
      </c>
      <c r="T35">
        <f t="shared" si="4"/>
        <v>2.2222222222222221E-4</v>
      </c>
      <c r="U35">
        <f t="shared" si="5"/>
        <v>1.6326530612244898E-4</v>
      </c>
      <c r="V35">
        <f t="shared" si="6"/>
        <v>1.2500000000000003E-4</v>
      </c>
      <c r="W35">
        <f t="shared" si="7"/>
        <v>9.8765432098765426E-5</v>
      </c>
      <c r="X35">
        <f t="shared" si="8"/>
        <v>0</v>
      </c>
    </row>
    <row r="36" spans="1:24" x14ac:dyDescent="0.3">
      <c r="A36" s="4">
        <v>24.57844167</v>
      </c>
      <c r="B36" s="4">
        <v>0</v>
      </c>
      <c r="C36" s="4">
        <v>0</v>
      </c>
      <c r="D36" s="4">
        <v>0</v>
      </c>
      <c r="E36" s="4">
        <v>0</v>
      </c>
      <c r="F36" s="4">
        <v>3</v>
      </c>
      <c r="G36" s="4">
        <v>21847.503706666663</v>
      </c>
      <c r="H36" s="4">
        <v>12289.220835</v>
      </c>
      <c r="I36" s="4">
        <v>7865.1013344000003</v>
      </c>
      <c r="J36" s="4">
        <v>5461.8759266666657</v>
      </c>
      <c r="K36" s="4">
        <v>4012.8068032653064</v>
      </c>
      <c r="L36" s="4">
        <v>3072.30520875</v>
      </c>
      <c r="M36" s="4">
        <v>2427.5004118518518</v>
      </c>
      <c r="Q36">
        <f t="shared" si="1"/>
        <v>8.8888888888888871E-4</v>
      </c>
      <c r="R36">
        <f t="shared" si="2"/>
        <v>5.0000000000000001E-4</v>
      </c>
      <c r="S36">
        <f t="shared" si="3"/>
        <v>3.1999999999999997E-4</v>
      </c>
      <c r="T36">
        <f t="shared" si="4"/>
        <v>2.2222222222222218E-4</v>
      </c>
      <c r="U36">
        <f t="shared" si="5"/>
        <v>1.6326530612244898E-4</v>
      </c>
      <c r="V36">
        <f t="shared" si="6"/>
        <v>1.25E-4</v>
      </c>
      <c r="W36">
        <f t="shared" si="7"/>
        <v>9.8765432098765426E-5</v>
      </c>
      <c r="X36">
        <f t="shared" si="8"/>
        <v>0</v>
      </c>
    </row>
    <row r="37" spans="1:24" x14ac:dyDescent="0.3">
      <c r="A37" s="5">
        <v>9.2416624370000005</v>
      </c>
      <c r="B37" s="5">
        <v>0</v>
      </c>
      <c r="C37" s="5">
        <v>0</v>
      </c>
      <c r="D37" s="5">
        <v>0</v>
      </c>
      <c r="E37" s="5">
        <v>0</v>
      </c>
      <c r="F37" s="5">
        <v>8</v>
      </c>
      <c r="G37" s="5">
        <v>8214.8110551111113</v>
      </c>
      <c r="H37" s="5">
        <v>4620.8312184999995</v>
      </c>
      <c r="I37" s="5">
        <v>2957.3319798400003</v>
      </c>
      <c r="J37" s="5">
        <v>2053.7027637777778</v>
      </c>
      <c r="K37" s="5">
        <v>1508.8428468571431</v>
      </c>
      <c r="L37" s="5">
        <v>1155.2078046249999</v>
      </c>
      <c r="M37" s="5">
        <v>912.75678390123448</v>
      </c>
      <c r="Q37">
        <f t="shared" si="1"/>
        <v>8.8888888888888882E-4</v>
      </c>
      <c r="R37">
        <f t="shared" si="2"/>
        <v>4.999999999999999E-4</v>
      </c>
      <c r="S37">
        <f t="shared" si="3"/>
        <v>3.1999999999999997E-4</v>
      </c>
      <c r="T37">
        <f t="shared" si="4"/>
        <v>2.2222222222222221E-4</v>
      </c>
      <c r="U37">
        <f t="shared" si="5"/>
        <v>1.6326530612244898E-4</v>
      </c>
      <c r="V37">
        <f t="shared" si="6"/>
        <v>1.2499999999999998E-4</v>
      </c>
      <c r="W37">
        <f t="shared" si="7"/>
        <v>9.8765432098765413E-5</v>
      </c>
      <c r="X37">
        <f t="shared" si="8"/>
        <v>0</v>
      </c>
    </row>
    <row r="38" spans="1:24" x14ac:dyDescent="0.3">
      <c r="A38" s="4">
        <v>47.935071469999997</v>
      </c>
      <c r="B38" s="4">
        <v>0</v>
      </c>
      <c r="C38" s="4">
        <v>0</v>
      </c>
      <c r="D38" s="4">
        <v>0</v>
      </c>
      <c r="E38" s="4">
        <v>0</v>
      </c>
      <c r="F38" s="4">
        <v>9</v>
      </c>
      <c r="G38" s="4">
        <v>42608.952417777771</v>
      </c>
      <c r="H38" s="4">
        <v>23967.535735000001</v>
      </c>
      <c r="I38" s="4">
        <v>15339.222870399999</v>
      </c>
      <c r="J38" s="4">
        <v>10652.238104444443</v>
      </c>
      <c r="K38" s="4">
        <v>7826.1341175510197</v>
      </c>
      <c r="L38" s="4">
        <v>5991.8839337500003</v>
      </c>
      <c r="M38" s="4">
        <v>4734.3280464197533</v>
      </c>
      <c r="Q38">
        <f t="shared" si="1"/>
        <v>8.8888888888888882E-4</v>
      </c>
      <c r="R38">
        <f t="shared" si="2"/>
        <v>5.0000000000000001E-4</v>
      </c>
      <c r="S38">
        <f t="shared" si="3"/>
        <v>3.1999999999999997E-4</v>
      </c>
      <c r="T38">
        <f t="shared" si="4"/>
        <v>2.2222222222222221E-4</v>
      </c>
      <c r="U38">
        <f t="shared" si="5"/>
        <v>1.6326530612244898E-4</v>
      </c>
      <c r="V38">
        <f t="shared" si="6"/>
        <v>1.25E-4</v>
      </c>
      <c r="W38">
        <f t="shared" si="7"/>
        <v>9.876543209876544E-5</v>
      </c>
      <c r="X38">
        <f t="shared" si="8"/>
        <v>0</v>
      </c>
    </row>
    <row r="39" spans="1:24" x14ac:dyDescent="0.3">
      <c r="A39" s="5">
        <v>42.732621100000003</v>
      </c>
      <c r="B39" s="5">
        <v>0</v>
      </c>
      <c r="C39" s="5">
        <v>0</v>
      </c>
      <c r="D39" s="5">
        <v>0</v>
      </c>
      <c r="E39" s="5">
        <v>0</v>
      </c>
      <c r="F39" s="5">
        <v>5</v>
      </c>
      <c r="G39" s="5">
        <v>37984.552088888886</v>
      </c>
      <c r="H39" s="5">
        <v>21366.310550000002</v>
      </c>
      <c r="I39" s="5">
        <v>13674.438752000004</v>
      </c>
      <c r="J39" s="5">
        <v>9496.1380222222215</v>
      </c>
      <c r="K39" s="5">
        <v>6976.7544653061223</v>
      </c>
      <c r="L39" s="5">
        <v>5341.5776375000005</v>
      </c>
      <c r="M39" s="5">
        <v>4220.5057876543215</v>
      </c>
      <c r="Q39">
        <f t="shared" si="1"/>
        <v>8.8888888888888882E-4</v>
      </c>
      <c r="R39">
        <f t="shared" si="2"/>
        <v>5.0000000000000001E-4</v>
      </c>
      <c r="S39">
        <f t="shared" si="3"/>
        <v>3.2000000000000008E-4</v>
      </c>
      <c r="T39">
        <f t="shared" si="4"/>
        <v>2.2222222222222221E-4</v>
      </c>
      <c r="U39">
        <f t="shared" si="5"/>
        <v>1.6326530612244898E-4</v>
      </c>
      <c r="V39">
        <f t="shared" si="6"/>
        <v>1.25E-4</v>
      </c>
      <c r="W39">
        <f t="shared" si="7"/>
        <v>9.876543209876544E-5</v>
      </c>
      <c r="X39">
        <f t="shared" si="8"/>
        <v>0</v>
      </c>
    </row>
    <row r="40" spans="1:24" x14ac:dyDescent="0.3">
      <c r="A40" s="4">
        <v>17.884614809999999</v>
      </c>
      <c r="B40" s="4">
        <v>0</v>
      </c>
      <c r="C40" s="4">
        <v>0</v>
      </c>
      <c r="D40" s="4">
        <v>0</v>
      </c>
      <c r="E40" s="4">
        <v>0</v>
      </c>
      <c r="F40" s="4">
        <v>4</v>
      </c>
      <c r="G40" s="4">
        <v>15897.435386666666</v>
      </c>
      <c r="H40" s="4">
        <v>8942.3074049999996</v>
      </c>
      <c r="I40" s="4">
        <v>5723.0767392000007</v>
      </c>
      <c r="J40" s="4">
        <v>3974.3588466666665</v>
      </c>
      <c r="K40" s="4">
        <v>2919.9371118367344</v>
      </c>
      <c r="L40" s="4">
        <v>2235.5768512499999</v>
      </c>
      <c r="M40" s="4">
        <v>1766.3817096296293</v>
      </c>
      <c r="Q40">
        <f t="shared" si="1"/>
        <v>8.8888888888888893E-4</v>
      </c>
      <c r="R40">
        <f t="shared" si="2"/>
        <v>5.0000000000000001E-4</v>
      </c>
      <c r="S40">
        <f t="shared" si="3"/>
        <v>3.2000000000000008E-4</v>
      </c>
      <c r="T40">
        <f t="shared" si="4"/>
        <v>2.2222222222222223E-4</v>
      </c>
      <c r="U40">
        <f t="shared" si="5"/>
        <v>1.6326530612244898E-4</v>
      </c>
      <c r="V40">
        <f t="shared" si="6"/>
        <v>1.25E-4</v>
      </c>
      <c r="W40">
        <f t="shared" si="7"/>
        <v>9.8765432098765426E-5</v>
      </c>
      <c r="X40">
        <f t="shared" si="8"/>
        <v>0</v>
      </c>
    </row>
    <row r="41" spans="1:24" x14ac:dyDescent="0.3">
      <c r="A41" s="5">
        <v>61.928876150000001</v>
      </c>
      <c r="B41" s="5">
        <v>0</v>
      </c>
      <c r="C41" s="5">
        <v>0</v>
      </c>
      <c r="D41" s="5">
        <v>0</v>
      </c>
      <c r="E41" s="5">
        <v>0</v>
      </c>
      <c r="F41" s="5">
        <v>4</v>
      </c>
      <c r="G41" s="5">
        <v>55047.889911111102</v>
      </c>
      <c r="H41" s="5">
        <v>30964.438074999998</v>
      </c>
      <c r="I41" s="5">
        <v>19817.240368000002</v>
      </c>
      <c r="J41" s="5">
        <v>13761.972477777776</v>
      </c>
      <c r="K41" s="5">
        <v>10110.83692244898</v>
      </c>
      <c r="L41" s="5">
        <v>7741.1095187499996</v>
      </c>
      <c r="M41" s="5">
        <v>6116.4322123456786</v>
      </c>
      <c r="Q41">
        <f t="shared" si="1"/>
        <v>8.8888888888888871E-4</v>
      </c>
      <c r="R41">
        <f t="shared" si="2"/>
        <v>5.0000000000000001E-4</v>
      </c>
      <c r="S41">
        <f t="shared" si="3"/>
        <v>3.2000000000000003E-4</v>
      </c>
      <c r="T41">
        <f t="shared" si="4"/>
        <v>2.2222222222222218E-4</v>
      </c>
      <c r="U41">
        <f t="shared" si="5"/>
        <v>1.6326530612244898E-4</v>
      </c>
      <c r="V41">
        <f t="shared" si="6"/>
        <v>1.25E-4</v>
      </c>
      <c r="W41">
        <f t="shared" si="7"/>
        <v>9.8765432098765426E-5</v>
      </c>
      <c r="X41">
        <f t="shared" si="8"/>
        <v>0</v>
      </c>
    </row>
    <row r="42" spans="1:24" x14ac:dyDescent="0.3">
      <c r="A42" s="4">
        <v>12.298697430000001</v>
      </c>
      <c r="B42" s="4">
        <v>0</v>
      </c>
      <c r="C42" s="4">
        <v>0</v>
      </c>
      <c r="D42" s="4">
        <v>0</v>
      </c>
      <c r="E42" s="4">
        <v>0</v>
      </c>
      <c r="F42" s="4">
        <v>5</v>
      </c>
      <c r="G42" s="4">
        <v>10932.175493333332</v>
      </c>
      <c r="H42" s="4">
        <v>6149.348715000001</v>
      </c>
      <c r="I42" s="4">
        <v>3935.5831776</v>
      </c>
      <c r="J42" s="4">
        <v>2733.0438733333331</v>
      </c>
      <c r="K42" s="4">
        <v>2007.9506008163264</v>
      </c>
      <c r="L42" s="4">
        <v>1537.3371787500002</v>
      </c>
      <c r="M42" s="4">
        <v>1214.6861659259259</v>
      </c>
      <c r="Q42">
        <f t="shared" si="1"/>
        <v>8.8888888888888871E-4</v>
      </c>
      <c r="R42">
        <f t="shared" si="2"/>
        <v>5.0000000000000001E-4</v>
      </c>
      <c r="S42">
        <f t="shared" si="3"/>
        <v>3.1999999999999997E-4</v>
      </c>
      <c r="T42">
        <f t="shared" si="4"/>
        <v>2.2222222222222218E-4</v>
      </c>
      <c r="U42">
        <f t="shared" si="5"/>
        <v>1.6326530612244895E-4</v>
      </c>
      <c r="V42">
        <f t="shared" si="6"/>
        <v>1.25E-4</v>
      </c>
      <c r="W42">
        <f t="shared" si="7"/>
        <v>9.8765432098765426E-5</v>
      </c>
      <c r="X42">
        <f t="shared" si="8"/>
        <v>0</v>
      </c>
    </row>
    <row r="43" spans="1:24" x14ac:dyDescent="0.3">
      <c r="A43" s="5">
        <v>25.743303220000001</v>
      </c>
      <c r="B43" s="5">
        <v>0</v>
      </c>
      <c r="C43" s="5">
        <v>0</v>
      </c>
      <c r="D43" s="5">
        <v>0</v>
      </c>
      <c r="E43" s="5">
        <v>0</v>
      </c>
      <c r="F43" s="5">
        <v>5</v>
      </c>
      <c r="G43" s="5">
        <v>22882.936195555554</v>
      </c>
      <c r="H43" s="5">
        <v>12871.651610000001</v>
      </c>
      <c r="I43" s="5">
        <v>8237.8570304000023</v>
      </c>
      <c r="J43" s="5">
        <v>5720.7340488888885</v>
      </c>
      <c r="K43" s="5">
        <v>4202.9882808163275</v>
      </c>
      <c r="L43" s="5">
        <v>3217.9129025000002</v>
      </c>
      <c r="M43" s="5">
        <v>2542.5484661728392</v>
      </c>
      <c r="Q43">
        <f t="shared" si="1"/>
        <v>8.8888888888888871E-4</v>
      </c>
      <c r="R43">
        <f t="shared" si="2"/>
        <v>5.0000000000000001E-4</v>
      </c>
      <c r="S43">
        <f t="shared" si="3"/>
        <v>3.2000000000000008E-4</v>
      </c>
      <c r="T43">
        <f t="shared" si="4"/>
        <v>2.2222222222222218E-4</v>
      </c>
      <c r="U43">
        <f t="shared" si="5"/>
        <v>1.6326530612244901E-4</v>
      </c>
      <c r="V43">
        <f t="shared" si="6"/>
        <v>1.25E-4</v>
      </c>
      <c r="W43">
        <f t="shared" si="7"/>
        <v>9.8765432098765413E-5</v>
      </c>
      <c r="X43">
        <f t="shared" si="8"/>
        <v>0</v>
      </c>
    </row>
    <row r="44" spans="1:24" x14ac:dyDescent="0.3">
      <c r="A44" s="4">
        <v>83.517219859999997</v>
      </c>
      <c r="B44" s="4">
        <v>0</v>
      </c>
      <c r="C44" s="4">
        <v>0</v>
      </c>
      <c r="D44" s="4">
        <v>0</v>
      </c>
      <c r="E44" s="4">
        <v>0</v>
      </c>
      <c r="F44" s="4">
        <v>9</v>
      </c>
      <c r="G44" s="4">
        <v>74237.528764444432</v>
      </c>
      <c r="H44" s="4">
        <v>41758.609930000006</v>
      </c>
      <c r="I44" s="4">
        <v>26725.510355200004</v>
      </c>
      <c r="J44" s="4">
        <v>18559.382191111108</v>
      </c>
      <c r="K44" s="4">
        <v>13635.464466938776</v>
      </c>
      <c r="L44" s="4">
        <v>10439.652482500001</v>
      </c>
      <c r="M44" s="4">
        <v>8248.6143071604929</v>
      </c>
      <c r="Q44">
        <f t="shared" si="1"/>
        <v>8.8888888888888871E-4</v>
      </c>
      <c r="R44">
        <f t="shared" si="2"/>
        <v>5.0000000000000012E-4</v>
      </c>
      <c r="S44">
        <f t="shared" si="3"/>
        <v>3.2000000000000003E-4</v>
      </c>
      <c r="T44">
        <f t="shared" si="4"/>
        <v>2.2222222222222218E-4</v>
      </c>
      <c r="U44">
        <f t="shared" si="5"/>
        <v>1.6326530612244898E-4</v>
      </c>
      <c r="V44">
        <f t="shared" si="6"/>
        <v>1.2500000000000003E-4</v>
      </c>
      <c r="W44">
        <f t="shared" si="7"/>
        <v>9.8765432098765426E-5</v>
      </c>
      <c r="X44">
        <f t="shared" si="8"/>
        <v>0</v>
      </c>
    </row>
    <row r="45" spans="1:24" x14ac:dyDescent="0.3">
      <c r="A45" s="5">
        <v>51.219814960000001</v>
      </c>
      <c r="B45" s="5">
        <v>0</v>
      </c>
      <c r="C45" s="5">
        <v>0.25</v>
      </c>
      <c r="D45" s="5">
        <v>0.5</v>
      </c>
      <c r="E45" s="5">
        <v>0.75</v>
      </c>
      <c r="F45" s="5">
        <v>8</v>
      </c>
      <c r="G45" s="5">
        <v>45528.724408888891</v>
      </c>
      <c r="H45" s="5">
        <v>25609.907479999998</v>
      </c>
      <c r="I45" s="5">
        <v>16390.340787200003</v>
      </c>
      <c r="J45" s="5">
        <v>11382.181102222223</v>
      </c>
      <c r="K45" s="5">
        <v>8362.4187689795926</v>
      </c>
      <c r="L45" s="5">
        <v>6402.4768699999995</v>
      </c>
      <c r="M45" s="5">
        <v>5058.7471565432097</v>
      </c>
      <c r="Q45">
        <f t="shared" si="1"/>
        <v>8.8888888888888893E-4</v>
      </c>
      <c r="R45">
        <f t="shared" si="2"/>
        <v>4.999999999999999E-4</v>
      </c>
      <c r="S45">
        <f t="shared" si="3"/>
        <v>3.2000000000000003E-4</v>
      </c>
      <c r="T45">
        <f t="shared" si="4"/>
        <v>2.2222222222222223E-4</v>
      </c>
      <c r="U45">
        <f t="shared" si="5"/>
        <v>1.6326530612244898E-4</v>
      </c>
      <c r="V45">
        <f t="shared" si="6"/>
        <v>1.2499999999999998E-4</v>
      </c>
      <c r="W45">
        <f t="shared" si="7"/>
        <v>9.8765432098765426E-5</v>
      </c>
      <c r="X45">
        <f t="shared" si="8"/>
        <v>0</v>
      </c>
    </row>
    <row r="46" spans="1:24" x14ac:dyDescent="0.3">
      <c r="A46" s="4">
        <v>73.969602710000004</v>
      </c>
      <c r="B46" s="4">
        <v>0</v>
      </c>
      <c r="C46" s="4">
        <v>0.25</v>
      </c>
      <c r="D46" s="4">
        <v>0.5</v>
      </c>
      <c r="E46" s="4">
        <v>0.75</v>
      </c>
      <c r="F46" s="4">
        <v>8</v>
      </c>
      <c r="G46" s="4">
        <v>65750.757964444449</v>
      </c>
      <c r="H46" s="4">
        <v>36984.801354999996</v>
      </c>
      <c r="I46" s="4">
        <v>23670.272867200001</v>
      </c>
      <c r="J46" s="4">
        <v>16437.689491111112</v>
      </c>
      <c r="K46" s="4">
        <v>12076.669830204082</v>
      </c>
      <c r="L46" s="4">
        <v>9246.200338749999</v>
      </c>
      <c r="M46" s="4">
        <v>7305.6397738271608</v>
      </c>
      <c r="Q46">
        <f t="shared" si="1"/>
        <v>8.8888888888888882E-4</v>
      </c>
      <c r="R46">
        <f t="shared" si="2"/>
        <v>4.999999999999999E-4</v>
      </c>
      <c r="S46">
        <f t="shared" si="3"/>
        <v>3.1999999999999997E-4</v>
      </c>
      <c r="T46">
        <f t="shared" si="4"/>
        <v>2.2222222222222221E-4</v>
      </c>
      <c r="U46">
        <f t="shared" si="5"/>
        <v>1.6326530612244898E-4</v>
      </c>
      <c r="V46">
        <f t="shared" si="6"/>
        <v>1.2499999999999998E-4</v>
      </c>
      <c r="W46">
        <f t="shared" si="7"/>
        <v>9.8765432098765426E-5</v>
      </c>
      <c r="X46">
        <f t="shared" si="8"/>
        <v>0</v>
      </c>
    </row>
    <row r="47" spans="1:24" x14ac:dyDescent="0.3">
      <c r="A47" s="5">
        <v>8.343465471</v>
      </c>
      <c r="B47" s="5">
        <v>0</v>
      </c>
      <c r="C47" s="5">
        <v>0</v>
      </c>
      <c r="D47" s="5">
        <v>0</v>
      </c>
      <c r="E47" s="5">
        <v>0</v>
      </c>
      <c r="F47" s="5">
        <v>9</v>
      </c>
      <c r="G47" s="5">
        <v>7416.4137519999995</v>
      </c>
      <c r="H47" s="5">
        <v>4171.7327355000007</v>
      </c>
      <c r="I47" s="5">
        <v>2669.9089507200001</v>
      </c>
      <c r="J47" s="5">
        <v>1854.1034379999999</v>
      </c>
      <c r="K47" s="5">
        <v>1362.1984442448979</v>
      </c>
      <c r="L47" s="5">
        <v>1042.9331838750002</v>
      </c>
      <c r="M47" s="5">
        <v>824.04597244444449</v>
      </c>
      <c r="Q47">
        <f t="shared" si="1"/>
        <v>8.8888888888888882E-4</v>
      </c>
      <c r="R47">
        <f t="shared" si="2"/>
        <v>5.0000000000000012E-4</v>
      </c>
      <c r="S47">
        <f t="shared" si="3"/>
        <v>3.2000000000000003E-4</v>
      </c>
      <c r="T47">
        <f t="shared" si="4"/>
        <v>2.2222222222222221E-4</v>
      </c>
      <c r="U47">
        <f t="shared" si="5"/>
        <v>1.6326530612244898E-4</v>
      </c>
      <c r="V47">
        <f t="shared" si="6"/>
        <v>1.2500000000000003E-4</v>
      </c>
      <c r="W47">
        <f t="shared" si="7"/>
        <v>9.876543209876544E-5</v>
      </c>
      <c r="X47">
        <f t="shared" si="8"/>
        <v>0</v>
      </c>
    </row>
    <row r="48" spans="1:24" x14ac:dyDescent="0.3">
      <c r="A48" s="4">
        <v>2.8449664000000001</v>
      </c>
      <c r="B48" s="4">
        <v>0</v>
      </c>
      <c r="C48" s="4">
        <v>0</v>
      </c>
      <c r="D48" s="4">
        <v>0</v>
      </c>
      <c r="E48" s="4">
        <v>0</v>
      </c>
      <c r="F48" s="4">
        <v>9</v>
      </c>
      <c r="G48" s="4">
        <v>2528.8590222222219</v>
      </c>
      <c r="H48" s="4">
        <v>1422.4832000000001</v>
      </c>
      <c r="I48" s="4">
        <v>910.38924800000018</v>
      </c>
      <c r="J48" s="4">
        <v>632.21475555555548</v>
      </c>
      <c r="K48" s="4">
        <v>464.48431020408162</v>
      </c>
      <c r="L48" s="4">
        <v>355.62080000000003</v>
      </c>
      <c r="M48" s="4">
        <v>280.9843358024691</v>
      </c>
      <c r="Q48">
        <f t="shared" si="1"/>
        <v>8.8888888888888882E-4</v>
      </c>
      <c r="R48">
        <f t="shared" si="2"/>
        <v>5.0000000000000001E-4</v>
      </c>
      <c r="S48">
        <f t="shared" si="3"/>
        <v>3.2000000000000008E-4</v>
      </c>
      <c r="T48">
        <f t="shared" si="4"/>
        <v>2.2222222222222221E-4</v>
      </c>
      <c r="U48">
        <f t="shared" si="5"/>
        <v>1.6326530612244898E-4</v>
      </c>
      <c r="V48">
        <f t="shared" si="6"/>
        <v>1.25E-4</v>
      </c>
      <c r="W48">
        <f t="shared" si="7"/>
        <v>9.8765432098765426E-5</v>
      </c>
      <c r="X48">
        <f t="shared" si="8"/>
        <v>0</v>
      </c>
    </row>
    <row r="49" spans="1:24" x14ac:dyDescent="0.3">
      <c r="A49" s="5">
        <v>29.559959710000001</v>
      </c>
      <c r="B49" s="5">
        <v>0</v>
      </c>
      <c r="C49" s="5">
        <v>0.25</v>
      </c>
      <c r="D49" s="5">
        <v>0.5</v>
      </c>
      <c r="E49" s="5">
        <v>0.75</v>
      </c>
      <c r="F49" s="5">
        <v>9</v>
      </c>
      <c r="G49" s="5">
        <v>26275.519742222223</v>
      </c>
      <c r="H49" s="5">
        <v>14779.979855</v>
      </c>
      <c r="I49" s="5">
        <v>9459.1871072000013</v>
      </c>
      <c r="J49" s="5">
        <v>6568.8799355555557</v>
      </c>
      <c r="K49" s="5">
        <v>4826.1158710204081</v>
      </c>
      <c r="L49" s="5">
        <v>3694.9949637499999</v>
      </c>
      <c r="M49" s="5">
        <v>2919.502193580247</v>
      </c>
      <c r="Q49">
        <f t="shared" si="1"/>
        <v>8.8888888888888893E-4</v>
      </c>
      <c r="R49">
        <f t="shared" si="2"/>
        <v>5.0000000000000001E-4</v>
      </c>
      <c r="S49">
        <f t="shared" si="3"/>
        <v>3.2000000000000003E-4</v>
      </c>
      <c r="T49">
        <f t="shared" si="4"/>
        <v>2.2222222222222223E-4</v>
      </c>
      <c r="U49">
        <f t="shared" si="5"/>
        <v>1.6326530612244898E-4</v>
      </c>
      <c r="V49">
        <f t="shared" si="6"/>
        <v>1.25E-4</v>
      </c>
      <c r="W49">
        <f t="shared" si="7"/>
        <v>9.8765432098765426E-5</v>
      </c>
      <c r="X49">
        <f t="shared" si="8"/>
        <v>0</v>
      </c>
    </row>
    <row r="50" spans="1:24" x14ac:dyDescent="0.3">
      <c r="A50" s="4">
        <v>38.312809770000001</v>
      </c>
      <c r="B50" s="4">
        <v>0</v>
      </c>
      <c r="C50" s="4">
        <v>0</v>
      </c>
      <c r="D50" s="4">
        <v>0</v>
      </c>
      <c r="E50" s="4">
        <v>0</v>
      </c>
      <c r="F50" s="4">
        <v>7</v>
      </c>
      <c r="G50" s="4">
        <v>34055.83090666667</v>
      </c>
      <c r="H50" s="4">
        <v>19156.404885000004</v>
      </c>
      <c r="I50" s="4">
        <v>12260.099126400002</v>
      </c>
      <c r="J50" s="4">
        <v>8513.9577266666674</v>
      </c>
      <c r="K50" s="4">
        <v>6255.1526155102047</v>
      </c>
      <c r="L50" s="4">
        <v>4789.1012212500009</v>
      </c>
      <c r="M50" s="4">
        <v>3783.9812118518516</v>
      </c>
      <c r="Q50">
        <f t="shared" si="1"/>
        <v>8.8888888888888893E-4</v>
      </c>
      <c r="R50">
        <f t="shared" si="2"/>
        <v>5.0000000000000001E-4</v>
      </c>
      <c r="S50">
        <f t="shared" si="3"/>
        <v>3.2000000000000003E-4</v>
      </c>
      <c r="T50">
        <f t="shared" si="4"/>
        <v>2.2222222222222223E-4</v>
      </c>
      <c r="U50">
        <f t="shared" si="5"/>
        <v>1.6326530612244898E-4</v>
      </c>
      <c r="V50">
        <f t="shared" si="6"/>
        <v>1.25E-4</v>
      </c>
      <c r="W50">
        <f t="shared" si="7"/>
        <v>9.8765432098765413E-5</v>
      </c>
      <c r="X50">
        <f t="shared" si="8"/>
        <v>0</v>
      </c>
    </row>
  </sheetData>
  <mergeCells count="2">
    <mergeCell ref="R1:X1"/>
    <mergeCell ref="R2:X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EACE-7656-4477-86B9-036C7113D429}">
  <dimension ref="A1:JY20"/>
  <sheetViews>
    <sheetView zoomScaleNormal="100" workbookViewId="0">
      <selection activeCell="GV2" sqref="GV2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Table156789[[#This Row],[Depth10_Soil_vol]]*(9.353+9.027)+(Table156789[[#This Row],[Depth10_Soil_vol]]/2.5)*20*1.053+(PI()*Table156789[[#This Row],[Depth10_Scour]])*Table156789[[#This Row],[DECK_WIDTH_MT_052]]*1.062</f>
        <v>11998.897701083155</v>
      </c>
      <c r="AR2" s="1">
        <f>Table156789[[#This Row],[Depth50_Soil_vol]]*(9.353+9.027)+(Table156789[[#This Row],[Depth50_Soil_vol]]/2.5)*20*1.053+(PI()*Table156789[[#This Row],[Depth50_Scour]])*Table156789[[#This Row],[DECK_WIDTH_MT_052]]*1.062</f>
        <v>12798.983727608316</v>
      </c>
      <c r="AS2" s="1">
        <f>Table156789[[#This Row],[Depth100_Soil_vol]]*(9.353+9.027)+(Table156789[[#This Row],[Depth100_Soil_vol]]/2.5)*20*1.053+(PI()*Table156789[[#This Row],[Depth100_Scour]])*Table156789[[#This Row],[DECK_WIDTH_MT_052]]*1.062</f>
        <v>13156.203147223239</v>
      </c>
      <c r="AT2" s="1">
        <f>Table156789[[#This Row],[Depth500_Soil_vol]]*(9.353+9.027)+(Table156789[[#This Row],[Depth500_Soil_vol]]/2.5)*20*1.053+(PI()*Table156789[[#This Row],[Depth500_Scour]])*Table156789[[#This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0.39600000000000002</v>
      </c>
      <c r="GF2" s="1">
        <v>12.245419089090365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10884.816968080324</v>
      </c>
      <c r="GM2" s="1">
        <f>Sheet4!R32*$GF2*1000000</f>
        <v>6122.7095445451832</v>
      </c>
      <c r="GN2" s="1">
        <f>Sheet4!S32*$GF2*1000000</f>
        <v>3918.5341085089176</v>
      </c>
      <c r="GO2" s="1">
        <f>Sheet4!T32*$GF2*1000000</f>
        <v>2721.204242020081</v>
      </c>
      <c r="GP2" s="1">
        <f>Sheet4!U32*$GF2*1000000</f>
        <v>1999.2520961780187</v>
      </c>
      <c r="GQ2" s="1">
        <f>Sheet4!V32*$GF2*1000000</f>
        <v>1530.6773861362958</v>
      </c>
      <c r="GR2" s="1">
        <f>Sheet4!W32*$GF2*1000000</f>
        <v>1209.4241075644804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1</v>
      </c>
      <c r="HF2" s="1">
        <v>0.01</v>
      </c>
      <c r="HG2" s="1">
        <v>1.25E-3</v>
      </c>
      <c r="HH2" s="1">
        <v>2.7500000000000002E-4</v>
      </c>
      <c r="HI2" s="1">
        <v>1E-4</v>
      </c>
      <c r="HJ2" s="1">
        <v>1.7499999999999998E-5</v>
      </c>
      <c r="HK2" s="1">
        <v>4.5000000000000001E-6</v>
      </c>
      <c r="HL2" s="1">
        <v>4.5000000000000001E-6</v>
      </c>
      <c r="HM2" s="1">
        <v>9.9999999999999995E-8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Table156789[[#This Row],[Total_Cost_MUSD]]*1000000*Table156789[[#This Row],[prob500-failure_rating1]]/500</f>
        <v>244.90838178180732</v>
      </c>
      <c r="IG2" s="1">
        <f>Table156789[[#This Row],[Total_Cost_MUSD]]*1000000*Table156789[[#This Row],[prob500-failure_rating2]]/500</f>
        <v>122.45419089090366</v>
      </c>
      <c r="IH2" s="1">
        <f>Table156789[[#This Row],[Total_Cost_MUSD]]*1000000*Table156789[[#This Row],[prob500-failure_rating3]]/500</f>
        <v>26.939921995998809</v>
      </c>
      <c r="II2" s="1">
        <f>Table156789[[#This Row],[Total_Cost_MUSD]]*1000000*Table156789[[#This Row],[prob500-failure_rating4]]/500</f>
        <v>9.7963352712722944</v>
      </c>
      <c r="IJ2" s="1">
        <f>Table156789[[#This Row],[Total_Cost_MUSD]]*1000000*Table156789[[#This Row],[prob500-failure_rating5]]/500</f>
        <v>1.7143586724726509</v>
      </c>
      <c r="IK2" s="1">
        <f>Table156789[[#This Row],[Total_Cost_MUSD]]*1000000*Table156789[[#This Row],[prob500-failure_rating6]]/500</f>
        <v>0.44083508720725317</v>
      </c>
      <c r="IL2" s="1">
        <f>Table156789[[#This Row],[Total_Cost_MUSD]]*1000000*Table156789[[#This Row],[prob500-failure_rating7]]/500</f>
        <v>0.44083508720725317</v>
      </c>
      <c r="IM2" s="1">
        <f>Table156789[[#This Row],[Total_Cost_MUSD]]*1000000*Table156789[[#This Row],[prob500-failure_rating8]]/500</f>
        <v>9.7963352712722926E-3</v>
      </c>
      <c r="IN2" s="1">
        <f>Table156789[[#This Row],[Total_Cost_MUSD]]*1000000*Table156789[[#This Row],[prob500-failure_rating9]]/500</f>
        <v>6.1227095445451829E-3</v>
      </c>
      <c r="IO2" s="1">
        <f>Table156789[[#This Row],[Total_Cost_MUSD]]*1000000*Table156789[[#This Row],[prob100-failure_rating1]]/100</f>
        <v>122454.19089090366</v>
      </c>
      <c r="IP2" s="1">
        <f>Table156789[[#This Row],[Total_Cost_MUSD]]*1000000*Table156789[[#This Row],[prob100-failure_rating2]]/100</f>
        <v>1224.5419089090365</v>
      </c>
      <c r="IQ2" s="1">
        <f>Table156789[[#This Row],[Total_Cost_MUSD]]*1000000*Table156789[[#This Row],[prob100-failure_rating3]]/100</f>
        <v>153.06773861362956</v>
      </c>
      <c r="IR2" s="1">
        <f>Table156789[[#This Row],[Total_Cost_MUSD]]*1000000*Table156789[[#This Row],[prob100-failure_rating4]]/100</f>
        <v>33.674902494998513</v>
      </c>
      <c r="IS2" s="1">
        <f>Table156789[[#This Row],[Total_Cost_MUSD]]*1000000*Table156789[[#This Row],[prob100-failure_rating5]]/100</f>
        <v>12.245419089090367</v>
      </c>
      <c r="IT2" s="1">
        <f>Table156789[[#This Row],[Total_Cost_MUSD]]*1000000*Table156789[[#This Row],[prob100-failure_rating6]]/100</f>
        <v>2.1429483405908138</v>
      </c>
      <c r="IU2" s="1">
        <f>Table156789[[#This Row],[Total_Cost_MUSD]]*1000000*Table156789[[#This Row],[prob100-failure_rating7]]/100</f>
        <v>0.55104385900906649</v>
      </c>
      <c r="IV2" s="1">
        <f>Table156789[[#This Row],[Total_Cost_MUSD]]*1000000*Table156789[[#This Row],[prob100-failure_rating8]]/100</f>
        <v>0.55104385900906649</v>
      </c>
      <c r="IW2" s="1">
        <f>Table156789[[#This Row],[Total_Cost_MUSD]]*1000000*Table156789[[#This Row],[prob100-failure_rating9]]/100</f>
        <v>1.2245419089090366E-2</v>
      </c>
      <c r="IX2" s="1">
        <f>Table156789[[#This Row],[Total_Cost_MUSD]]*1000000*Table156789[[#This Row],[prob50-failure_rating1]]/50</f>
        <v>2449.0838178180729</v>
      </c>
      <c r="IY2" s="1">
        <f>Table156789[[#This Row],[Total_Cost_MUSD]]*1000000*Table156789[[#This Row],[prob50-failure_rating2]]/50</f>
        <v>204.0903181515061</v>
      </c>
      <c r="IZ2" s="1">
        <f>Table156789[[#This Row],[Total_Cost_MUSD]]*1000000*Table156789[[#This Row],[prob50-failure_rating3]]/50</f>
        <v>44.899869993331343</v>
      </c>
      <c r="JA2" s="1">
        <f>Table156789[[#This Row],[Total_Cost_MUSD]]*1000000*Table156789[[#This Row],[prob50-failure_rating4]]/50</f>
        <v>16.327225452120487</v>
      </c>
      <c r="JB2" s="1">
        <f>Table156789[[#This Row],[Total_Cost_MUSD]]*1000000*Table156789[[#This Row],[prob50-failure_rating5]]/50</f>
        <v>2.8572644541210854</v>
      </c>
      <c r="JC2" s="1">
        <f>Table156789[[#This Row],[Total_Cost_MUSD]]*1000000*Table156789[[#This Row],[prob50-failure_rating6]]/50</f>
        <v>0.73472514534542199</v>
      </c>
      <c r="JD2" s="1">
        <f>Table156789[[#This Row],[Total_Cost_MUSD]]*1000000*Table156789[[#This Row],[prob50-failure_rating7]]/50</f>
        <v>0.73472514534542199</v>
      </c>
      <c r="JE2" s="1">
        <f>Table156789[[#This Row],[Total_Cost_MUSD]]*1000000*Table156789[[#This Row],[prob50-failure_rating8]]/50</f>
        <v>1.6327225452120488E-2</v>
      </c>
      <c r="JF2" s="1">
        <f>Table156789[[#This Row],[Total_Cost_MUSD]]*1000000*Table156789[[#This Row],[prob50-failure_rating9]]/50</f>
        <v>1.0204515907575304E-2</v>
      </c>
      <c r="JG2" s="1">
        <f>Table156789[[#This Row],[Total_Cost_MUSD]]*1000000*Table156789[[#This Row],[prob10-failure_rating1]]/10</f>
        <v>12245.419089090366</v>
      </c>
      <c r="JH2" s="1">
        <f>Table156789[[#This Row],[Total_Cost_MUSD]]*1000000*Table156789[[#This Row],[prob10-failure_rating2]]/10</f>
        <v>612.27095445451835</v>
      </c>
      <c r="JI2" s="1">
        <f>Table156789[[#This Row],[Total_Cost_MUSD]]*1000000*Table156789[[#This Row],[prob10-failure_rating3]]/10</f>
        <v>134.69960997999402</v>
      </c>
      <c r="JJ2" s="1">
        <f>Table156789[[#This Row],[Total_Cost_MUSD]]*1000000*Table156789[[#This Row],[prob10-failure_rating4]]/10</f>
        <v>48.981676356361469</v>
      </c>
      <c r="JK2" s="1">
        <f>Table156789[[#This Row],[Total_Cost_MUSD]]*1000000*Table156789[[#This Row],[prob10-failure_rating5]]/10</f>
        <v>8.5717933623632554</v>
      </c>
      <c r="JL2" s="1">
        <f>Table156789[[#This Row],[Total_Cost_MUSD]]*1000000*Table156789[[#This Row],[prob10-failure_rating6]]/10</f>
        <v>2.204175436036266</v>
      </c>
      <c r="JM2" s="1">
        <f>Table156789[[#This Row],[Total_Cost_MUSD]]*1000000*Table156789[[#This Row],[prob10-failure_rating7]]/10</f>
        <v>2.204175436036266</v>
      </c>
      <c r="JN2" s="1">
        <f>Table156789[[#This Row],[Total_Cost_MUSD]]*1000000*Table156789[[#This Row],[prob10-failure_rating8]]/10</f>
        <v>4.8981676356361463E-2</v>
      </c>
      <c r="JO2" s="1">
        <f>Table156789[[#This Row],[Total_Cost_MUSD]]*1000000*Table156789[[#This Row],[prob10-failure_rating9]]/10</f>
        <v>3.0613547722725915E-2</v>
      </c>
      <c r="JP2" s="1">
        <f>Table156789[[#This Row],[FailureCost_Rating1]]</f>
        <v>2163.3573724059647</v>
      </c>
      <c r="JQ2" s="1">
        <f>Table156789[[#This Row],[FailureCost_Rating2]]</f>
        <v>2163.3573724059647</v>
      </c>
      <c r="JR2" s="1">
        <f>(Table156789[[#This Row],[failurecost500_rating2]]+Table156789[[#This Row],[failurecost100_rating2]]+Table156789[[#This Row],[failurecost50_rating2]]+Table156789[[#This Row],[failurecost10_rating2]])</f>
        <v>2163.3573724059647</v>
      </c>
      <c r="JS2" s="1">
        <f>(Table156789[[#This Row],[failurecost500_rating3]]+Table156789[[#This Row],[failurecost100_rating3]]+Table156789[[#This Row],[failurecost50_rating3]]+Table156789[[#This Row],[failurecost10_rating3]])</f>
        <v>359.60714058295378</v>
      </c>
      <c r="JT2" s="1">
        <f>(Table156789[[#This Row],[failurecost500_rating4]]+Table156789[[#This Row],[failurecost100_rating4]]+Table156789[[#This Row],[failurecost50_rating4]]+Table156789[[#This Row],[failurecost10_rating4]])</f>
        <v>108.78013957475275</v>
      </c>
      <c r="JU2" s="1">
        <f>(Table156789[[#This Row],[failurecost500_rating5]]+Table156789[[#This Row],[failurecost100_rating5]]+Table156789[[#This Row],[failurecost50_rating5]]+Table156789[[#This Row],[failurecost10_rating5]])</f>
        <v>25.38883557804736</v>
      </c>
      <c r="JV2" s="1">
        <f>(Table156789[[#This Row],[failurecost500_rating6]]+Table156789[[#This Row],[failurecost100_rating6]]+Table156789[[#This Row],[failurecost50_rating6]]+Table156789[[#This Row],[failurecost10_rating6]])</f>
        <v>5.5226840091797555</v>
      </c>
      <c r="JW2" s="1">
        <f>(Table156789[[#This Row],[failurecost500_rating7]]+Table156789[[#This Row],[failurecost100_rating7]]+Table156789[[#This Row],[failurecost50_rating7]]+Table156789[[#This Row],[failurecost10_rating7]])</f>
        <v>3.9307795275980077</v>
      </c>
      <c r="JX2" s="1">
        <f>(Table156789[[#This Row],[failurecost500_rating8]]+Table156789[[#This Row],[failurecost100_rating8]]+Table156789[[#This Row],[failurecost50_rating8]]+Table156789[[#This Row],[failurecost10_rating8]])</f>
        <v>0.62614909608882074</v>
      </c>
      <c r="JY2" s="1">
        <f>(Table156789[[#This Row],[failurecost500_rating9]]+Table156789[[#This Row],[failurecost100_rating9]]+Table156789[[#This Row],[failurecost50_rating9]]+Table156789[[#This Row],[failurecost10_rating9]])</f>
        <v>5.9186192263936767E-2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Table156789[[#This Row],[Depth10_Soil_vol]]*(9.353+9.027)+(Table156789[[#This Row],[Depth10_Soil_vol]]/2.5)*20*1.053+(PI()*Table156789[[#This Row],[Depth10_Scour]])*Table156789[[#This Row],[DECK_WIDTH_MT_052]]*1.062</f>
        <v>0</v>
      </c>
      <c r="AR3" s="1">
        <f>Table156789[[#This Row],[Depth50_Soil_vol]]*(9.353+9.027)+(Table156789[[#This Row],[Depth50_Soil_vol]]/2.5)*20*1.053+(PI()*Table156789[[#This Row],[Depth50_Scour]])*Table156789[[#This Row],[DECK_WIDTH_MT_052]]*1.062</f>
        <v>9520.728233804819</v>
      </c>
      <c r="AS3" s="1">
        <f>Table156789[[#This Row],[Depth100_Soil_vol]]*(9.353+9.027)+(Table156789[[#This Row],[Depth100_Soil_vol]]/2.5)*20*1.053+(PI()*Table156789[[#This Row],[Depth100_Scour]])*Table156789[[#This Row],[DECK_WIDTH_MT_052]]*1.062</f>
        <v>9985.7559384332872</v>
      </c>
      <c r="AT3" s="1">
        <f>Table156789[[#This Row],[Depth500_Soil_vol]]*(9.353+9.027)+(Table156789[[#This Row],[Depth500_Soil_vol]]/2.5)*20*1.053+(PI()*Table156789[[#This Row],[Depth500_Scour]])*Table156789[[#This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3" s="1">
        <v>16.098028077285825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14309.358290920733</v>
      </c>
      <c r="GM3" s="1">
        <f>Sheet4!R33*$GF3*1000000</f>
        <v>8049.0140386429121</v>
      </c>
      <c r="GN3" s="1">
        <f>Sheet4!S33*$GF3*1000000</f>
        <v>5151.3689847314645</v>
      </c>
      <c r="GO3" s="1">
        <f>Sheet4!T33*$GF3*1000000</f>
        <v>3577.3395727301831</v>
      </c>
      <c r="GP3" s="1">
        <f>Sheet4!U33*$GF3*1000000</f>
        <v>2628.2494820058487</v>
      </c>
      <c r="GQ3" s="1">
        <f>Sheet4!V33*$GF3*1000000</f>
        <v>2012.253509660728</v>
      </c>
      <c r="GR3" s="1">
        <f>Sheet4!W33*$GF3*1000000</f>
        <v>1589.9286989911925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1</v>
      </c>
      <c r="HF3" s="1">
        <v>0.01</v>
      </c>
      <c r="HG3" s="1">
        <v>1.25E-3</v>
      </c>
      <c r="HH3" s="1">
        <v>2.7500000000000002E-4</v>
      </c>
      <c r="HI3" s="1">
        <v>1E-4</v>
      </c>
      <c r="HJ3" s="1">
        <v>1.7499999999999998E-5</v>
      </c>
      <c r="HK3" s="1">
        <v>4.5000000000000001E-6</v>
      </c>
      <c r="HL3" s="1">
        <v>4.5000000000000001E-6</v>
      </c>
      <c r="HM3" s="1">
        <v>9.9999999999999995E-8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Table156789[[#This Row],[Total_Cost_MUSD]]*1000000*Table156789[[#This Row],[prob500-failure_rating1]]/500</f>
        <v>321.96056154571647</v>
      </c>
      <c r="IG3" s="1">
        <f>Table156789[[#This Row],[Total_Cost_MUSD]]*1000000*Table156789[[#This Row],[prob500-failure_rating2]]/500</f>
        <v>160.98028077285824</v>
      </c>
      <c r="IH3" s="1">
        <f>Table156789[[#This Row],[Total_Cost_MUSD]]*1000000*Table156789[[#This Row],[prob500-failure_rating3]]/500</f>
        <v>35.415661770028819</v>
      </c>
      <c r="II3" s="1">
        <f>Table156789[[#This Row],[Total_Cost_MUSD]]*1000000*Table156789[[#This Row],[prob500-failure_rating4]]/500</f>
        <v>12.878422461828661</v>
      </c>
      <c r="IJ3" s="1">
        <f>Table156789[[#This Row],[Total_Cost_MUSD]]*1000000*Table156789[[#This Row],[prob500-failure_rating5]]/500</f>
        <v>2.2537239308200152</v>
      </c>
      <c r="IK3" s="1">
        <f>Table156789[[#This Row],[Total_Cost_MUSD]]*1000000*Table156789[[#This Row],[prob500-failure_rating6]]/500</f>
        <v>0.57952901078228969</v>
      </c>
      <c r="IL3" s="1">
        <f>Table156789[[#This Row],[Total_Cost_MUSD]]*1000000*Table156789[[#This Row],[prob500-failure_rating7]]/500</f>
        <v>0.57952901078228969</v>
      </c>
      <c r="IM3" s="1">
        <f>Table156789[[#This Row],[Total_Cost_MUSD]]*1000000*Table156789[[#This Row],[prob500-failure_rating8]]/500</f>
        <v>1.2878422461828659E-2</v>
      </c>
      <c r="IN3" s="1">
        <f>Table156789[[#This Row],[Total_Cost_MUSD]]*1000000*Table156789[[#This Row],[prob500-failure_rating9]]/500</f>
        <v>8.049014038642912E-3</v>
      </c>
      <c r="IO3" s="1">
        <f>Table156789[[#This Row],[Total_Cost_MUSD]]*1000000*Table156789[[#This Row],[prob100-failure_rating1]]/100</f>
        <v>160980.28077285824</v>
      </c>
      <c r="IP3" s="1">
        <f>Table156789[[#This Row],[Total_Cost_MUSD]]*1000000*Table156789[[#This Row],[prob100-failure_rating2]]/100</f>
        <v>1609.8028077285824</v>
      </c>
      <c r="IQ3" s="1">
        <f>Table156789[[#This Row],[Total_Cost_MUSD]]*1000000*Table156789[[#This Row],[prob100-failure_rating3]]/100</f>
        <v>201.2253509660728</v>
      </c>
      <c r="IR3" s="1">
        <f>Table156789[[#This Row],[Total_Cost_MUSD]]*1000000*Table156789[[#This Row],[prob100-failure_rating4]]/100</f>
        <v>44.269577212536021</v>
      </c>
      <c r="IS3" s="1">
        <f>Table156789[[#This Row],[Total_Cost_MUSD]]*1000000*Table156789[[#This Row],[prob100-failure_rating5]]/100</f>
        <v>16.098028077285825</v>
      </c>
      <c r="IT3" s="1">
        <f>Table156789[[#This Row],[Total_Cost_MUSD]]*1000000*Table156789[[#This Row],[prob100-failure_rating6]]/100</f>
        <v>2.8171549135250187</v>
      </c>
      <c r="IU3" s="1">
        <f>Table156789[[#This Row],[Total_Cost_MUSD]]*1000000*Table156789[[#This Row],[prob100-failure_rating7]]/100</f>
        <v>0.72441126347786211</v>
      </c>
      <c r="IV3" s="1">
        <f>Table156789[[#This Row],[Total_Cost_MUSD]]*1000000*Table156789[[#This Row],[prob100-failure_rating8]]/100</f>
        <v>0.72441126347786211</v>
      </c>
      <c r="IW3" s="1">
        <f>Table156789[[#This Row],[Total_Cost_MUSD]]*1000000*Table156789[[#This Row],[prob100-failure_rating9]]/100</f>
        <v>1.6098028077285824E-2</v>
      </c>
      <c r="IX3" s="1">
        <f>Table156789[[#This Row],[Total_Cost_MUSD]]*1000000*Table156789[[#This Row],[prob50-failure_rating1]]/50</f>
        <v>3219.6056154571647</v>
      </c>
      <c r="IY3" s="1">
        <f>Table156789[[#This Row],[Total_Cost_MUSD]]*1000000*Table156789[[#This Row],[prob50-failure_rating2]]/50</f>
        <v>268.30046795476375</v>
      </c>
      <c r="IZ3" s="1">
        <f>Table156789[[#This Row],[Total_Cost_MUSD]]*1000000*Table156789[[#This Row],[prob50-failure_rating3]]/50</f>
        <v>59.026102950048028</v>
      </c>
      <c r="JA3" s="1">
        <f>Table156789[[#This Row],[Total_Cost_MUSD]]*1000000*Table156789[[#This Row],[prob50-failure_rating4]]/50</f>
        <v>21.464037436381101</v>
      </c>
      <c r="JB3" s="1">
        <f>Table156789[[#This Row],[Total_Cost_MUSD]]*1000000*Table156789[[#This Row],[prob50-failure_rating5]]/50</f>
        <v>3.756206551366692</v>
      </c>
      <c r="JC3" s="1">
        <f>Table156789[[#This Row],[Total_Cost_MUSD]]*1000000*Table156789[[#This Row],[prob50-failure_rating6]]/50</f>
        <v>0.96588168463714952</v>
      </c>
      <c r="JD3" s="1">
        <f>Table156789[[#This Row],[Total_Cost_MUSD]]*1000000*Table156789[[#This Row],[prob50-failure_rating7]]/50</f>
        <v>0.96588168463714952</v>
      </c>
      <c r="JE3" s="1">
        <f>Table156789[[#This Row],[Total_Cost_MUSD]]*1000000*Table156789[[#This Row],[prob50-failure_rating8]]/50</f>
        <v>2.14640374363811E-2</v>
      </c>
      <c r="JF3" s="1">
        <f>Table156789[[#This Row],[Total_Cost_MUSD]]*1000000*Table156789[[#This Row],[prob50-failure_rating9]]/50</f>
        <v>1.3415023397738186E-2</v>
      </c>
      <c r="JG3" s="1">
        <f>Table156789[[#This Row],[Total_Cost_MUSD]]*1000000*Table156789[[#This Row],[prob10-failure_rating1]]/10</f>
        <v>16098.028077285824</v>
      </c>
      <c r="JH3" s="1">
        <f>Table156789[[#This Row],[Total_Cost_MUSD]]*1000000*Table156789[[#This Row],[prob10-failure_rating2]]/10</f>
        <v>804.90140386429118</v>
      </c>
      <c r="JI3" s="1">
        <f>Table156789[[#This Row],[Total_Cost_MUSD]]*1000000*Table156789[[#This Row],[prob10-failure_rating3]]/10</f>
        <v>177.07830885014408</v>
      </c>
      <c r="JJ3" s="1">
        <f>Table156789[[#This Row],[Total_Cost_MUSD]]*1000000*Table156789[[#This Row],[prob10-failure_rating4]]/10</f>
        <v>64.3921123091433</v>
      </c>
      <c r="JK3" s="1">
        <f>Table156789[[#This Row],[Total_Cost_MUSD]]*1000000*Table156789[[#This Row],[prob10-failure_rating5]]/10</f>
        <v>11.268619654100075</v>
      </c>
      <c r="JL3" s="1">
        <f>Table156789[[#This Row],[Total_Cost_MUSD]]*1000000*Table156789[[#This Row],[prob10-failure_rating6]]/10</f>
        <v>2.8976450539114484</v>
      </c>
      <c r="JM3" s="1">
        <f>Table156789[[#This Row],[Total_Cost_MUSD]]*1000000*Table156789[[#This Row],[prob10-failure_rating7]]/10</f>
        <v>2.8976450539114484</v>
      </c>
      <c r="JN3" s="1">
        <f>Table156789[[#This Row],[Total_Cost_MUSD]]*1000000*Table156789[[#This Row],[prob10-failure_rating8]]/10</f>
        <v>6.4392112309143296E-2</v>
      </c>
      <c r="JO3" s="1">
        <f>Table156789[[#This Row],[Total_Cost_MUSD]]*1000000*Table156789[[#This Row],[prob10-failure_rating9]]/10</f>
        <v>4.0245070193214563E-2</v>
      </c>
      <c r="JP3" s="1">
        <f>Table156789[[#This Row],[FailureCost_Rating1]]</f>
        <v>2843.9849603204952</v>
      </c>
      <c r="JQ3" s="1">
        <f>Table156789[[#This Row],[FailureCost_Rating2]]</f>
        <v>2843.9849603204952</v>
      </c>
      <c r="JR3" s="1">
        <f>(Table156789[[#This Row],[failurecost500_rating2]]+Table156789[[#This Row],[failurecost100_rating2]]+Table156789[[#This Row],[failurecost50_rating2]]+Table156789[[#This Row],[failurecost10_rating2]])</f>
        <v>2843.9849603204952</v>
      </c>
      <c r="JS3" s="1">
        <f>(Table156789[[#This Row],[failurecost500_rating3]]+Table156789[[#This Row],[failurecost100_rating3]]+Table156789[[#This Row],[failurecost50_rating3]]+Table156789[[#This Row],[failurecost10_rating3]])</f>
        <v>472.74542453629374</v>
      </c>
      <c r="JT3" s="1">
        <f>(Table156789[[#This Row],[failurecost500_rating4]]+Table156789[[#This Row],[failurecost100_rating4]]+Table156789[[#This Row],[failurecost50_rating4]]+Table156789[[#This Row],[failurecost10_rating4]])</f>
        <v>143.00414941988907</v>
      </c>
      <c r="JU3" s="1">
        <f>(Table156789[[#This Row],[failurecost500_rating5]]+Table156789[[#This Row],[failurecost100_rating5]]+Table156789[[#This Row],[failurecost50_rating5]]+Table156789[[#This Row],[failurecost10_rating5]])</f>
        <v>33.376578213572607</v>
      </c>
      <c r="JV3" s="1">
        <f>(Table156789[[#This Row],[failurecost500_rating6]]+Table156789[[#This Row],[failurecost100_rating6]]+Table156789[[#This Row],[failurecost50_rating6]]+Table156789[[#This Row],[failurecost10_rating6]])</f>
        <v>7.260210662855906</v>
      </c>
      <c r="JW3" s="1">
        <f>(Table156789[[#This Row],[failurecost500_rating7]]+Table156789[[#This Row],[failurecost100_rating7]]+Table156789[[#This Row],[failurecost50_rating7]]+Table156789[[#This Row],[failurecost10_rating7]])</f>
        <v>5.1674670128087499</v>
      </c>
      <c r="JX3" s="1">
        <f>(Table156789[[#This Row],[failurecost500_rating8]]+Table156789[[#This Row],[failurecost100_rating8]]+Table156789[[#This Row],[failurecost50_rating8]]+Table156789[[#This Row],[failurecost10_rating8]])</f>
        <v>0.82314583568521527</v>
      </c>
      <c r="JY3" s="1">
        <f>(Table156789[[#This Row],[failurecost500_rating9]]+Table156789[[#This Row],[failurecost100_rating9]]+Table156789[[#This Row],[failurecost50_rating9]]+Table156789[[#This Row],[failurecost10_rating9]])</f>
        <v>7.7807135706881483E-2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Table156789[[#This Row],[Depth10_Soil_vol]]*(9.353+9.027)+(Table156789[[#This Row],[Depth10_Soil_vol]]/2.5)*20*1.053+(PI()*Table156789[[#This Row],[Depth10_Scour]])*Table156789[[#This Row],[DECK_WIDTH_MT_052]]*1.062</f>
        <v>0</v>
      </c>
      <c r="AR4" s="1">
        <f>Table156789[[#This Row],[Depth50_Soil_vol]]*(9.353+9.027)+(Table156789[[#This Row],[Depth50_Soil_vol]]/2.5)*20*1.053+(PI()*Table156789[[#This Row],[Depth50_Scour]])*Table156789[[#This Row],[DECK_WIDTH_MT_052]]*1.062</f>
        <v>5183.5345730170238</v>
      </c>
      <c r="AS4" s="1">
        <f>Table156789[[#This Row],[Depth100_Soil_vol]]*(9.353+9.027)+(Table156789[[#This Row],[Depth100_Soil_vol]]/2.5)*20*1.053+(PI()*Table156789[[#This Row],[Depth100_Scour]])*Table156789[[#This Row],[DECK_WIDTH_MT_052]]*1.062</f>
        <v>5452.2219529566692</v>
      </c>
      <c r="AT4" s="1">
        <f>Table156789[[#This Row],[Depth500_Soil_vol]]*(9.353+9.027)+(Table156789[[#This Row],[Depth500_Soil_vol]]/2.5)*20*1.053+(PI()*Table156789[[#This Row],[Depth500_Scour]])*Table156789[[#This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9.6000000000000002E-2</v>
      </c>
      <c r="GF4" s="1">
        <v>33.869413175935669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30106.145045276153</v>
      </c>
      <c r="GM4" s="1">
        <f>Sheet4!R34*$GF4*1000000</f>
        <v>16934.706587967834</v>
      </c>
      <c r="GN4" s="1">
        <f>Sheet4!S34*$GF4*1000000</f>
        <v>10838.212216299418</v>
      </c>
      <c r="GO4" s="1">
        <f>Sheet4!T34*$GF4*1000000</f>
        <v>7526.5362613190382</v>
      </c>
      <c r="GP4" s="1">
        <f>Sheet4!U34*$GF4*1000000</f>
        <v>5529.7001103568446</v>
      </c>
      <c r="GQ4" s="1">
        <f>Sheet4!V34*$GF4*1000000</f>
        <v>4233.6766469919585</v>
      </c>
      <c r="GR4" s="1">
        <f>Sheet4!W34*$GF4*1000000</f>
        <v>3345.1272272529059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1</v>
      </c>
      <c r="HF4" s="1">
        <v>0.01</v>
      </c>
      <c r="HG4" s="1">
        <v>1.25E-3</v>
      </c>
      <c r="HH4" s="1">
        <v>2.7500000000000002E-4</v>
      </c>
      <c r="HI4" s="1">
        <v>1E-4</v>
      </c>
      <c r="HJ4" s="1">
        <v>1.7499999999999998E-5</v>
      </c>
      <c r="HK4" s="1">
        <v>4.5000000000000001E-6</v>
      </c>
      <c r="HL4" s="1">
        <v>4.5000000000000001E-6</v>
      </c>
      <c r="HM4" s="1">
        <v>9.9999999999999995E-8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Table156789[[#This Row],[Total_Cost_MUSD]]*1000000*Table156789[[#This Row],[prob500-failure_rating1]]/500</f>
        <v>677.38826351871342</v>
      </c>
      <c r="IG4" s="1">
        <f>Table156789[[#This Row],[Total_Cost_MUSD]]*1000000*Table156789[[#This Row],[prob500-failure_rating2]]/500</f>
        <v>338.69413175935671</v>
      </c>
      <c r="IH4" s="1">
        <f>Table156789[[#This Row],[Total_Cost_MUSD]]*1000000*Table156789[[#This Row],[prob500-failure_rating3]]/500</f>
        <v>74.512708987058474</v>
      </c>
      <c r="II4" s="1">
        <f>Table156789[[#This Row],[Total_Cost_MUSD]]*1000000*Table156789[[#This Row],[prob500-failure_rating4]]/500</f>
        <v>27.095530540748538</v>
      </c>
      <c r="IJ4" s="1">
        <f>Table156789[[#This Row],[Total_Cost_MUSD]]*1000000*Table156789[[#This Row],[prob500-failure_rating5]]/500</f>
        <v>4.741717844630994</v>
      </c>
      <c r="IK4" s="1">
        <f>Table156789[[#This Row],[Total_Cost_MUSD]]*1000000*Table156789[[#This Row],[prob500-failure_rating6]]/500</f>
        <v>1.2192988743336841</v>
      </c>
      <c r="IL4" s="1">
        <f>Table156789[[#This Row],[Total_Cost_MUSD]]*1000000*Table156789[[#This Row],[prob500-failure_rating7]]/500</f>
        <v>1.2192988743336841</v>
      </c>
      <c r="IM4" s="1">
        <f>Table156789[[#This Row],[Total_Cost_MUSD]]*1000000*Table156789[[#This Row],[prob500-failure_rating8]]/500</f>
        <v>2.7095530540748532E-2</v>
      </c>
      <c r="IN4" s="1">
        <f>Table156789[[#This Row],[Total_Cost_MUSD]]*1000000*Table156789[[#This Row],[prob500-failure_rating9]]/500</f>
        <v>1.6934706587967835E-2</v>
      </c>
      <c r="IO4" s="1">
        <f>Table156789[[#This Row],[Total_Cost_MUSD]]*1000000*Table156789[[#This Row],[prob100-failure_rating1]]/100</f>
        <v>338694.13175935671</v>
      </c>
      <c r="IP4" s="1">
        <f>Table156789[[#This Row],[Total_Cost_MUSD]]*1000000*Table156789[[#This Row],[prob100-failure_rating2]]/100</f>
        <v>3386.941317593567</v>
      </c>
      <c r="IQ4" s="1">
        <f>Table156789[[#This Row],[Total_Cost_MUSD]]*1000000*Table156789[[#This Row],[prob100-failure_rating3]]/100</f>
        <v>423.36766469919587</v>
      </c>
      <c r="IR4" s="1">
        <f>Table156789[[#This Row],[Total_Cost_MUSD]]*1000000*Table156789[[#This Row],[prob100-failure_rating4]]/100</f>
        <v>93.140886233823096</v>
      </c>
      <c r="IS4" s="1">
        <f>Table156789[[#This Row],[Total_Cost_MUSD]]*1000000*Table156789[[#This Row],[prob100-failure_rating5]]/100</f>
        <v>33.869413175935676</v>
      </c>
      <c r="IT4" s="1">
        <f>Table156789[[#This Row],[Total_Cost_MUSD]]*1000000*Table156789[[#This Row],[prob100-failure_rating6]]/100</f>
        <v>5.9271473057887416</v>
      </c>
      <c r="IU4" s="1">
        <f>Table156789[[#This Row],[Total_Cost_MUSD]]*1000000*Table156789[[#This Row],[prob100-failure_rating7]]/100</f>
        <v>1.5241235929171051</v>
      </c>
      <c r="IV4" s="1">
        <f>Table156789[[#This Row],[Total_Cost_MUSD]]*1000000*Table156789[[#This Row],[prob100-failure_rating8]]/100</f>
        <v>1.5241235929171051</v>
      </c>
      <c r="IW4" s="1">
        <f>Table156789[[#This Row],[Total_Cost_MUSD]]*1000000*Table156789[[#This Row],[prob100-failure_rating9]]/100</f>
        <v>3.386941317593567E-2</v>
      </c>
      <c r="IX4" s="1">
        <f>Table156789[[#This Row],[Total_Cost_MUSD]]*1000000*Table156789[[#This Row],[prob50-failure_rating1]]/50</f>
        <v>6773.8826351871339</v>
      </c>
      <c r="IY4" s="1">
        <f>Table156789[[#This Row],[Total_Cost_MUSD]]*1000000*Table156789[[#This Row],[prob50-failure_rating2]]/50</f>
        <v>564.49021959892787</v>
      </c>
      <c r="IZ4" s="1">
        <f>Table156789[[#This Row],[Total_Cost_MUSD]]*1000000*Table156789[[#This Row],[prob50-failure_rating3]]/50</f>
        <v>124.18784831176411</v>
      </c>
      <c r="JA4" s="1">
        <f>Table156789[[#This Row],[Total_Cost_MUSD]]*1000000*Table156789[[#This Row],[prob50-failure_rating4]]/50</f>
        <v>45.159217567914226</v>
      </c>
      <c r="JB4" s="1">
        <f>Table156789[[#This Row],[Total_Cost_MUSD]]*1000000*Table156789[[#This Row],[prob50-failure_rating5]]/50</f>
        <v>7.9028630743849897</v>
      </c>
      <c r="JC4" s="1">
        <f>Table156789[[#This Row],[Total_Cost_MUSD]]*1000000*Table156789[[#This Row],[prob50-failure_rating6]]/50</f>
        <v>2.0321647905561404</v>
      </c>
      <c r="JD4" s="1">
        <f>Table156789[[#This Row],[Total_Cost_MUSD]]*1000000*Table156789[[#This Row],[prob50-failure_rating7]]/50</f>
        <v>2.0321647905561404</v>
      </c>
      <c r="JE4" s="1">
        <f>Table156789[[#This Row],[Total_Cost_MUSD]]*1000000*Table156789[[#This Row],[prob50-failure_rating8]]/50</f>
        <v>4.5159217567914231E-2</v>
      </c>
      <c r="JF4" s="1">
        <f>Table156789[[#This Row],[Total_Cost_MUSD]]*1000000*Table156789[[#This Row],[prob50-failure_rating9]]/50</f>
        <v>2.8224510979946393E-2</v>
      </c>
      <c r="JG4" s="1">
        <f>Table156789[[#This Row],[Total_Cost_MUSD]]*1000000*Table156789[[#This Row],[prob10-failure_rating1]]/10</f>
        <v>33869.413175935668</v>
      </c>
      <c r="JH4" s="1">
        <f>Table156789[[#This Row],[Total_Cost_MUSD]]*1000000*Table156789[[#This Row],[prob10-failure_rating2]]/10</f>
        <v>1693.4706587967835</v>
      </c>
      <c r="JI4" s="1">
        <f>Table156789[[#This Row],[Total_Cost_MUSD]]*1000000*Table156789[[#This Row],[prob10-failure_rating3]]/10</f>
        <v>372.56354493529238</v>
      </c>
      <c r="JJ4" s="1">
        <f>Table156789[[#This Row],[Total_Cost_MUSD]]*1000000*Table156789[[#This Row],[prob10-failure_rating4]]/10</f>
        <v>135.47765270374268</v>
      </c>
      <c r="JK4" s="1">
        <f>Table156789[[#This Row],[Total_Cost_MUSD]]*1000000*Table156789[[#This Row],[prob10-failure_rating5]]/10</f>
        <v>23.708589223154966</v>
      </c>
      <c r="JL4" s="1">
        <f>Table156789[[#This Row],[Total_Cost_MUSD]]*1000000*Table156789[[#This Row],[prob10-failure_rating6]]/10</f>
        <v>6.0964943716684212</v>
      </c>
      <c r="JM4" s="1">
        <f>Table156789[[#This Row],[Total_Cost_MUSD]]*1000000*Table156789[[#This Row],[prob10-failure_rating7]]/10</f>
        <v>6.0964943716684212</v>
      </c>
      <c r="JN4" s="1">
        <f>Table156789[[#This Row],[Total_Cost_MUSD]]*1000000*Table156789[[#This Row],[prob10-failure_rating8]]/10</f>
        <v>0.13547765270374268</v>
      </c>
      <c r="JO4" s="1">
        <f>Table156789[[#This Row],[Total_Cost_MUSD]]*1000000*Table156789[[#This Row],[prob10-failure_rating9]]/10</f>
        <v>8.4673532939839175E-2</v>
      </c>
      <c r="JP4" s="1">
        <f>Table156789[[#This Row],[FailureCost_Rating1]]</f>
        <v>5983.5963277486353</v>
      </c>
      <c r="JQ4" s="1">
        <f>Table156789[[#This Row],[FailureCost_Rating2]]</f>
        <v>5983.5963277486353</v>
      </c>
      <c r="JR4" s="1">
        <f>(Table156789[[#This Row],[failurecost500_rating2]]+Table156789[[#This Row],[failurecost100_rating2]]+Table156789[[#This Row],[failurecost50_rating2]]+Table156789[[#This Row],[failurecost10_rating2]])</f>
        <v>5983.5963277486353</v>
      </c>
      <c r="JS4" s="1">
        <f>(Table156789[[#This Row],[failurecost500_rating3]]+Table156789[[#This Row],[failurecost100_rating3]]+Table156789[[#This Row],[failurecost50_rating3]]+Table156789[[#This Row],[failurecost10_rating3]])</f>
        <v>994.63176693331081</v>
      </c>
      <c r="JT4" s="1">
        <f>(Table156789[[#This Row],[failurecost500_rating4]]+Table156789[[#This Row],[failurecost100_rating4]]+Table156789[[#This Row],[failurecost50_rating4]]+Table156789[[#This Row],[failurecost10_rating4]])</f>
        <v>300.87328704622854</v>
      </c>
      <c r="JU4" s="1">
        <f>(Table156789[[#This Row],[failurecost500_rating5]]+Table156789[[#This Row],[failurecost100_rating5]]+Table156789[[#This Row],[failurecost50_rating5]]+Table156789[[#This Row],[failurecost10_rating5]])</f>
        <v>70.222583318106629</v>
      </c>
      <c r="JV4" s="1">
        <f>(Table156789[[#This Row],[failurecost500_rating6]]+Table156789[[#This Row],[failurecost100_rating6]]+Table156789[[#This Row],[failurecost50_rating6]]+Table156789[[#This Row],[failurecost10_rating6]])</f>
        <v>15.275105342346986</v>
      </c>
      <c r="JW4" s="1">
        <f>(Table156789[[#This Row],[failurecost500_rating7]]+Table156789[[#This Row],[failurecost100_rating7]]+Table156789[[#This Row],[failurecost50_rating7]]+Table156789[[#This Row],[failurecost10_rating7]])</f>
        <v>10.87208162947535</v>
      </c>
      <c r="JX4" s="1">
        <f>(Table156789[[#This Row],[failurecost500_rating8]]+Table156789[[#This Row],[failurecost100_rating8]]+Table156789[[#This Row],[failurecost50_rating8]]+Table156789[[#This Row],[failurecost10_rating8]])</f>
        <v>1.7318559937295106</v>
      </c>
      <c r="JY4" s="1">
        <f>(Table156789[[#This Row],[failurecost500_rating9]]+Table156789[[#This Row],[failurecost100_rating9]]+Table156789[[#This Row],[failurecost50_rating9]]+Table156789[[#This Row],[failurecost10_rating9]])</f>
        <v>0.16370216368368906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Table156789[[#This Row],[Depth10_Soil_vol]]*(9.353+9.027)+(Table156789[[#This Row],[Depth10_Soil_vol]]/2.5)*20*1.053+(PI()*Table156789[[#This Row],[Depth10_Scour]])*Table156789[[#This Row],[DECK_WIDTH_MT_052]]*1.062</f>
        <v>0</v>
      </c>
      <c r="AR5" s="1">
        <f>Table156789[[#This Row],[Depth50_Soil_vol]]*(9.353+9.027)+(Table156789[[#This Row],[Depth50_Soil_vol]]/2.5)*20*1.053+(PI()*Table156789[[#This Row],[Depth50_Scour]])*Table156789[[#This Row],[DECK_WIDTH_MT_052]]*1.062</f>
        <v>8698.4034732067958</v>
      </c>
      <c r="AS5" s="1">
        <f>Table156789[[#This Row],[Depth100_Soil_vol]]*(9.353+9.027)+(Table156789[[#This Row],[Depth100_Soil_vol]]/2.5)*20*1.053+(PI()*Table156789[[#This Row],[Depth100_Scour]])*Table156789[[#This Row],[DECK_WIDTH_MT_052]]*1.062</f>
        <v>10436.848001870483</v>
      </c>
      <c r="AT5" s="1">
        <f>Table156789[[#This Row],[Depth500_Soil_vol]]*(9.353+9.027)+(Table156789[[#This Row],[Depth500_Soil_vol]]/2.5)*20*1.053+(PI()*Table156789[[#This Row],[Depth500_Scour]])*Table156789[[#This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9.6000000000000002E-2</v>
      </c>
      <c r="GF5" s="1">
        <v>12.990346697406595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11546.974842139194</v>
      </c>
      <c r="GM5" s="1">
        <f>Sheet4!R35*$GF5*1000000</f>
        <v>6495.1733487032989</v>
      </c>
      <c r="GN5" s="1">
        <f>Sheet4!S35*$GF5*1000000</f>
        <v>4156.9109431701108</v>
      </c>
      <c r="GO5" s="1">
        <f>Sheet4!T35*$GF5*1000000</f>
        <v>2886.7437105347985</v>
      </c>
      <c r="GP5" s="1">
        <f>Sheet4!U35*$GF5*1000000</f>
        <v>2120.872930188832</v>
      </c>
      <c r="GQ5" s="1">
        <f>Sheet4!V35*$GF5*1000000</f>
        <v>1623.7933371758247</v>
      </c>
      <c r="GR5" s="1">
        <f>Sheet4!W35*$GF5*1000000</f>
        <v>1282.9972046821326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1</v>
      </c>
      <c r="HF5" s="1">
        <v>0.01</v>
      </c>
      <c r="HG5" s="1">
        <v>1.25E-3</v>
      </c>
      <c r="HH5" s="1">
        <v>2.7500000000000002E-4</v>
      </c>
      <c r="HI5" s="1">
        <v>1E-4</v>
      </c>
      <c r="HJ5" s="1">
        <v>1.7499999999999998E-5</v>
      </c>
      <c r="HK5" s="1">
        <v>4.5000000000000001E-6</v>
      </c>
      <c r="HL5" s="1">
        <v>4.5000000000000001E-6</v>
      </c>
      <c r="HM5" s="1">
        <v>9.9999999999999995E-8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Table156789[[#This Row],[Total_Cost_MUSD]]*1000000*Table156789[[#This Row],[prob500-failure_rating1]]/500</f>
        <v>259.80693394813193</v>
      </c>
      <c r="IG5" s="1">
        <f>Table156789[[#This Row],[Total_Cost_MUSD]]*1000000*Table156789[[#This Row],[prob500-failure_rating2]]/500</f>
        <v>129.90346697406596</v>
      </c>
      <c r="IH5" s="1">
        <f>Table156789[[#This Row],[Total_Cost_MUSD]]*1000000*Table156789[[#This Row],[prob500-failure_rating3]]/500</f>
        <v>28.578762734294511</v>
      </c>
      <c r="II5" s="1">
        <f>Table156789[[#This Row],[Total_Cost_MUSD]]*1000000*Table156789[[#This Row],[prob500-failure_rating4]]/500</f>
        <v>10.392277357925277</v>
      </c>
      <c r="IJ5" s="1">
        <f>Table156789[[#This Row],[Total_Cost_MUSD]]*1000000*Table156789[[#This Row],[prob500-failure_rating5]]/500</f>
        <v>1.8186485376369232</v>
      </c>
      <c r="IK5" s="1">
        <f>Table156789[[#This Row],[Total_Cost_MUSD]]*1000000*Table156789[[#This Row],[prob500-failure_rating6]]/500</f>
        <v>0.46765248110663743</v>
      </c>
      <c r="IL5" s="1">
        <f>Table156789[[#This Row],[Total_Cost_MUSD]]*1000000*Table156789[[#This Row],[prob500-failure_rating7]]/500</f>
        <v>0.46765248110663743</v>
      </c>
      <c r="IM5" s="1">
        <f>Table156789[[#This Row],[Total_Cost_MUSD]]*1000000*Table156789[[#This Row],[prob500-failure_rating8]]/500</f>
        <v>1.0392277357925275E-2</v>
      </c>
      <c r="IN5" s="1">
        <f>Table156789[[#This Row],[Total_Cost_MUSD]]*1000000*Table156789[[#This Row],[prob500-failure_rating9]]/500</f>
        <v>6.4951733487032979E-3</v>
      </c>
      <c r="IO5" s="1">
        <f>Table156789[[#This Row],[Total_Cost_MUSD]]*1000000*Table156789[[#This Row],[prob100-failure_rating1]]/100</f>
        <v>129903.46697406596</v>
      </c>
      <c r="IP5" s="1">
        <f>Table156789[[#This Row],[Total_Cost_MUSD]]*1000000*Table156789[[#This Row],[prob100-failure_rating2]]/100</f>
        <v>1299.0346697406596</v>
      </c>
      <c r="IQ5" s="1">
        <f>Table156789[[#This Row],[Total_Cost_MUSD]]*1000000*Table156789[[#This Row],[prob100-failure_rating3]]/100</f>
        <v>162.37933371758245</v>
      </c>
      <c r="IR5" s="1">
        <f>Table156789[[#This Row],[Total_Cost_MUSD]]*1000000*Table156789[[#This Row],[prob100-failure_rating4]]/100</f>
        <v>35.723453417868143</v>
      </c>
      <c r="IS5" s="1">
        <f>Table156789[[#This Row],[Total_Cost_MUSD]]*1000000*Table156789[[#This Row],[prob100-failure_rating5]]/100</f>
        <v>12.990346697406597</v>
      </c>
      <c r="IT5" s="1">
        <f>Table156789[[#This Row],[Total_Cost_MUSD]]*1000000*Table156789[[#This Row],[prob100-failure_rating6]]/100</f>
        <v>2.2733106720461542</v>
      </c>
      <c r="IU5" s="1">
        <f>Table156789[[#This Row],[Total_Cost_MUSD]]*1000000*Table156789[[#This Row],[prob100-failure_rating7]]/100</f>
        <v>0.58456560138329683</v>
      </c>
      <c r="IV5" s="1">
        <f>Table156789[[#This Row],[Total_Cost_MUSD]]*1000000*Table156789[[#This Row],[prob100-failure_rating8]]/100</f>
        <v>0.58456560138329683</v>
      </c>
      <c r="IW5" s="1">
        <f>Table156789[[#This Row],[Total_Cost_MUSD]]*1000000*Table156789[[#This Row],[prob100-failure_rating9]]/100</f>
        <v>1.2990346697406594E-2</v>
      </c>
      <c r="IX5" s="1">
        <f>Table156789[[#This Row],[Total_Cost_MUSD]]*1000000*Table156789[[#This Row],[prob50-failure_rating1]]/50</f>
        <v>2598.0693394813193</v>
      </c>
      <c r="IY5" s="1">
        <f>Table156789[[#This Row],[Total_Cost_MUSD]]*1000000*Table156789[[#This Row],[prob50-failure_rating2]]/50</f>
        <v>216.50577829010996</v>
      </c>
      <c r="IZ5" s="1">
        <f>Table156789[[#This Row],[Total_Cost_MUSD]]*1000000*Table156789[[#This Row],[prob50-failure_rating3]]/50</f>
        <v>47.631271223824186</v>
      </c>
      <c r="JA5" s="1">
        <f>Table156789[[#This Row],[Total_Cost_MUSD]]*1000000*Table156789[[#This Row],[prob50-failure_rating4]]/50</f>
        <v>17.320462263208796</v>
      </c>
      <c r="JB5" s="1">
        <f>Table156789[[#This Row],[Total_Cost_MUSD]]*1000000*Table156789[[#This Row],[prob50-failure_rating5]]/50</f>
        <v>3.031080896061539</v>
      </c>
      <c r="JC5" s="1">
        <f>Table156789[[#This Row],[Total_Cost_MUSD]]*1000000*Table156789[[#This Row],[prob50-failure_rating6]]/50</f>
        <v>0.77942080184439577</v>
      </c>
      <c r="JD5" s="1">
        <f>Table156789[[#This Row],[Total_Cost_MUSD]]*1000000*Table156789[[#This Row],[prob50-failure_rating7]]/50</f>
        <v>0.77942080184439577</v>
      </c>
      <c r="JE5" s="1">
        <f>Table156789[[#This Row],[Total_Cost_MUSD]]*1000000*Table156789[[#This Row],[prob50-failure_rating8]]/50</f>
        <v>1.7320462263208793E-2</v>
      </c>
      <c r="JF5" s="1">
        <f>Table156789[[#This Row],[Total_Cost_MUSD]]*1000000*Table156789[[#This Row],[prob50-failure_rating9]]/50</f>
        <v>1.0825288914505495E-2</v>
      </c>
      <c r="JG5" s="1">
        <f>Table156789[[#This Row],[Total_Cost_MUSD]]*1000000*Table156789[[#This Row],[prob10-failure_rating1]]/10</f>
        <v>12990.346697406596</v>
      </c>
      <c r="JH5" s="1">
        <f>Table156789[[#This Row],[Total_Cost_MUSD]]*1000000*Table156789[[#This Row],[prob10-failure_rating2]]/10</f>
        <v>649.51733487032982</v>
      </c>
      <c r="JI5" s="1">
        <f>Table156789[[#This Row],[Total_Cost_MUSD]]*1000000*Table156789[[#This Row],[prob10-failure_rating3]]/10</f>
        <v>142.89381367147254</v>
      </c>
      <c r="JJ5" s="1">
        <f>Table156789[[#This Row],[Total_Cost_MUSD]]*1000000*Table156789[[#This Row],[prob10-failure_rating4]]/10</f>
        <v>51.961386789626388</v>
      </c>
      <c r="JK5" s="1">
        <f>Table156789[[#This Row],[Total_Cost_MUSD]]*1000000*Table156789[[#This Row],[prob10-failure_rating5]]/10</f>
        <v>9.0932426881846151</v>
      </c>
      <c r="JL5" s="1">
        <f>Table156789[[#This Row],[Total_Cost_MUSD]]*1000000*Table156789[[#This Row],[prob10-failure_rating6]]/10</f>
        <v>2.3382624055331873</v>
      </c>
      <c r="JM5" s="1">
        <f>Table156789[[#This Row],[Total_Cost_MUSD]]*1000000*Table156789[[#This Row],[prob10-failure_rating7]]/10</f>
        <v>2.3382624055331873</v>
      </c>
      <c r="JN5" s="1">
        <f>Table156789[[#This Row],[Total_Cost_MUSD]]*1000000*Table156789[[#This Row],[prob10-failure_rating8]]/10</f>
        <v>5.1961386789626383E-2</v>
      </c>
      <c r="JO5" s="1">
        <f>Table156789[[#This Row],[Total_Cost_MUSD]]*1000000*Table156789[[#This Row],[prob10-failure_rating9]]/10</f>
        <v>3.2475866743516484E-2</v>
      </c>
      <c r="JP5" s="1">
        <f>Table156789[[#This Row],[FailureCost_Rating1]]</f>
        <v>2294.9612498751653</v>
      </c>
      <c r="JQ5" s="1">
        <f>Table156789[[#This Row],[FailureCost_Rating2]]</f>
        <v>2294.9612498751653</v>
      </c>
      <c r="JR5" s="1">
        <f>(Table156789[[#This Row],[failurecost500_rating2]]+Table156789[[#This Row],[failurecost100_rating2]]+Table156789[[#This Row],[failurecost50_rating2]]+Table156789[[#This Row],[failurecost10_rating2]])</f>
        <v>2294.9612498751653</v>
      </c>
      <c r="JS5" s="1">
        <f>(Table156789[[#This Row],[failurecost500_rating3]]+Table156789[[#This Row],[failurecost100_rating3]]+Table156789[[#This Row],[failurecost50_rating3]]+Table156789[[#This Row],[failurecost10_rating3]])</f>
        <v>381.48318134717374</v>
      </c>
      <c r="JT5" s="1">
        <f>(Table156789[[#This Row],[failurecost500_rating4]]+Table156789[[#This Row],[failurecost100_rating4]]+Table156789[[#This Row],[failurecost50_rating4]]+Table156789[[#This Row],[failurecost10_rating4]])</f>
        <v>115.39757982862861</v>
      </c>
      <c r="JU5" s="1">
        <f>(Table156789[[#This Row],[failurecost500_rating5]]+Table156789[[#This Row],[failurecost100_rating5]]+Table156789[[#This Row],[failurecost50_rating5]]+Table156789[[#This Row],[failurecost10_rating5]])</f>
        <v>26.933318819289674</v>
      </c>
      <c r="JV5" s="1">
        <f>(Table156789[[#This Row],[failurecost500_rating6]]+Table156789[[#This Row],[failurecost100_rating6]]+Table156789[[#This Row],[failurecost50_rating6]]+Table156789[[#This Row],[failurecost10_rating6]])</f>
        <v>5.8586463605303747</v>
      </c>
      <c r="JW5" s="1">
        <f>(Table156789[[#This Row],[failurecost500_rating7]]+Table156789[[#This Row],[failurecost100_rating7]]+Table156789[[#This Row],[failurecost50_rating7]]+Table156789[[#This Row],[failurecost10_rating7]])</f>
        <v>4.1699012898675178</v>
      </c>
      <c r="JX5" s="1">
        <f>(Table156789[[#This Row],[failurecost500_rating8]]+Table156789[[#This Row],[failurecost100_rating8]]+Table156789[[#This Row],[failurecost50_rating8]]+Table156789[[#This Row],[failurecost10_rating8]])</f>
        <v>0.66423972779405727</v>
      </c>
      <c r="JY5" s="1">
        <f>(Table156789[[#This Row],[failurecost500_rating9]]+Table156789[[#This Row],[failurecost100_rating9]]+Table156789[[#This Row],[failurecost50_rating9]]+Table156789[[#This Row],[failurecost10_rating9]])</f>
        <v>6.2786675704131878E-2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Table156789[[#This Row],[Depth10_Soil_vol]]*(9.353+9.027)+(Table156789[[#This Row],[Depth10_Soil_vol]]/2.5)*20*1.053+(PI()*Table156789[[#This Row],[Depth10_Scour]])*Table156789[[#This Row],[DECK_WIDTH_MT_052]]*1.062</f>
        <v>16919.4190908581</v>
      </c>
      <c r="AR6" s="1">
        <f>Table156789[[#This Row],[Depth50_Soil_vol]]*(9.353+9.027)+(Table156789[[#This Row],[Depth50_Soil_vol]]/2.5)*20*1.053+(PI()*Table156789[[#This Row],[Depth50_Scour]])*Table156789[[#This Row],[DECK_WIDTH_MT_052]]*1.062</f>
        <v>18202.748839783562</v>
      </c>
      <c r="AS6" s="1">
        <f>Table156789[[#This Row],[Depth100_Soil_vol]]*(9.353+9.027)+(Table156789[[#This Row],[Depth100_Soil_vol]]/2.5)*20*1.053+(PI()*Table156789[[#This Row],[Depth100_Scour]])*Table156789[[#This Row],[DECK_WIDTH_MT_052]]*1.062</f>
        <v>18769.361851972091</v>
      </c>
      <c r="AT6" s="1">
        <f>Table156789[[#This Row],[Depth500_Soil_vol]]*(9.353+9.027)+(Table156789[[#This Row],[Depth500_Soil_vol]]/2.5)*20*1.053+(PI()*Table156789[[#This Row],[Depth500_Scour]])*Table156789[[#This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6" s="1">
        <v>30.392024197448993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27015.132619954653</v>
      </c>
      <c r="GM6" s="1">
        <f>Sheet4!R36*$GF6*1000000</f>
        <v>15196.012098724497</v>
      </c>
      <c r="GN6" s="1">
        <f>Sheet4!S36*$GF6*1000000</f>
        <v>9725.4477431836785</v>
      </c>
      <c r="GO6" s="1">
        <f>Sheet4!T36*$GF6*1000000</f>
        <v>6753.7831549886632</v>
      </c>
      <c r="GP6" s="1">
        <f>Sheet4!U36*$GF6*1000000</f>
        <v>4961.9631342773864</v>
      </c>
      <c r="GQ6" s="1">
        <f>Sheet4!V36*$GF6*1000000</f>
        <v>3799.0030246811243</v>
      </c>
      <c r="GR6" s="1">
        <f>Sheet4!W36*$GF6*1000000</f>
        <v>3001.6814022171843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1</v>
      </c>
      <c r="HF6" s="1">
        <v>0.01</v>
      </c>
      <c r="HG6" s="1">
        <v>1.25E-3</v>
      </c>
      <c r="HH6" s="1">
        <v>2.7500000000000002E-4</v>
      </c>
      <c r="HI6" s="1">
        <v>1E-4</v>
      </c>
      <c r="HJ6" s="1">
        <v>1.7499999999999998E-5</v>
      </c>
      <c r="HK6" s="1">
        <v>4.5000000000000001E-6</v>
      </c>
      <c r="HL6" s="1">
        <v>4.5000000000000001E-6</v>
      </c>
      <c r="HM6" s="1">
        <v>9.9999999999999995E-8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Table156789[[#This Row],[Total_Cost_MUSD]]*1000000*Table156789[[#This Row],[prob500-failure_rating1]]/500</f>
        <v>607.84048394897991</v>
      </c>
      <c r="IG6" s="1">
        <f>Table156789[[#This Row],[Total_Cost_MUSD]]*1000000*Table156789[[#This Row],[prob500-failure_rating2]]/500</f>
        <v>303.92024197448995</v>
      </c>
      <c r="IH6" s="1">
        <f>Table156789[[#This Row],[Total_Cost_MUSD]]*1000000*Table156789[[#This Row],[prob500-failure_rating3]]/500</f>
        <v>66.8624532343878</v>
      </c>
      <c r="II6" s="1">
        <f>Table156789[[#This Row],[Total_Cost_MUSD]]*1000000*Table156789[[#This Row],[prob500-failure_rating4]]/500</f>
        <v>24.313619357959197</v>
      </c>
      <c r="IJ6" s="1">
        <f>Table156789[[#This Row],[Total_Cost_MUSD]]*1000000*Table156789[[#This Row],[prob500-failure_rating5]]/500</f>
        <v>4.2548833876428587</v>
      </c>
      <c r="IK6" s="1">
        <f>Table156789[[#This Row],[Total_Cost_MUSD]]*1000000*Table156789[[#This Row],[prob500-failure_rating6]]/500</f>
        <v>1.0941128711081638</v>
      </c>
      <c r="IL6" s="1">
        <f>Table156789[[#This Row],[Total_Cost_MUSD]]*1000000*Table156789[[#This Row],[prob500-failure_rating7]]/500</f>
        <v>1.0941128711081638</v>
      </c>
      <c r="IM6" s="1">
        <f>Table156789[[#This Row],[Total_Cost_MUSD]]*1000000*Table156789[[#This Row],[prob500-failure_rating8]]/500</f>
        <v>2.4313619357959195E-2</v>
      </c>
      <c r="IN6" s="1">
        <f>Table156789[[#This Row],[Total_Cost_MUSD]]*1000000*Table156789[[#This Row],[prob500-failure_rating9]]/500</f>
        <v>1.5196012098724497E-2</v>
      </c>
      <c r="IO6" s="1">
        <f>Table156789[[#This Row],[Total_Cost_MUSD]]*1000000*Table156789[[#This Row],[prob100-failure_rating1]]/100</f>
        <v>303920.24197448994</v>
      </c>
      <c r="IP6" s="1">
        <f>Table156789[[#This Row],[Total_Cost_MUSD]]*1000000*Table156789[[#This Row],[prob100-failure_rating2]]/100</f>
        <v>3039.2024197448995</v>
      </c>
      <c r="IQ6" s="1">
        <f>Table156789[[#This Row],[Total_Cost_MUSD]]*1000000*Table156789[[#This Row],[prob100-failure_rating3]]/100</f>
        <v>379.90030246811244</v>
      </c>
      <c r="IR6" s="1">
        <f>Table156789[[#This Row],[Total_Cost_MUSD]]*1000000*Table156789[[#This Row],[prob100-failure_rating4]]/100</f>
        <v>83.578066542984743</v>
      </c>
      <c r="IS6" s="1">
        <f>Table156789[[#This Row],[Total_Cost_MUSD]]*1000000*Table156789[[#This Row],[prob100-failure_rating5]]/100</f>
        <v>30.392024197448997</v>
      </c>
      <c r="IT6" s="1">
        <f>Table156789[[#This Row],[Total_Cost_MUSD]]*1000000*Table156789[[#This Row],[prob100-failure_rating6]]/100</f>
        <v>5.3186042345535736</v>
      </c>
      <c r="IU6" s="1">
        <f>Table156789[[#This Row],[Total_Cost_MUSD]]*1000000*Table156789[[#This Row],[prob100-failure_rating7]]/100</f>
        <v>1.3676410888852046</v>
      </c>
      <c r="IV6" s="1">
        <f>Table156789[[#This Row],[Total_Cost_MUSD]]*1000000*Table156789[[#This Row],[prob100-failure_rating8]]/100</f>
        <v>1.3676410888852046</v>
      </c>
      <c r="IW6" s="1">
        <f>Table156789[[#This Row],[Total_Cost_MUSD]]*1000000*Table156789[[#This Row],[prob100-failure_rating9]]/100</f>
        <v>3.0392024197448991E-2</v>
      </c>
      <c r="IX6" s="1">
        <f>Table156789[[#This Row],[Total_Cost_MUSD]]*1000000*Table156789[[#This Row],[prob50-failure_rating1]]/50</f>
        <v>6078.4048394897991</v>
      </c>
      <c r="IY6" s="1">
        <f>Table156789[[#This Row],[Total_Cost_MUSD]]*1000000*Table156789[[#This Row],[prob50-failure_rating2]]/50</f>
        <v>506.53373662414998</v>
      </c>
      <c r="IZ6" s="1">
        <f>Table156789[[#This Row],[Total_Cost_MUSD]]*1000000*Table156789[[#This Row],[prob50-failure_rating3]]/50</f>
        <v>111.43742205731297</v>
      </c>
      <c r="JA6" s="1">
        <f>Table156789[[#This Row],[Total_Cost_MUSD]]*1000000*Table156789[[#This Row],[prob50-failure_rating4]]/50</f>
        <v>40.522698929931991</v>
      </c>
      <c r="JB6" s="1">
        <f>Table156789[[#This Row],[Total_Cost_MUSD]]*1000000*Table156789[[#This Row],[prob50-failure_rating5]]/50</f>
        <v>7.091472312738099</v>
      </c>
      <c r="JC6" s="1">
        <f>Table156789[[#This Row],[Total_Cost_MUSD]]*1000000*Table156789[[#This Row],[prob50-failure_rating6]]/50</f>
        <v>1.8235214518469396</v>
      </c>
      <c r="JD6" s="1">
        <f>Table156789[[#This Row],[Total_Cost_MUSD]]*1000000*Table156789[[#This Row],[prob50-failure_rating7]]/50</f>
        <v>1.8235214518469396</v>
      </c>
      <c r="JE6" s="1">
        <f>Table156789[[#This Row],[Total_Cost_MUSD]]*1000000*Table156789[[#This Row],[prob50-failure_rating8]]/50</f>
        <v>4.0522698929931995E-2</v>
      </c>
      <c r="JF6" s="1">
        <f>Table156789[[#This Row],[Total_Cost_MUSD]]*1000000*Table156789[[#This Row],[prob50-failure_rating9]]/50</f>
        <v>2.5326686831207493E-2</v>
      </c>
      <c r="JG6" s="1">
        <f>Table156789[[#This Row],[Total_Cost_MUSD]]*1000000*Table156789[[#This Row],[prob10-failure_rating1]]/10</f>
        <v>30392.024197448995</v>
      </c>
      <c r="JH6" s="1">
        <f>Table156789[[#This Row],[Total_Cost_MUSD]]*1000000*Table156789[[#This Row],[prob10-failure_rating2]]/10</f>
        <v>1519.6012098724498</v>
      </c>
      <c r="JI6" s="1">
        <f>Table156789[[#This Row],[Total_Cost_MUSD]]*1000000*Table156789[[#This Row],[prob10-failure_rating3]]/10</f>
        <v>334.31226617193897</v>
      </c>
      <c r="JJ6" s="1">
        <f>Table156789[[#This Row],[Total_Cost_MUSD]]*1000000*Table156789[[#This Row],[prob10-failure_rating4]]/10</f>
        <v>121.56809678979599</v>
      </c>
      <c r="JK6" s="1">
        <f>Table156789[[#This Row],[Total_Cost_MUSD]]*1000000*Table156789[[#This Row],[prob10-failure_rating5]]/10</f>
        <v>21.274416938214294</v>
      </c>
      <c r="JL6" s="1">
        <f>Table156789[[#This Row],[Total_Cost_MUSD]]*1000000*Table156789[[#This Row],[prob10-failure_rating6]]/10</f>
        <v>5.4705643555408194</v>
      </c>
      <c r="JM6" s="1">
        <f>Table156789[[#This Row],[Total_Cost_MUSD]]*1000000*Table156789[[#This Row],[prob10-failure_rating7]]/10</f>
        <v>5.4705643555408194</v>
      </c>
      <c r="JN6" s="1">
        <f>Table156789[[#This Row],[Total_Cost_MUSD]]*1000000*Table156789[[#This Row],[prob10-failure_rating8]]/10</f>
        <v>0.12156809678979599</v>
      </c>
      <c r="JO6" s="1">
        <f>Table156789[[#This Row],[Total_Cost_MUSD]]*1000000*Table156789[[#This Row],[prob10-failure_rating9]]/10</f>
        <v>7.5980060493622478E-2</v>
      </c>
      <c r="JP6" s="1">
        <f>Table156789[[#This Row],[FailureCost_Rating1]]</f>
        <v>5369.2576082159894</v>
      </c>
      <c r="JQ6" s="1">
        <f>Table156789[[#This Row],[FailureCost_Rating2]]</f>
        <v>5369.2576082159894</v>
      </c>
      <c r="JR6" s="1">
        <f>(Table156789[[#This Row],[failurecost500_rating2]]+Table156789[[#This Row],[failurecost100_rating2]]+Table156789[[#This Row],[failurecost50_rating2]]+Table156789[[#This Row],[failurecost10_rating2]])</f>
        <v>5369.2576082159894</v>
      </c>
      <c r="JS6" s="1">
        <f>(Table156789[[#This Row],[failurecost500_rating3]]+Table156789[[#This Row],[failurecost100_rating3]]+Table156789[[#This Row],[failurecost50_rating3]]+Table156789[[#This Row],[failurecost10_rating3]])</f>
        <v>892.51244393175216</v>
      </c>
      <c r="JT6" s="1">
        <f>(Table156789[[#This Row],[failurecost500_rating4]]+Table156789[[#This Row],[failurecost100_rating4]]+Table156789[[#This Row],[failurecost50_rating4]]+Table156789[[#This Row],[failurecost10_rating4]])</f>
        <v>269.98248162067193</v>
      </c>
      <c r="JU6" s="1">
        <f>(Table156789[[#This Row],[failurecost500_rating5]]+Table156789[[#This Row],[failurecost100_rating5]]+Table156789[[#This Row],[failurecost50_rating5]]+Table156789[[#This Row],[failurecost10_rating5]])</f>
        <v>63.012796836044245</v>
      </c>
      <c r="JV6" s="1">
        <f>(Table156789[[#This Row],[failurecost500_rating6]]+Table156789[[#This Row],[failurecost100_rating6]]+Table156789[[#This Row],[failurecost50_rating6]]+Table156789[[#This Row],[failurecost10_rating6]])</f>
        <v>13.706802913049497</v>
      </c>
      <c r="JW6" s="1">
        <f>(Table156789[[#This Row],[failurecost500_rating7]]+Table156789[[#This Row],[failurecost100_rating7]]+Table156789[[#This Row],[failurecost50_rating7]]+Table156789[[#This Row],[failurecost10_rating7]])</f>
        <v>9.7558397673811275</v>
      </c>
      <c r="JX6" s="1">
        <f>(Table156789[[#This Row],[failurecost500_rating8]]+Table156789[[#This Row],[failurecost100_rating8]]+Table156789[[#This Row],[failurecost50_rating8]]+Table156789[[#This Row],[failurecost10_rating8]])</f>
        <v>1.554045503962892</v>
      </c>
      <c r="JY6" s="1">
        <f>(Table156789[[#This Row],[failurecost500_rating9]]+Table156789[[#This Row],[failurecost100_rating9]]+Table156789[[#This Row],[failurecost50_rating9]]+Table156789[[#This Row],[failurecost10_rating9]])</f>
        <v>0.14689478362100344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Table156789[[#This Row],[Depth10_Soil_vol]]*(9.353+9.027)+(Table156789[[#This Row],[Depth10_Soil_vol]]/2.5)*20*1.053+(PI()*Table156789[[#This Row],[Depth10_Scour]])*Table156789[[#This Row],[DECK_WIDTH_MT_052]]*1.062</f>
        <v>11407.250817613454</v>
      </c>
      <c r="AR7" s="1">
        <f>Table156789[[#This Row],[Depth50_Soil_vol]]*(9.353+9.027)+(Table156789[[#This Row],[Depth50_Soil_vol]]/2.5)*20*1.053+(PI()*Table156789[[#This Row],[Depth50_Scour]])*Table156789[[#This Row],[DECK_WIDTH_MT_052]]*1.062</f>
        <v>12369.739122689782</v>
      </c>
      <c r="AS7" s="1">
        <f>Table156789[[#This Row],[Depth100_Soil_vol]]*(9.353+9.027)+(Table156789[[#This Row],[Depth100_Soil_vol]]/2.5)*20*1.053+(PI()*Table156789[[#This Row],[Depth100_Scour]])*Table156789[[#This Row],[DECK_WIDTH_MT_052]]*1.062</f>
        <v>14750.148906789464</v>
      </c>
      <c r="AT7" s="1">
        <f>Table156789[[#This Row],[Depth500_Soil_vol]]*(9.353+9.027)+(Table156789[[#This Row],[Depth500_Soil_vol]]/2.5)*20*1.053+(PI()*Table156789[[#This Row],[Depth500_Scour]])*Table156789[[#This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0.39600000000000002</v>
      </c>
      <c r="GF7" s="1">
        <v>33.293136281480123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29593.898916871218</v>
      </c>
      <c r="GM7" s="1">
        <f>Sheet4!R37*$GF7*1000000</f>
        <v>16646.568140740059</v>
      </c>
      <c r="GN7" s="1">
        <f>Sheet4!S37*$GF7*1000000</f>
        <v>10653.803610073639</v>
      </c>
      <c r="GO7" s="1">
        <f>Sheet4!T37*$GF7*1000000</f>
        <v>7398.4747292178045</v>
      </c>
      <c r="GP7" s="1">
        <f>Sheet4!U37*$GF7*1000000</f>
        <v>5435.6140867722652</v>
      </c>
      <c r="GQ7" s="1">
        <f>Sheet4!V37*$GF7*1000000</f>
        <v>4161.6420351850147</v>
      </c>
      <c r="GR7" s="1">
        <f>Sheet4!W37*$GF7*1000000</f>
        <v>3288.2109907634685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1</v>
      </c>
      <c r="HF7" s="1">
        <v>0.01</v>
      </c>
      <c r="HG7" s="1">
        <v>1.25E-3</v>
      </c>
      <c r="HH7" s="1">
        <v>2.7500000000000002E-4</v>
      </c>
      <c r="HI7" s="1">
        <v>1E-4</v>
      </c>
      <c r="HJ7" s="1">
        <v>1.7499999999999998E-5</v>
      </c>
      <c r="HK7" s="1">
        <v>4.5000000000000001E-6</v>
      </c>
      <c r="HL7" s="1">
        <v>4.5000000000000001E-6</v>
      </c>
      <c r="HM7" s="1">
        <v>9.9999999999999995E-8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Table156789[[#This Row],[Total_Cost_MUSD]]*1000000*Table156789[[#This Row],[prob500-failure_rating1]]/500</f>
        <v>665.86272562960244</v>
      </c>
      <c r="IG7" s="1">
        <f>Table156789[[#This Row],[Total_Cost_MUSD]]*1000000*Table156789[[#This Row],[prob500-failure_rating2]]/500</f>
        <v>332.93136281480122</v>
      </c>
      <c r="IH7" s="1">
        <f>Table156789[[#This Row],[Total_Cost_MUSD]]*1000000*Table156789[[#This Row],[prob500-failure_rating3]]/500</f>
        <v>73.244899819256275</v>
      </c>
      <c r="II7" s="1">
        <f>Table156789[[#This Row],[Total_Cost_MUSD]]*1000000*Table156789[[#This Row],[prob500-failure_rating4]]/500</f>
        <v>26.634509025184098</v>
      </c>
      <c r="IJ7" s="1">
        <f>Table156789[[#This Row],[Total_Cost_MUSD]]*1000000*Table156789[[#This Row],[prob500-failure_rating5]]/500</f>
        <v>4.6610390794072165</v>
      </c>
      <c r="IK7" s="1">
        <f>Table156789[[#This Row],[Total_Cost_MUSD]]*1000000*Table156789[[#This Row],[prob500-failure_rating6]]/500</f>
        <v>1.1985529061332845</v>
      </c>
      <c r="IL7" s="1">
        <f>Table156789[[#This Row],[Total_Cost_MUSD]]*1000000*Table156789[[#This Row],[prob500-failure_rating7]]/500</f>
        <v>1.1985529061332845</v>
      </c>
      <c r="IM7" s="1">
        <f>Table156789[[#This Row],[Total_Cost_MUSD]]*1000000*Table156789[[#This Row],[prob500-failure_rating8]]/500</f>
        <v>2.6634509025184099E-2</v>
      </c>
      <c r="IN7" s="1">
        <f>Table156789[[#This Row],[Total_Cost_MUSD]]*1000000*Table156789[[#This Row],[prob500-failure_rating9]]/500</f>
        <v>1.6646568140740062E-2</v>
      </c>
      <c r="IO7" s="1">
        <f>Table156789[[#This Row],[Total_Cost_MUSD]]*1000000*Table156789[[#This Row],[prob100-failure_rating1]]/100</f>
        <v>332931.36281480122</v>
      </c>
      <c r="IP7" s="1">
        <f>Table156789[[#This Row],[Total_Cost_MUSD]]*1000000*Table156789[[#This Row],[prob100-failure_rating2]]/100</f>
        <v>3329.3136281480124</v>
      </c>
      <c r="IQ7" s="1">
        <f>Table156789[[#This Row],[Total_Cost_MUSD]]*1000000*Table156789[[#This Row],[prob100-failure_rating3]]/100</f>
        <v>416.16420351850155</v>
      </c>
      <c r="IR7" s="1">
        <f>Table156789[[#This Row],[Total_Cost_MUSD]]*1000000*Table156789[[#This Row],[prob100-failure_rating4]]/100</f>
        <v>91.556124774070341</v>
      </c>
      <c r="IS7" s="1">
        <f>Table156789[[#This Row],[Total_Cost_MUSD]]*1000000*Table156789[[#This Row],[prob100-failure_rating5]]/100</f>
        <v>33.293136281480123</v>
      </c>
      <c r="IT7" s="1">
        <f>Table156789[[#This Row],[Total_Cost_MUSD]]*1000000*Table156789[[#This Row],[prob100-failure_rating6]]/100</f>
        <v>5.8262988492590209</v>
      </c>
      <c r="IU7" s="1">
        <f>Table156789[[#This Row],[Total_Cost_MUSD]]*1000000*Table156789[[#This Row],[prob100-failure_rating7]]/100</f>
        <v>1.4981911326666058</v>
      </c>
      <c r="IV7" s="1">
        <f>Table156789[[#This Row],[Total_Cost_MUSD]]*1000000*Table156789[[#This Row],[prob100-failure_rating8]]/100</f>
        <v>1.4981911326666058</v>
      </c>
      <c r="IW7" s="1">
        <f>Table156789[[#This Row],[Total_Cost_MUSD]]*1000000*Table156789[[#This Row],[prob100-failure_rating9]]/100</f>
        <v>3.3293136281480125E-2</v>
      </c>
      <c r="IX7" s="1">
        <f>Table156789[[#This Row],[Total_Cost_MUSD]]*1000000*Table156789[[#This Row],[prob50-failure_rating1]]/50</f>
        <v>6658.6272562960248</v>
      </c>
      <c r="IY7" s="1">
        <f>Table156789[[#This Row],[Total_Cost_MUSD]]*1000000*Table156789[[#This Row],[prob50-failure_rating2]]/50</f>
        <v>554.8856046913354</v>
      </c>
      <c r="IZ7" s="1">
        <f>Table156789[[#This Row],[Total_Cost_MUSD]]*1000000*Table156789[[#This Row],[prob50-failure_rating3]]/50</f>
        <v>122.07483303209378</v>
      </c>
      <c r="JA7" s="1">
        <f>Table156789[[#This Row],[Total_Cost_MUSD]]*1000000*Table156789[[#This Row],[prob50-failure_rating4]]/50</f>
        <v>44.390848375306831</v>
      </c>
      <c r="JB7" s="1">
        <f>Table156789[[#This Row],[Total_Cost_MUSD]]*1000000*Table156789[[#This Row],[prob50-failure_rating5]]/50</f>
        <v>7.7683984656786951</v>
      </c>
      <c r="JC7" s="1">
        <f>Table156789[[#This Row],[Total_Cost_MUSD]]*1000000*Table156789[[#This Row],[prob50-failure_rating6]]/50</f>
        <v>1.9975881768888073</v>
      </c>
      <c r="JD7" s="1">
        <f>Table156789[[#This Row],[Total_Cost_MUSD]]*1000000*Table156789[[#This Row],[prob50-failure_rating7]]/50</f>
        <v>1.9975881768888073</v>
      </c>
      <c r="JE7" s="1">
        <f>Table156789[[#This Row],[Total_Cost_MUSD]]*1000000*Table156789[[#This Row],[prob50-failure_rating8]]/50</f>
        <v>4.4390848375306831E-2</v>
      </c>
      <c r="JF7" s="1">
        <f>Table156789[[#This Row],[Total_Cost_MUSD]]*1000000*Table156789[[#This Row],[prob50-failure_rating9]]/50</f>
        <v>2.7744280234566765E-2</v>
      </c>
      <c r="JG7" s="1">
        <f>Table156789[[#This Row],[Total_Cost_MUSD]]*1000000*Table156789[[#This Row],[prob10-failure_rating1]]/10</f>
        <v>33293.136281480125</v>
      </c>
      <c r="JH7" s="1">
        <f>Table156789[[#This Row],[Total_Cost_MUSD]]*1000000*Table156789[[#This Row],[prob10-failure_rating2]]/10</f>
        <v>1664.6568140740062</v>
      </c>
      <c r="JI7" s="1">
        <f>Table156789[[#This Row],[Total_Cost_MUSD]]*1000000*Table156789[[#This Row],[prob10-failure_rating3]]/10</f>
        <v>366.22449909628136</v>
      </c>
      <c r="JJ7" s="1">
        <f>Table156789[[#This Row],[Total_Cost_MUSD]]*1000000*Table156789[[#This Row],[prob10-failure_rating4]]/10</f>
        <v>133.17254512592052</v>
      </c>
      <c r="JK7" s="1">
        <f>Table156789[[#This Row],[Total_Cost_MUSD]]*1000000*Table156789[[#This Row],[prob10-failure_rating5]]/10</f>
        <v>23.30519539703608</v>
      </c>
      <c r="JL7" s="1">
        <f>Table156789[[#This Row],[Total_Cost_MUSD]]*1000000*Table156789[[#This Row],[prob10-failure_rating6]]/10</f>
        <v>5.9927645306664221</v>
      </c>
      <c r="JM7" s="1">
        <f>Table156789[[#This Row],[Total_Cost_MUSD]]*1000000*Table156789[[#This Row],[prob10-failure_rating7]]/10</f>
        <v>5.9927645306664221</v>
      </c>
      <c r="JN7" s="1">
        <f>Table156789[[#This Row],[Total_Cost_MUSD]]*1000000*Table156789[[#This Row],[prob10-failure_rating8]]/10</f>
        <v>0.1331725451259205</v>
      </c>
      <c r="JO7" s="1">
        <f>Table156789[[#This Row],[Total_Cost_MUSD]]*1000000*Table156789[[#This Row],[prob10-failure_rating9]]/10</f>
        <v>8.3232840703700309E-2</v>
      </c>
      <c r="JP7" s="1">
        <f>Table156789[[#This Row],[FailureCost_Rating1]]</f>
        <v>5881.7874097281556</v>
      </c>
      <c r="JQ7" s="1">
        <f>Table156789[[#This Row],[FailureCost_Rating2]]</f>
        <v>5881.7874097281556</v>
      </c>
      <c r="JR7" s="1">
        <f>(Table156789[[#This Row],[failurecost500_rating2]]+Table156789[[#This Row],[failurecost100_rating2]]+Table156789[[#This Row],[failurecost50_rating2]]+Table156789[[#This Row],[failurecost10_rating2]])</f>
        <v>5881.7874097281556</v>
      </c>
      <c r="JS7" s="1">
        <f>(Table156789[[#This Row],[failurecost500_rating3]]+Table156789[[#This Row],[failurecost100_rating3]]+Table156789[[#This Row],[failurecost50_rating3]]+Table156789[[#This Row],[failurecost10_rating3]])</f>
        <v>977.70843546613287</v>
      </c>
      <c r="JT7" s="1">
        <f>(Table156789[[#This Row],[failurecost500_rating4]]+Table156789[[#This Row],[failurecost100_rating4]]+Table156789[[#This Row],[failurecost50_rating4]]+Table156789[[#This Row],[failurecost10_rating4]])</f>
        <v>295.75402730048177</v>
      </c>
      <c r="JU7" s="1">
        <f>(Table156789[[#This Row],[failurecost500_rating5]]+Table156789[[#This Row],[failurecost100_rating5]]+Table156789[[#This Row],[failurecost50_rating5]]+Table156789[[#This Row],[failurecost10_rating5]])</f>
        <v>69.027769223602121</v>
      </c>
      <c r="JV7" s="1">
        <f>(Table156789[[#This Row],[failurecost500_rating6]]+Table156789[[#This Row],[failurecost100_rating6]]+Table156789[[#This Row],[failurecost50_rating6]]+Table156789[[#This Row],[failurecost10_rating6]])</f>
        <v>15.015204462947535</v>
      </c>
      <c r="JW7" s="1">
        <f>(Table156789[[#This Row],[failurecost500_rating7]]+Table156789[[#This Row],[failurecost100_rating7]]+Table156789[[#This Row],[failurecost50_rating7]]+Table156789[[#This Row],[failurecost10_rating7]])</f>
        <v>10.68709674635512</v>
      </c>
      <c r="JX7" s="1">
        <f>(Table156789[[#This Row],[failurecost500_rating8]]+Table156789[[#This Row],[failurecost100_rating8]]+Table156789[[#This Row],[failurecost50_rating8]]+Table156789[[#This Row],[failurecost10_rating8]])</f>
        <v>1.7023890351930171</v>
      </c>
      <c r="JY7" s="1">
        <f>(Table156789[[#This Row],[failurecost500_rating9]]+Table156789[[#This Row],[failurecost100_rating9]]+Table156789[[#This Row],[failurecost50_rating9]]+Table156789[[#This Row],[failurecost10_rating9]])</f>
        <v>0.16091682536048726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Table156789[[#This Row],[Depth10_Soil_vol]]*(9.353+9.027)+(Table156789[[#This Row],[Depth10_Soil_vol]]/2.5)*20*1.053+(PI()*Table156789[[#This Row],[Depth10_Scour]])*Table156789[[#This Row],[DECK_WIDTH_MT_052]]*1.062</f>
        <v>16463.256386162553</v>
      </c>
      <c r="AR8" s="1">
        <f>Table156789[[#This Row],[Depth50_Soil_vol]]*(9.353+9.027)+(Table156789[[#This Row],[Depth50_Soil_vol]]/2.5)*20*1.053+(PI()*Table156789[[#This Row],[Depth50_Scour]])*Table156789[[#This Row],[DECK_WIDTH_MT_052]]*1.062</f>
        <v>18935.802677782114</v>
      </c>
      <c r="AS8" s="1">
        <f>Table156789[[#This Row],[Depth100_Soil_vol]]*(9.353+9.027)+(Table156789[[#This Row],[Depth100_Soil_vol]]/2.5)*20*1.053+(PI()*Table156789[[#This Row],[Depth100_Scour]])*Table156789[[#This Row],[DECK_WIDTH_MT_052]]*1.062</f>
        <v>19959.892643325038</v>
      </c>
      <c r="AT8" s="1">
        <f>Table156789[[#This Row],[Depth500_Soil_vol]]*(9.353+9.027)+(Table156789[[#This Row],[Depth500_Soil_vol]]/2.5)*20*1.053+(PI()*Table156789[[#This Row],[Depth500_Scour]])*Table156789[[#This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0.52800000000000002</v>
      </c>
      <c r="GF8" s="1">
        <v>28.438773227976025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25278.909535978688</v>
      </c>
      <c r="GM8" s="1">
        <f>Sheet4!R38*$GF8*1000000</f>
        <v>14219.386613988012</v>
      </c>
      <c r="GN8" s="1">
        <f>Sheet4!S38*$GF8*1000000</f>
        <v>9100.4074329523264</v>
      </c>
      <c r="GO8" s="1">
        <f>Sheet4!T38*$GF8*1000000</f>
        <v>6319.727383994672</v>
      </c>
      <c r="GP8" s="1">
        <f>Sheet4!U38*$GF8*1000000</f>
        <v>4643.065016812413</v>
      </c>
      <c r="GQ8" s="1">
        <f>Sheet4!V38*$GF8*1000000</f>
        <v>3554.846653497003</v>
      </c>
      <c r="GR8" s="1">
        <f>Sheet4!W38*$GF8*1000000</f>
        <v>2808.7677262198545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1</v>
      </c>
      <c r="HF8" s="1">
        <v>0.01</v>
      </c>
      <c r="HG8" s="1">
        <v>1.25E-3</v>
      </c>
      <c r="HH8" s="1">
        <v>2.7500000000000002E-4</v>
      </c>
      <c r="HI8" s="1">
        <v>1E-4</v>
      </c>
      <c r="HJ8" s="1">
        <v>1.7499999999999998E-5</v>
      </c>
      <c r="HK8" s="1">
        <v>4.5000000000000001E-6</v>
      </c>
      <c r="HL8" s="1">
        <v>4.5000000000000001E-6</v>
      </c>
      <c r="HM8" s="1">
        <v>9.9999999999999995E-8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Table156789[[#This Row],[Total_Cost_MUSD]]*1000000*Table156789[[#This Row],[prob500-failure_rating1]]/500</f>
        <v>568.77546455952051</v>
      </c>
      <c r="IG8" s="1">
        <f>Table156789[[#This Row],[Total_Cost_MUSD]]*1000000*Table156789[[#This Row],[prob500-failure_rating2]]/500</f>
        <v>284.38773227976026</v>
      </c>
      <c r="IH8" s="1">
        <f>Table156789[[#This Row],[Total_Cost_MUSD]]*1000000*Table156789[[#This Row],[prob500-failure_rating3]]/500</f>
        <v>62.565301101547256</v>
      </c>
      <c r="II8" s="1">
        <f>Table156789[[#This Row],[Total_Cost_MUSD]]*1000000*Table156789[[#This Row],[prob500-failure_rating4]]/500</f>
        <v>22.751018582380819</v>
      </c>
      <c r="IJ8" s="1">
        <f>Table156789[[#This Row],[Total_Cost_MUSD]]*1000000*Table156789[[#This Row],[prob500-failure_rating5]]/500</f>
        <v>3.9814282519166433</v>
      </c>
      <c r="IK8" s="1">
        <f>Table156789[[#This Row],[Total_Cost_MUSD]]*1000000*Table156789[[#This Row],[prob500-failure_rating6]]/500</f>
        <v>1.0237958362071369</v>
      </c>
      <c r="IL8" s="1">
        <f>Table156789[[#This Row],[Total_Cost_MUSD]]*1000000*Table156789[[#This Row],[prob500-failure_rating7]]/500</f>
        <v>1.0237958362071369</v>
      </c>
      <c r="IM8" s="1">
        <f>Table156789[[#This Row],[Total_Cost_MUSD]]*1000000*Table156789[[#This Row],[prob500-failure_rating8]]/500</f>
        <v>2.2751018582380819E-2</v>
      </c>
      <c r="IN8" s="1">
        <f>Table156789[[#This Row],[Total_Cost_MUSD]]*1000000*Table156789[[#This Row],[prob500-failure_rating9]]/500</f>
        <v>1.421938661398801E-2</v>
      </c>
      <c r="IO8" s="1">
        <f>Table156789[[#This Row],[Total_Cost_MUSD]]*1000000*Table156789[[#This Row],[prob100-failure_rating1]]/100</f>
        <v>284387.73227976024</v>
      </c>
      <c r="IP8" s="1">
        <f>Table156789[[#This Row],[Total_Cost_MUSD]]*1000000*Table156789[[#This Row],[prob100-failure_rating2]]/100</f>
        <v>2843.8773227976026</v>
      </c>
      <c r="IQ8" s="1">
        <f>Table156789[[#This Row],[Total_Cost_MUSD]]*1000000*Table156789[[#This Row],[prob100-failure_rating3]]/100</f>
        <v>355.48466534970032</v>
      </c>
      <c r="IR8" s="1">
        <f>Table156789[[#This Row],[Total_Cost_MUSD]]*1000000*Table156789[[#This Row],[prob100-failure_rating4]]/100</f>
        <v>78.206626376934068</v>
      </c>
      <c r="IS8" s="1">
        <f>Table156789[[#This Row],[Total_Cost_MUSD]]*1000000*Table156789[[#This Row],[prob100-failure_rating5]]/100</f>
        <v>28.438773227976025</v>
      </c>
      <c r="IT8" s="1">
        <f>Table156789[[#This Row],[Total_Cost_MUSD]]*1000000*Table156789[[#This Row],[prob100-failure_rating6]]/100</f>
        <v>4.9767853148958041</v>
      </c>
      <c r="IU8" s="1">
        <f>Table156789[[#This Row],[Total_Cost_MUSD]]*1000000*Table156789[[#This Row],[prob100-failure_rating7]]/100</f>
        <v>1.2797447952589212</v>
      </c>
      <c r="IV8" s="1">
        <f>Table156789[[#This Row],[Total_Cost_MUSD]]*1000000*Table156789[[#This Row],[prob100-failure_rating8]]/100</f>
        <v>1.2797447952589212</v>
      </c>
      <c r="IW8" s="1">
        <f>Table156789[[#This Row],[Total_Cost_MUSD]]*1000000*Table156789[[#This Row],[prob100-failure_rating9]]/100</f>
        <v>2.8438773227976024E-2</v>
      </c>
      <c r="IX8" s="1">
        <f>Table156789[[#This Row],[Total_Cost_MUSD]]*1000000*Table156789[[#This Row],[prob50-failure_rating1]]/50</f>
        <v>5687.7546455952051</v>
      </c>
      <c r="IY8" s="1">
        <f>Table156789[[#This Row],[Total_Cost_MUSD]]*1000000*Table156789[[#This Row],[prob50-failure_rating2]]/50</f>
        <v>473.97955379960041</v>
      </c>
      <c r="IZ8" s="1">
        <f>Table156789[[#This Row],[Total_Cost_MUSD]]*1000000*Table156789[[#This Row],[prob50-failure_rating3]]/50</f>
        <v>104.2755018359121</v>
      </c>
      <c r="JA8" s="1">
        <f>Table156789[[#This Row],[Total_Cost_MUSD]]*1000000*Table156789[[#This Row],[prob50-failure_rating4]]/50</f>
        <v>37.918364303968033</v>
      </c>
      <c r="JB8" s="1">
        <f>Table156789[[#This Row],[Total_Cost_MUSD]]*1000000*Table156789[[#This Row],[prob50-failure_rating5]]/50</f>
        <v>6.6357137531944055</v>
      </c>
      <c r="JC8" s="1">
        <f>Table156789[[#This Row],[Total_Cost_MUSD]]*1000000*Table156789[[#This Row],[prob50-failure_rating6]]/50</f>
        <v>1.7063263936785615</v>
      </c>
      <c r="JD8" s="1">
        <f>Table156789[[#This Row],[Total_Cost_MUSD]]*1000000*Table156789[[#This Row],[prob50-failure_rating7]]/50</f>
        <v>1.7063263936785615</v>
      </c>
      <c r="JE8" s="1">
        <f>Table156789[[#This Row],[Total_Cost_MUSD]]*1000000*Table156789[[#This Row],[prob50-failure_rating8]]/50</f>
        <v>3.7918364303968034E-2</v>
      </c>
      <c r="JF8" s="1">
        <f>Table156789[[#This Row],[Total_Cost_MUSD]]*1000000*Table156789[[#This Row],[prob50-failure_rating9]]/50</f>
        <v>2.3698977689980017E-2</v>
      </c>
      <c r="JG8" s="1">
        <f>Table156789[[#This Row],[Total_Cost_MUSD]]*1000000*Table156789[[#This Row],[prob10-failure_rating1]]/10</f>
        <v>28438.773227976024</v>
      </c>
      <c r="JH8" s="1">
        <f>Table156789[[#This Row],[Total_Cost_MUSD]]*1000000*Table156789[[#This Row],[prob10-failure_rating2]]/10</f>
        <v>1421.9386613988013</v>
      </c>
      <c r="JI8" s="1">
        <f>Table156789[[#This Row],[Total_Cost_MUSD]]*1000000*Table156789[[#This Row],[prob10-failure_rating3]]/10</f>
        <v>312.82650550773627</v>
      </c>
      <c r="JJ8" s="1">
        <f>Table156789[[#This Row],[Total_Cost_MUSD]]*1000000*Table156789[[#This Row],[prob10-failure_rating4]]/10</f>
        <v>113.7550929119041</v>
      </c>
      <c r="JK8" s="1">
        <f>Table156789[[#This Row],[Total_Cost_MUSD]]*1000000*Table156789[[#This Row],[prob10-failure_rating5]]/10</f>
        <v>19.907141259583213</v>
      </c>
      <c r="JL8" s="1">
        <f>Table156789[[#This Row],[Total_Cost_MUSD]]*1000000*Table156789[[#This Row],[prob10-failure_rating6]]/10</f>
        <v>5.1189791810356846</v>
      </c>
      <c r="JM8" s="1">
        <f>Table156789[[#This Row],[Total_Cost_MUSD]]*1000000*Table156789[[#This Row],[prob10-failure_rating7]]/10</f>
        <v>5.1189791810356846</v>
      </c>
      <c r="JN8" s="1">
        <f>Table156789[[#This Row],[Total_Cost_MUSD]]*1000000*Table156789[[#This Row],[prob10-failure_rating8]]/10</f>
        <v>0.11375509291190411</v>
      </c>
      <c r="JO8" s="1">
        <f>Table156789[[#This Row],[Total_Cost_MUSD]]*1000000*Table156789[[#This Row],[prob10-failure_rating9]]/10</f>
        <v>7.1096933069940055E-2</v>
      </c>
      <c r="JP8" s="1">
        <f>Table156789[[#This Row],[FailureCost_Rating1]]</f>
        <v>5024.1832702757647</v>
      </c>
      <c r="JQ8" s="1">
        <f>Table156789[[#This Row],[FailureCost_Rating2]]</f>
        <v>5024.1832702757647</v>
      </c>
      <c r="JR8" s="1">
        <f>(Table156789[[#This Row],[failurecost500_rating2]]+Table156789[[#This Row],[failurecost100_rating2]]+Table156789[[#This Row],[failurecost50_rating2]]+Table156789[[#This Row],[failurecost10_rating2]])</f>
        <v>5024.1832702757647</v>
      </c>
      <c r="JS8" s="1">
        <f>(Table156789[[#This Row],[failurecost500_rating3]]+Table156789[[#This Row],[failurecost100_rating3]]+Table156789[[#This Row],[failurecost50_rating3]]+Table156789[[#This Row],[failurecost10_rating3]])</f>
        <v>835.15197379489587</v>
      </c>
      <c r="JT8" s="1">
        <f>(Table156789[[#This Row],[failurecost500_rating4]]+Table156789[[#This Row],[failurecost100_rating4]]+Table156789[[#This Row],[failurecost50_rating4]]+Table156789[[#This Row],[failurecost10_rating4]])</f>
        <v>252.63110217518704</v>
      </c>
      <c r="JU8" s="1">
        <f>(Table156789[[#This Row],[failurecost500_rating5]]+Table156789[[#This Row],[failurecost100_rating5]]+Table156789[[#This Row],[failurecost50_rating5]]+Table156789[[#This Row],[failurecost10_rating5]])</f>
        <v>58.96305649267029</v>
      </c>
      <c r="JV8" s="1">
        <f>(Table156789[[#This Row],[failurecost500_rating6]]+Table156789[[#This Row],[failurecost100_rating6]]+Table156789[[#This Row],[failurecost50_rating6]]+Table156789[[#This Row],[failurecost10_rating6]])</f>
        <v>12.825886725817188</v>
      </c>
      <c r="JW8" s="1">
        <f>(Table156789[[#This Row],[failurecost500_rating7]]+Table156789[[#This Row],[failurecost100_rating7]]+Table156789[[#This Row],[failurecost50_rating7]]+Table156789[[#This Row],[failurecost10_rating7]])</f>
        <v>9.1288462061803042</v>
      </c>
      <c r="JX8" s="1">
        <f>(Table156789[[#This Row],[failurecost500_rating8]]+Table156789[[#This Row],[failurecost100_rating8]]+Table156789[[#This Row],[failurecost50_rating8]]+Table156789[[#This Row],[failurecost10_rating8]])</f>
        <v>1.4541692710571739</v>
      </c>
      <c r="JY8" s="1">
        <f>(Table156789[[#This Row],[failurecost500_rating9]]+Table156789[[#This Row],[failurecost100_rating9]]+Table156789[[#This Row],[failurecost50_rating9]]+Table156789[[#This Row],[failurecost10_rating9]])</f>
        <v>0.13745407060188411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Table156789[[#This Row],[Depth10_Soil_vol]]*(9.353+9.027)+(Table156789[[#This Row],[Depth10_Soil_vol]]/2.5)*20*1.053+(PI()*Table156789[[#This Row],[Depth10_Scour]])*Table156789[[#This Row],[DECK_WIDTH_MT_052]]*1.062</f>
        <v>6829.712539120831</v>
      </c>
      <c r="AR9" s="1">
        <f>Table156789[[#This Row],[Depth50_Soil_vol]]*(9.353+9.027)+(Table156789[[#This Row],[Depth50_Soil_vol]]/2.5)*20*1.053+(PI()*Table156789[[#This Row],[Depth50_Scour]])*Table156789[[#This Row],[DECK_WIDTH_MT_052]]*1.062</f>
        <v>7284.9335218547822</v>
      </c>
      <c r="AS9" s="1">
        <f>Table156789[[#This Row],[Depth100_Soil_vol]]*(9.353+9.027)+(Table156789[[#This Row],[Depth100_Soil_vol]]/2.5)*20*1.053+(PI()*Table156789[[#This Row],[Depth100_Scour]])*Table156789[[#This Row],[DECK_WIDTH_MT_052]]*1.062</f>
        <v>7678.6049905512346</v>
      </c>
      <c r="AT9" s="1">
        <f>Table156789[[#This Row],[Depth500_Soil_vol]]*(9.353+9.027)+(Table156789[[#This Row],[Depth500_Soil_vol]]/2.5)*20*1.053+(PI()*Table156789[[#This Row],[Depth500_Scour]])*Table156789[[#This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9" s="1">
        <v>54.244961446715884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48217.743508191888</v>
      </c>
      <c r="GM9" s="1">
        <f>Sheet4!R39*$GF9*1000000</f>
        <v>27122.480723357945</v>
      </c>
      <c r="GN9" s="1">
        <f>Sheet4!S39*$GF9*1000000</f>
        <v>17358.387662949088</v>
      </c>
      <c r="GO9" s="1">
        <f>Sheet4!T39*$GF9*1000000</f>
        <v>12054.435877047972</v>
      </c>
      <c r="GP9" s="1">
        <f>Sheet4!U39*$GF9*1000000</f>
        <v>8856.3202361985113</v>
      </c>
      <c r="GQ9" s="1">
        <f>Sheet4!V39*$GF9*1000000</f>
        <v>6780.6201808394862</v>
      </c>
      <c r="GR9" s="1">
        <f>Sheet4!W39*$GF9*1000000</f>
        <v>5357.5270564657667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1</v>
      </c>
      <c r="HF9" s="1">
        <v>0.01</v>
      </c>
      <c r="HG9" s="1">
        <v>1.25E-3</v>
      </c>
      <c r="HH9" s="1">
        <v>2.7500000000000002E-4</v>
      </c>
      <c r="HI9" s="1">
        <v>1E-4</v>
      </c>
      <c r="HJ9" s="1">
        <v>1.7499999999999998E-5</v>
      </c>
      <c r="HK9" s="1">
        <v>4.5000000000000001E-6</v>
      </c>
      <c r="HL9" s="1">
        <v>4.5000000000000001E-6</v>
      </c>
      <c r="HM9" s="1">
        <v>9.9999999999999995E-8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Table156789[[#This Row],[Total_Cost_MUSD]]*1000000*Table156789[[#This Row],[prob500-failure_rating1]]/500</f>
        <v>1084.8992289343175</v>
      </c>
      <c r="IG9" s="1">
        <f>Table156789[[#This Row],[Total_Cost_MUSD]]*1000000*Table156789[[#This Row],[prob500-failure_rating2]]/500</f>
        <v>542.44961446715877</v>
      </c>
      <c r="IH9" s="1">
        <f>Table156789[[#This Row],[Total_Cost_MUSD]]*1000000*Table156789[[#This Row],[prob500-failure_rating3]]/500</f>
        <v>119.33891518277494</v>
      </c>
      <c r="II9" s="1">
        <f>Table156789[[#This Row],[Total_Cost_MUSD]]*1000000*Table156789[[#This Row],[prob500-failure_rating4]]/500</f>
        <v>43.395969157372711</v>
      </c>
      <c r="IJ9" s="1">
        <f>Table156789[[#This Row],[Total_Cost_MUSD]]*1000000*Table156789[[#This Row],[prob500-failure_rating5]]/500</f>
        <v>7.5942946025402236</v>
      </c>
      <c r="IK9" s="1">
        <f>Table156789[[#This Row],[Total_Cost_MUSD]]*1000000*Table156789[[#This Row],[prob500-failure_rating6]]/500</f>
        <v>1.9528186120817719</v>
      </c>
      <c r="IL9" s="1">
        <f>Table156789[[#This Row],[Total_Cost_MUSD]]*1000000*Table156789[[#This Row],[prob500-failure_rating7]]/500</f>
        <v>1.9528186120817719</v>
      </c>
      <c r="IM9" s="1">
        <f>Table156789[[#This Row],[Total_Cost_MUSD]]*1000000*Table156789[[#This Row],[prob500-failure_rating8]]/500</f>
        <v>4.3395969157372705E-2</v>
      </c>
      <c r="IN9" s="1">
        <f>Table156789[[#This Row],[Total_Cost_MUSD]]*1000000*Table156789[[#This Row],[prob500-failure_rating9]]/500</f>
        <v>2.712248072335794E-2</v>
      </c>
      <c r="IO9" s="1">
        <f>Table156789[[#This Row],[Total_Cost_MUSD]]*1000000*Table156789[[#This Row],[prob100-failure_rating1]]/100</f>
        <v>542449.6144671588</v>
      </c>
      <c r="IP9" s="1">
        <f>Table156789[[#This Row],[Total_Cost_MUSD]]*1000000*Table156789[[#This Row],[prob100-failure_rating2]]/100</f>
        <v>5424.4961446715879</v>
      </c>
      <c r="IQ9" s="1">
        <f>Table156789[[#This Row],[Total_Cost_MUSD]]*1000000*Table156789[[#This Row],[prob100-failure_rating3]]/100</f>
        <v>678.06201808394849</v>
      </c>
      <c r="IR9" s="1">
        <f>Table156789[[#This Row],[Total_Cost_MUSD]]*1000000*Table156789[[#This Row],[prob100-failure_rating4]]/100</f>
        <v>149.17364397846868</v>
      </c>
      <c r="IS9" s="1">
        <f>Table156789[[#This Row],[Total_Cost_MUSD]]*1000000*Table156789[[#This Row],[prob100-failure_rating5]]/100</f>
        <v>54.244961446715891</v>
      </c>
      <c r="IT9" s="1">
        <f>Table156789[[#This Row],[Total_Cost_MUSD]]*1000000*Table156789[[#This Row],[prob100-failure_rating6]]/100</f>
        <v>9.4928682531752795</v>
      </c>
      <c r="IU9" s="1">
        <f>Table156789[[#This Row],[Total_Cost_MUSD]]*1000000*Table156789[[#This Row],[prob100-failure_rating7]]/100</f>
        <v>2.4410232651022148</v>
      </c>
      <c r="IV9" s="1">
        <f>Table156789[[#This Row],[Total_Cost_MUSD]]*1000000*Table156789[[#This Row],[prob100-failure_rating8]]/100</f>
        <v>2.4410232651022148</v>
      </c>
      <c r="IW9" s="1">
        <f>Table156789[[#This Row],[Total_Cost_MUSD]]*1000000*Table156789[[#This Row],[prob100-failure_rating9]]/100</f>
        <v>5.4244961446715881E-2</v>
      </c>
      <c r="IX9" s="1">
        <f>Table156789[[#This Row],[Total_Cost_MUSD]]*1000000*Table156789[[#This Row],[prob50-failure_rating1]]/50</f>
        <v>10848.992289343176</v>
      </c>
      <c r="IY9" s="1">
        <f>Table156789[[#This Row],[Total_Cost_MUSD]]*1000000*Table156789[[#This Row],[prob50-failure_rating2]]/50</f>
        <v>904.08269077859813</v>
      </c>
      <c r="IZ9" s="1">
        <f>Table156789[[#This Row],[Total_Cost_MUSD]]*1000000*Table156789[[#This Row],[prob50-failure_rating3]]/50</f>
        <v>198.89819197129157</v>
      </c>
      <c r="JA9" s="1">
        <f>Table156789[[#This Row],[Total_Cost_MUSD]]*1000000*Table156789[[#This Row],[prob50-failure_rating4]]/50</f>
        <v>72.326615262287845</v>
      </c>
      <c r="JB9" s="1">
        <f>Table156789[[#This Row],[Total_Cost_MUSD]]*1000000*Table156789[[#This Row],[prob50-failure_rating5]]/50</f>
        <v>12.657157670900371</v>
      </c>
      <c r="JC9" s="1">
        <f>Table156789[[#This Row],[Total_Cost_MUSD]]*1000000*Table156789[[#This Row],[prob50-failure_rating6]]/50</f>
        <v>3.2546976868029533</v>
      </c>
      <c r="JD9" s="1">
        <f>Table156789[[#This Row],[Total_Cost_MUSD]]*1000000*Table156789[[#This Row],[prob50-failure_rating7]]/50</f>
        <v>3.2546976868029533</v>
      </c>
      <c r="JE9" s="1">
        <f>Table156789[[#This Row],[Total_Cost_MUSD]]*1000000*Table156789[[#This Row],[prob50-failure_rating8]]/50</f>
        <v>7.2326615262287841E-2</v>
      </c>
      <c r="JF9" s="1">
        <f>Table156789[[#This Row],[Total_Cost_MUSD]]*1000000*Table156789[[#This Row],[prob50-failure_rating9]]/50</f>
        <v>4.5204134538929901E-2</v>
      </c>
      <c r="JG9" s="1">
        <f>Table156789[[#This Row],[Total_Cost_MUSD]]*1000000*Table156789[[#This Row],[prob10-failure_rating1]]/10</f>
        <v>54244.961446715883</v>
      </c>
      <c r="JH9" s="1">
        <f>Table156789[[#This Row],[Total_Cost_MUSD]]*1000000*Table156789[[#This Row],[prob10-failure_rating2]]/10</f>
        <v>2712.2480723357939</v>
      </c>
      <c r="JI9" s="1">
        <f>Table156789[[#This Row],[Total_Cost_MUSD]]*1000000*Table156789[[#This Row],[prob10-failure_rating3]]/10</f>
        <v>596.6945759138747</v>
      </c>
      <c r="JJ9" s="1">
        <f>Table156789[[#This Row],[Total_Cost_MUSD]]*1000000*Table156789[[#This Row],[prob10-failure_rating4]]/10</f>
        <v>216.97984578686356</v>
      </c>
      <c r="JK9" s="1">
        <f>Table156789[[#This Row],[Total_Cost_MUSD]]*1000000*Table156789[[#This Row],[prob10-failure_rating5]]/10</f>
        <v>37.971473012701111</v>
      </c>
      <c r="JL9" s="1">
        <f>Table156789[[#This Row],[Total_Cost_MUSD]]*1000000*Table156789[[#This Row],[prob10-failure_rating6]]/10</f>
        <v>9.7640930604088592</v>
      </c>
      <c r="JM9" s="1">
        <f>Table156789[[#This Row],[Total_Cost_MUSD]]*1000000*Table156789[[#This Row],[prob10-failure_rating7]]/10</f>
        <v>9.7640930604088592</v>
      </c>
      <c r="JN9" s="1">
        <f>Table156789[[#This Row],[Total_Cost_MUSD]]*1000000*Table156789[[#This Row],[prob10-failure_rating8]]/10</f>
        <v>0.21697984578686355</v>
      </c>
      <c r="JO9" s="1">
        <f>Table156789[[#This Row],[Total_Cost_MUSD]]*1000000*Table156789[[#This Row],[prob10-failure_rating9]]/10</f>
        <v>0.1356124036167897</v>
      </c>
      <c r="JP9" s="1">
        <f>Table156789[[#This Row],[FailureCost_Rating1]]</f>
        <v>9583.276522253138</v>
      </c>
      <c r="JQ9" s="1">
        <f>Table156789[[#This Row],[FailureCost_Rating2]]</f>
        <v>9583.276522253138</v>
      </c>
      <c r="JR9" s="1">
        <f>(Table156789[[#This Row],[failurecost500_rating2]]+Table156789[[#This Row],[failurecost100_rating2]]+Table156789[[#This Row],[failurecost50_rating2]]+Table156789[[#This Row],[failurecost10_rating2]])</f>
        <v>9583.276522253138</v>
      </c>
      <c r="JS9" s="1">
        <f>(Table156789[[#This Row],[failurecost500_rating3]]+Table156789[[#This Row],[failurecost100_rating3]]+Table156789[[#This Row],[failurecost50_rating3]]+Table156789[[#This Row],[failurecost10_rating3]])</f>
        <v>1592.9937011518896</v>
      </c>
      <c r="JT9" s="1">
        <f>(Table156789[[#This Row],[failurecost500_rating4]]+Table156789[[#This Row],[failurecost100_rating4]]+Table156789[[#This Row],[failurecost50_rating4]]+Table156789[[#This Row],[failurecost10_rating4]])</f>
        <v>481.87607418499277</v>
      </c>
      <c r="JU9" s="1">
        <f>(Table156789[[#This Row],[failurecost500_rating5]]+Table156789[[#This Row],[failurecost100_rating5]]+Table156789[[#This Row],[failurecost50_rating5]]+Table156789[[#This Row],[failurecost10_rating5]])</f>
        <v>112.46788673285759</v>
      </c>
      <c r="JV9" s="1">
        <f>(Table156789[[#This Row],[failurecost500_rating6]]+Table156789[[#This Row],[failurecost100_rating6]]+Table156789[[#This Row],[failurecost50_rating6]]+Table156789[[#This Row],[failurecost10_rating6]])</f>
        <v>24.464477612468862</v>
      </c>
      <c r="JW9" s="1">
        <f>(Table156789[[#This Row],[failurecost500_rating7]]+Table156789[[#This Row],[failurecost100_rating7]]+Table156789[[#This Row],[failurecost50_rating7]]+Table156789[[#This Row],[failurecost10_rating7]])</f>
        <v>17.412632624395798</v>
      </c>
      <c r="JX9" s="1">
        <f>(Table156789[[#This Row],[failurecost500_rating8]]+Table156789[[#This Row],[failurecost100_rating8]]+Table156789[[#This Row],[failurecost50_rating8]]+Table156789[[#This Row],[failurecost10_rating8]])</f>
        <v>2.7737256953087388</v>
      </c>
      <c r="JY9" s="1">
        <f>(Table156789[[#This Row],[failurecost500_rating9]]+Table156789[[#This Row],[failurecost100_rating9]]+Table156789[[#This Row],[failurecost50_rating9]]+Table156789[[#This Row],[failurecost10_rating9]])</f>
        <v>0.26218398032579343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Table156789[[#This Row],[Depth10_Soil_vol]]*(9.353+9.027)+(Table156789[[#This Row],[Depth10_Soil_vol]]/2.5)*20*1.053+(PI()*Table156789[[#This Row],[Depth10_Scour]])*Table156789[[#This Row],[DECK_WIDTH_MT_052]]*1.062</f>
        <v>2767.3671308174216</v>
      </c>
      <c r="AR10" s="1">
        <f>Table156789[[#This Row],[Depth50_Soil_vol]]*(9.353+9.027)+(Table156789[[#This Row],[Depth50_Soil_vol]]/2.5)*20*1.053+(PI()*Table156789[[#This Row],[Depth50_Scour]])*Table156789[[#This Row],[DECK_WIDTH_MT_052]]*1.062</f>
        <v>2942.0444801705157</v>
      </c>
      <c r="AS10" s="1">
        <f>Table156789[[#This Row],[Depth100_Soil_vol]]*(9.353+9.027)+(Table156789[[#This Row],[Depth100_Soil_vol]]/2.5)*20*1.053+(PI()*Table156789[[#This Row],[Depth100_Scour]])*Table156789[[#This Row],[DECK_WIDTH_MT_052]]*1.062</f>
        <v>3019.9468768096358</v>
      </c>
      <c r="AT10" s="1">
        <f>Table156789[[#This Row],[Depth500_Soil_vol]]*(9.353+9.027)+(Table156789[[#This Row],[Depth500_Soil_vol]]/2.5)*20*1.053+(PI()*Table156789[[#This Row],[Depth500_Scour]])*Table156789[[#This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10" s="1">
        <v>32.792654158772358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29149.025918908763</v>
      </c>
      <c r="GM10" s="1">
        <f>Sheet4!R40*$GF10*1000000</f>
        <v>16396.327079386181</v>
      </c>
      <c r="GN10" s="1">
        <f>Sheet4!S40*$GF10*1000000</f>
        <v>10493.649330807157</v>
      </c>
      <c r="GO10" s="1">
        <f>Sheet4!T40*$GF10*1000000</f>
        <v>7287.2564797271907</v>
      </c>
      <c r="GP10" s="1">
        <f>Sheet4!U40*$GF10*1000000</f>
        <v>5353.9027197995683</v>
      </c>
      <c r="GQ10" s="1">
        <f>Sheet4!V40*$GF10*1000000</f>
        <v>4099.0817698465453</v>
      </c>
      <c r="GR10" s="1">
        <f>Sheet4!W40*$GF10*1000000</f>
        <v>3238.7806576565285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1</v>
      </c>
      <c r="HF10" s="1">
        <v>0.01</v>
      </c>
      <c r="HG10" s="1">
        <v>1.25E-3</v>
      </c>
      <c r="HH10" s="1">
        <v>2.7500000000000002E-4</v>
      </c>
      <c r="HI10" s="1">
        <v>1E-4</v>
      </c>
      <c r="HJ10" s="1">
        <v>1.7499999999999998E-5</v>
      </c>
      <c r="HK10" s="1">
        <v>4.5000000000000001E-6</v>
      </c>
      <c r="HL10" s="1">
        <v>4.5000000000000001E-6</v>
      </c>
      <c r="HM10" s="1">
        <v>9.9999999999999995E-8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Table156789[[#This Row],[Total_Cost_MUSD]]*1000000*Table156789[[#This Row],[prob500-failure_rating1]]/500</f>
        <v>655.85308317544718</v>
      </c>
      <c r="IG10" s="1">
        <f>Table156789[[#This Row],[Total_Cost_MUSD]]*1000000*Table156789[[#This Row],[prob500-failure_rating2]]/500</f>
        <v>327.92654158772359</v>
      </c>
      <c r="IH10" s="1">
        <f>Table156789[[#This Row],[Total_Cost_MUSD]]*1000000*Table156789[[#This Row],[prob500-failure_rating3]]/500</f>
        <v>72.143839149299197</v>
      </c>
      <c r="II10" s="1">
        <f>Table156789[[#This Row],[Total_Cost_MUSD]]*1000000*Table156789[[#This Row],[prob500-failure_rating4]]/500</f>
        <v>26.234123327017887</v>
      </c>
      <c r="IJ10" s="1">
        <f>Table156789[[#This Row],[Total_Cost_MUSD]]*1000000*Table156789[[#This Row],[prob500-failure_rating5]]/500</f>
        <v>4.5909715822281294</v>
      </c>
      <c r="IK10" s="1">
        <f>Table156789[[#This Row],[Total_Cost_MUSD]]*1000000*Table156789[[#This Row],[prob500-failure_rating6]]/500</f>
        <v>1.1805355497158048</v>
      </c>
      <c r="IL10" s="1">
        <f>Table156789[[#This Row],[Total_Cost_MUSD]]*1000000*Table156789[[#This Row],[prob500-failure_rating7]]/500</f>
        <v>1.1805355497158048</v>
      </c>
      <c r="IM10" s="1">
        <f>Table156789[[#This Row],[Total_Cost_MUSD]]*1000000*Table156789[[#This Row],[prob500-failure_rating8]]/500</f>
        <v>2.6234123327017883E-2</v>
      </c>
      <c r="IN10" s="1">
        <f>Table156789[[#This Row],[Total_Cost_MUSD]]*1000000*Table156789[[#This Row],[prob500-failure_rating9]]/500</f>
        <v>1.639632707938618E-2</v>
      </c>
      <c r="IO10" s="1">
        <f>Table156789[[#This Row],[Total_Cost_MUSD]]*1000000*Table156789[[#This Row],[prob100-failure_rating1]]/100</f>
        <v>327926.54158772359</v>
      </c>
      <c r="IP10" s="1">
        <f>Table156789[[#This Row],[Total_Cost_MUSD]]*1000000*Table156789[[#This Row],[prob100-failure_rating2]]/100</f>
        <v>3279.2654158772361</v>
      </c>
      <c r="IQ10" s="1">
        <f>Table156789[[#This Row],[Total_Cost_MUSD]]*1000000*Table156789[[#This Row],[prob100-failure_rating3]]/100</f>
        <v>409.90817698465452</v>
      </c>
      <c r="IR10" s="1">
        <f>Table156789[[#This Row],[Total_Cost_MUSD]]*1000000*Table156789[[#This Row],[prob100-failure_rating4]]/100</f>
        <v>90.179798936623996</v>
      </c>
      <c r="IS10" s="1">
        <f>Table156789[[#This Row],[Total_Cost_MUSD]]*1000000*Table156789[[#This Row],[prob100-failure_rating5]]/100</f>
        <v>32.792654158772358</v>
      </c>
      <c r="IT10" s="1">
        <f>Table156789[[#This Row],[Total_Cost_MUSD]]*1000000*Table156789[[#This Row],[prob100-failure_rating6]]/100</f>
        <v>5.7387144777851624</v>
      </c>
      <c r="IU10" s="1">
        <f>Table156789[[#This Row],[Total_Cost_MUSD]]*1000000*Table156789[[#This Row],[prob100-failure_rating7]]/100</f>
        <v>1.4756694371447561</v>
      </c>
      <c r="IV10" s="1">
        <f>Table156789[[#This Row],[Total_Cost_MUSD]]*1000000*Table156789[[#This Row],[prob100-failure_rating8]]/100</f>
        <v>1.4756694371447561</v>
      </c>
      <c r="IW10" s="1">
        <f>Table156789[[#This Row],[Total_Cost_MUSD]]*1000000*Table156789[[#This Row],[prob100-failure_rating9]]/100</f>
        <v>3.2792654158772354E-2</v>
      </c>
      <c r="IX10" s="1">
        <f>Table156789[[#This Row],[Total_Cost_MUSD]]*1000000*Table156789[[#This Row],[prob50-failure_rating1]]/50</f>
        <v>6558.5308317544723</v>
      </c>
      <c r="IY10" s="1">
        <f>Table156789[[#This Row],[Total_Cost_MUSD]]*1000000*Table156789[[#This Row],[prob50-failure_rating2]]/50</f>
        <v>546.54423597953928</v>
      </c>
      <c r="IZ10" s="1">
        <f>Table156789[[#This Row],[Total_Cost_MUSD]]*1000000*Table156789[[#This Row],[prob50-failure_rating3]]/50</f>
        <v>120.23973191549865</v>
      </c>
      <c r="JA10" s="1">
        <f>Table156789[[#This Row],[Total_Cost_MUSD]]*1000000*Table156789[[#This Row],[prob50-failure_rating4]]/50</f>
        <v>43.723538878363144</v>
      </c>
      <c r="JB10" s="1">
        <f>Table156789[[#This Row],[Total_Cost_MUSD]]*1000000*Table156789[[#This Row],[prob50-failure_rating5]]/50</f>
        <v>7.6516193037135496</v>
      </c>
      <c r="JC10" s="1">
        <f>Table156789[[#This Row],[Total_Cost_MUSD]]*1000000*Table156789[[#This Row],[prob50-failure_rating6]]/50</f>
        <v>1.9675592495263414</v>
      </c>
      <c r="JD10" s="1">
        <f>Table156789[[#This Row],[Total_Cost_MUSD]]*1000000*Table156789[[#This Row],[prob50-failure_rating7]]/50</f>
        <v>1.9675592495263414</v>
      </c>
      <c r="JE10" s="1">
        <f>Table156789[[#This Row],[Total_Cost_MUSD]]*1000000*Table156789[[#This Row],[prob50-failure_rating8]]/50</f>
        <v>4.3723538878363138E-2</v>
      </c>
      <c r="JF10" s="1">
        <f>Table156789[[#This Row],[Total_Cost_MUSD]]*1000000*Table156789[[#This Row],[prob50-failure_rating9]]/50</f>
        <v>2.7327211798976962E-2</v>
      </c>
      <c r="JG10" s="1">
        <f>Table156789[[#This Row],[Total_Cost_MUSD]]*1000000*Table156789[[#This Row],[prob10-failure_rating1]]/10</f>
        <v>32792.654158772362</v>
      </c>
      <c r="JH10" s="1">
        <f>Table156789[[#This Row],[Total_Cost_MUSD]]*1000000*Table156789[[#This Row],[prob10-failure_rating2]]/10</f>
        <v>1639.6327079386178</v>
      </c>
      <c r="JI10" s="1">
        <f>Table156789[[#This Row],[Total_Cost_MUSD]]*1000000*Table156789[[#This Row],[prob10-failure_rating3]]/10</f>
        <v>360.71919574649593</v>
      </c>
      <c r="JJ10" s="1">
        <f>Table156789[[#This Row],[Total_Cost_MUSD]]*1000000*Table156789[[#This Row],[prob10-failure_rating4]]/10</f>
        <v>131.17061663508943</v>
      </c>
      <c r="JK10" s="1">
        <f>Table156789[[#This Row],[Total_Cost_MUSD]]*1000000*Table156789[[#This Row],[prob10-failure_rating5]]/10</f>
        <v>22.954857911140646</v>
      </c>
      <c r="JL10" s="1">
        <f>Table156789[[#This Row],[Total_Cost_MUSD]]*1000000*Table156789[[#This Row],[prob10-failure_rating6]]/10</f>
        <v>5.9026777485790252</v>
      </c>
      <c r="JM10" s="1">
        <f>Table156789[[#This Row],[Total_Cost_MUSD]]*1000000*Table156789[[#This Row],[prob10-failure_rating7]]/10</f>
        <v>5.9026777485790252</v>
      </c>
      <c r="JN10" s="1">
        <f>Table156789[[#This Row],[Total_Cost_MUSD]]*1000000*Table156789[[#This Row],[prob10-failure_rating8]]/10</f>
        <v>0.13117061663508942</v>
      </c>
      <c r="JO10" s="1">
        <f>Table156789[[#This Row],[Total_Cost_MUSD]]*1000000*Table156789[[#This Row],[prob10-failure_rating9]]/10</f>
        <v>8.1981635396930888E-2</v>
      </c>
      <c r="JP10" s="1">
        <f>Table156789[[#This Row],[FailureCost_Rating1]]</f>
        <v>5793.3689013831172</v>
      </c>
      <c r="JQ10" s="1">
        <f>Table156789[[#This Row],[FailureCost_Rating2]]</f>
        <v>5793.3689013831172</v>
      </c>
      <c r="JR10" s="1">
        <f>(Table156789[[#This Row],[failurecost500_rating2]]+Table156789[[#This Row],[failurecost100_rating2]]+Table156789[[#This Row],[failurecost50_rating2]]+Table156789[[#This Row],[failurecost10_rating2]])</f>
        <v>5793.3689013831172</v>
      </c>
      <c r="JS10" s="1">
        <f>(Table156789[[#This Row],[failurecost500_rating3]]+Table156789[[#This Row],[failurecost100_rating3]]+Table156789[[#This Row],[failurecost50_rating3]]+Table156789[[#This Row],[failurecost10_rating3]])</f>
        <v>963.01094379594838</v>
      </c>
      <c r="JT10" s="1">
        <f>(Table156789[[#This Row],[failurecost500_rating4]]+Table156789[[#This Row],[failurecost100_rating4]]+Table156789[[#This Row],[failurecost50_rating4]]+Table156789[[#This Row],[failurecost10_rating4]])</f>
        <v>291.30807777709447</v>
      </c>
      <c r="JU10" s="1">
        <f>(Table156789[[#This Row],[failurecost500_rating5]]+Table156789[[#This Row],[failurecost100_rating5]]+Table156789[[#This Row],[failurecost50_rating5]]+Table156789[[#This Row],[failurecost10_rating5]])</f>
        <v>67.990102955854681</v>
      </c>
      <c r="JV10" s="1">
        <f>(Table156789[[#This Row],[failurecost500_rating6]]+Table156789[[#This Row],[failurecost100_rating6]]+Table156789[[#This Row],[failurecost50_rating6]]+Table156789[[#This Row],[failurecost10_rating6]])</f>
        <v>14.789487025606332</v>
      </c>
      <c r="JW10" s="1">
        <f>(Table156789[[#This Row],[failurecost500_rating7]]+Table156789[[#This Row],[failurecost100_rating7]]+Table156789[[#This Row],[failurecost50_rating7]]+Table156789[[#This Row],[failurecost10_rating7]])</f>
        <v>10.526441984965928</v>
      </c>
      <c r="JX10" s="1">
        <f>(Table156789[[#This Row],[failurecost500_rating8]]+Table156789[[#This Row],[failurecost100_rating8]]+Table156789[[#This Row],[failurecost50_rating8]]+Table156789[[#This Row],[failurecost10_rating8]])</f>
        <v>1.6767977159852265</v>
      </c>
      <c r="JY10" s="1">
        <f>(Table156789[[#This Row],[failurecost500_rating9]]+Table156789[[#This Row],[failurecost100_rating9]]+Table156789[[#This Row],[failurecost50_rating9]]+Table156789[[#This Row],[failurecost10_rating9]])</f>
        <v>0.1584978284340664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Table156789[[#This Row],[Depth10_Soil_vol]]*(9.353+9.027)+(Table156789[[#This Row],[Depth10_Soil_vol]]/2.5)*20*1.053+(PI()*Table156789[[#This Row],[Depth10_Scour]])*Table156789[[#This Row],[DECK_WIDTH_MT_052]]*1.062</f>
        <v>12912.070383440046</v>
      </c>
      <c r="AR11" s="1">
        <f>Table156789[[#This Row],[Depth50_Soil_vol]]*(9.353+9.027)+(Table156789[[#This Row],[Depth50_Soil_vol]]/2.5)*20*1.053+(PI()*Table156789[[#This Row],[Depth50_Scour]])*Table156789[[#This Row],[DECK_WIDTH_MT_052]]*1.062</f>
        <v>13809.829327894035</v>
      </c>
      <c r="AS11" s="1">
        <f>Table156789[[#This Row],[Depth100_Soil_vol]]*(9.353+9.027)+(Table156789[[#This Row],[Depth100_Soil_vol]]/2.5)*20*1.053+(PI()*Table156789[[#This Row],[Depth100_Scour]])*Table156789[[#This Row],[DECK_WIDTH_MT_052]]*1.062</f>
        <v>14209.20261771438</v>
      </c>
      <c r="AT11" s="1">
        <f>Table156789[[#This Row],[Depth500_Soil_vol]]*(9.353+9.027)+(Table156789[[#This Row],[Depth500_Soil_vol]]/2.5)*20*1.053+(PI()*Table156789[[#This Row],[Depth500_Scour]])*Table156789[[#This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11" s="1">
        <v>33.883712973364709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30118.855976324183</v>
      </c>
      <c r="GM11" s="1">
        <f>Sheet4!R41*$GF11*1000000</f>
        <v>16941.856486682354</v>
      </c>
      <c r="GN11" s="1">
        <f>Sheet4!S41*$GF11*1000000</f>
        <v>10842.788151476707</v>
      </c>
      <c r="GO11" s="1">
        <f>Sheet4!T41*$GF11*1000000</f>
        <v>7529.7139940810457</v>
      </c>
      <c r="GP11" s="1">
        <f>Sheet4!U41*$GF11*1000000</f>
        <v>5532.034771161585</v>
      </c>
      <c r="GQ11" s="1">
        <f>Sheet4!V41*$GF11*1000000</f>
        <v>4235.4641216705886</v>
      </c>
      <c r="GR11" s="1">
        <f>Sheet4!W41*$GF11*1000000</f>
        <v>3346.5395529249095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1</v>
      </c>
      <c r="HF11" s="1">
        <v>0.01</v>
      </c>
      <c r="HG11" s="1">
        <v>1.25E-3</v>
      </c>
      <c r="HH11" s="1">
        <v>2.7500000000000002E-4</v>
      </c>
      <c r="HI11" s="1">
        <v>1E-4</v>
      </c>
      <c r="HJ11" s="1">
        <v>1.7499999999999998E-5</v>
      </c>
      <c r="HK11" s="1">
        <v>4.5000000000000001E-6</v>
      </c>
      <c r="HL11" s="1">
        <v>4.5000000000000001E-6</v>
      </c>
      <c r="HM11" s="1">
        <v>9.9999999999999995E-8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Table156789[[#This Row],[Total_Cost_MUSD]]*1000000*Table156789[[#This Row],[prob500-failure_rating1]]/500</f>
        <v>677.67425946729418</v>
      </c>
      <c r="IG11" s="1">
        <f>Table156789[[#This Row],[Total_Cost_MUSD]]*1000000*Table156789[[#This Row],[prob500-failure_rating2]]/500</f>
        <v>338.83712973364709</v>
      </c>
      <c r="IH11" s="1">
        <f>Table156789[[#This Row],[Total_Cost_MUSD]]*1000000*Table156789[[#This Row],[prob500-failure_rating3]]/500</f>
        <v>74.544168541402371</v>
      </c>
      <c r="II11" s="1">
        <f>Table156789[[#This Row],[Total_Cost_MUSD]]*1000000*Table156789[[#This Row],[prob500-failure_rating4]]/500</f>
        <v>27.10697037869177</v>
      </c>
      <c r="IJ11" s="1">
        <f>Table156789[[#This Row],[Total_Cost_MUSD]]*1000000*Table156789[[#This Row],[prob500-failure_rating5]]/500</f>
        <v>4.7437198162710592</v>
      </c>
      <c r="IK11" s="1">
        <f>Table156789[[#This Row],[Total_Cost_MUSD]]*1000000*Table156789[[#This Row],[prob500-failure_rating6]]/500</f>
        <v>1.2198136670411295</v>
      </c>
      <c r="IL11" s="1">
        <f>Table156789[[#This Row],[Total_Cost_MUSD]]*1000000*Table156789[[#This Row],[prob500-failure_rating7]]/500</f>
        <v>1.2198136670411295</v>
      </c>
      <c r="IM11" s="1">
        <f>Table156789[[#This Row],[Total_Cost_MUSD]]*1000000*Table156789[[#This Row],[prob500-failure_rating8]]/500</f>
        <v>2.7106970378691767E-2</v>
      </c>
      <c r="IN11" s="1">
        <f>Table156789[[#This Row],[Total_Cost_MUSD]]*1000000*Table156789[[#This Row],[prob500-failure_rating9]]/500</f>
        <v>1.6941856486682356E-2</v>
      </c>
      <c r="IO11" s="1">
        <f>Table156789[[#This Row],[Total_Cost_MUSD]]*1000000*Table156789[[#This Row],[prob100-failure_rating1]]/100</f>
        <v>338837.1297336471</v>
      </c>
      <c r="IP11" s="1">
        <f>Table156789[[#This Row],[Total_Cost_MUSD]]*1000000*Table156789[[#This Row],[prob100-failure_rating2]]/100</f>
        <v>3388.3712973364709</v>
      </c>
      <c r="IQ11" s="1">
        <f>Table156789[[#This Row],[Total_Cost_MUSD]]*1000000*Table156789[[#This Row],[prob100-failure_rating3]]/100</f>
        <v>423.54641216705886</v>
      </c>
      <c r="IR11" s="1">
        <f>Table156789[[#This Row],[Total_Cost_MUSD]]*1000000*Table156789[[#This Row],[prob100-failure_rating4]]/100</f>
        <v>93.180210676752964</v>
      </c>
      <c r="IS11" s="1">
        <f>Table156789[[#This Row],[Total_Cost_MUSD]]*1000000*Table156789[[#This Row],[prob100-failure_rating5]]/100</f>
        <v>33.883712973364716</v>
      </c>
      <c r="IT11" s="1">
        <f>Table156789[[#This Row],[Total_Cost_MUSD]]*1000000*Table156789[[#This Row],[prob100-failure_rating6]]/100</f>
        <v>5.9296497703388242</v>
      </c>
      <c r="IU11" s="1">
        <f>Table156789[[#This Row],[Total_Cost_MUSD]]*1000000*Table156789[[#This Row],[prob100-failure_rating7]]/100</f>
        <v>1.5247670838014118</v>
      </c>
      <c r="IV11" s="1">
        <f>Table156789[[#This Row],[Total_Cost_MUSD]]*1000000*Table156789[[#This Row],[prob100-failure_rating8]]/100</f>
        <v>1.5247670838014118</v>
      </c>
      <c r="IW11" s="1">
        <f>Table156789[[#This Row],[Total_Cost_MUSD]]*1000000*Table156789[[#This Row],[prob100-failure_rating9]]/100</f>
        <v>3.3883712973364705E-2</v>
      </c>
      <c r="IX11" s="1">
        <f>Table156789[[#This Row],[Total_Cost_MUSD]]*1000000*Table156789[[#This Row],[prob50-failure_rating1]]/50</f>
        <v>6776.7425946729418</v>
      </c>
      <c r="IY11" s="1">
        <f>Table156789[[#This Row],[Total_Cost_MUSD]]*1000000*Table156789[[#This Row],[prob50-failure_rating2]]/50</f>
        <v>564.72854955607863</v>
      </c>
      <c r="IZ11" s="1">
        <f>Table156789[[#This Row],[Total_Cost_MUSD]]*1000000*Table156789[[#This Row],[prob50-failure_rating3]]/50</f>
        <v>124.24028090233728</v>
      </c>
      <c r="JA11" s="1">
        <f>Table156789[[#This Row],[Total_Cost_MUSD]]*1000000*Table156789[[#This Row],[prob50-failure_rating4]]/50</f>
        <v>45.178283964486283</v>
      </c>
      <c r="JB11" s="1">
        <f>Table156789[[#This Row],[Total_Cost_MUSD]]*1000000*Table156789[[#This Row],[prob50-failure_rating5]]/50</f>
        <v>7.9061996937850987</v>
      </c>
      <c r="JC11" s="1">
        <f>Table156789[[#This Row],[Total_Cost_MUSD]]*1000000*Table156789[[#This Row],[prob50-failure_rating6]]/50</f>
        <v>2.0330227784018828</v>
      </c>
      <c r="JD11" s="1">
        <f>Table156789[[#This Row],[Total_Cost_MUSD]]*1000000*Table156789[[#This Row],[prob50-failure_rating7]]/50</f>
        <v>2.0330227784018828</v>
      </c>
      <c r="JE11" s="1">
        <f>Table156789[[#This Row],[Total_Cost_MUSD]]*1000000*Table156789[[#This Row],[prob50-failure_rating8]]/50</f>
        <v>4.5178283964486282E-2</v>
      </c>
      <c r="JF11" s="1">
        <f>Table156789[[#This Row],[Total_Cost_MUSD]]*1000000*Table156789[[#This Row],[prob50-failure_rating9]]/50</f>
        <v>2.8236427477803923E-2</v>
      </c>
      <c r="JG11" s="1">
        <f>Table156789[[#This Row],[Total_Cost_MUSD]]*1000000*Table156789[[#This Row],[prob10-failure_rating1]]/10</f>
        <v>33883.712973364709</v>
      </c>
      <c r="JH11" s="1">
        <f>Table156789[[#This Row],[Total_Cost_MUSD]]*1000000*Table156789[[#This Row],[prob10-failure_rating2]]/10</f>
        <v>1694.1856486682354</v>
      </c>
      <c r="JI11" s="1">
        <f>Table156789[[#This Row],[Total_Cost_MUSD]]*1000000*Table156789[[#This Row],[prob10-failure_rating3]]/10</f>
        <v>372.72084270701185</v>
      </c>
      <c r="JJ11" s="1">
        <f>Table156789[[#This Row],[Total_Cost_MUSD]]*1000000*Table156789[[#This Row],[prob10-failure_rating4]]/10</f>
        <v>135.53485189345886</v>
      </c>
      <c r="JK11" s="1">
        <f>Table156789[[#This Row],[Total_Cost_MUSD]]*1000000*Table156789[[#This Row],[prob10-failure_rating5]]/10</f>
        <v>23.718599081355293</v>
      </c>
      <c r="JL11" s="1">
        <f>Table156789[[#This Row],[Total_Cost_MUSD]]*1000000*Table156789[[#This Row],[prob10-failure_rating6]]/10</f>
        <v>6.0990683352056489</v>
      </c>
      <c r="JM11" s="1">
        <f>Table156789[[#This Row],[Total_Cost_MUSD]]*1000000*Table156789[[#This Row],[prob10-failure_rating7]]/10</f>
        <v>6.0990683352056489</v>
      </c>
      <c r="JN11" s="1">
        <f>Table156789[[#This Row],[Total_Cost_MUSD]]*1000000*Table156789[[#This Row],[prob10-failure_rating8]]/10</f>
        <v>0.13553485189345885</v>
      </c>
      <c r="JO11" s="1">
        <f>Table156789[[#This Row],[Total_Cost_MUSD]]*1000000*Table156789[[#This Row],[prob10-failure_rating9]]/10</f>
        <v>8.4709282433411776E-2</v>
      </c>
      <c r="JP11" s="1">
        <f>Table156789[[#This Row],[FailureCost_Rating1]]</f>
        <v>5986.1226252944325</v>
      </c>
      <c r="JQ11" s="1">
        <f>Table156789[[#This Row],[FailureCost_Rating2]]</f>
        <v>5986.1226252944325</v>
      </c>
      <c r="JR11" s="1">
        <f>(Table156789[[#This Row],[failurecost500_rating2]]+Table156789[[#This Row],[failurecost100_rating2]]+Table156789[[#This Row],[failurecost50_rating2]]+Table156789[[#This Row],[failurecost10_rating2]])</f>
        <v>5986.1226252944325</v>
      </c>
      <c r="JS11" s="1">
        <f>(Table156789[[#This Row],[failurecost500_rating3]]+Table156789[[#This Row],[failurecost100_rating3]]+Table156789[[#This Row],[failurecost50_rating3]]+Table156789[[#This Row],[failurecost10_rating3]])</f>
        <v>995.05170431781039</v>
      </c>
      <c r="JT11" s="1">
        <f>(Table156789[[#This Row],[failurecost500_rating4]]+Table156789[[#This Row],[failurecost100_rating4]]+Table156789[[#This Row],[failurecost50_rating4]]+Table156789[[#This Row],[failurecost10_rating4]])</f>
        <v>301.00031691338984</v>
      </c>
      <c r="JU11" s="1">
        <f>(Table156789[[#This Row],[failurecost500_rating5]]+Table156789[[#This Row],[failurecost100_rating5]]+Table156789[[#This Row],[failurecost50_rating5]]+Table156789[[#This Row],[failurecost10_rating5]])</f>
        <v>70.252231564776167</v>
      </c>
      <c r="JV11" s="1">
        <f>(Table156789[[#This Row],[failurecost500_rating6]]+Table156789[[#This Row],[failurecost100_rating6]]+Table156789[[#This Row],[failurecost50_rating6]]+Table156789[[#This Row],[failurecost10_rating6]])</f>
        <v>15.281554550987485</v>
      </c>
      <c r="JW11" s="1">
        <f>(Table156789[[#This Row],[failurecost500_rating7]]+Table156789[[#This Row],[failurecost100_rating7]]+Table156789[[#This Row],[failurecost50_rating7]]+Table156789[[#This Row],[failurecost10_rating7]])</f>
        <v>10.876671864450072</v>
      </c>
      <c r="JX11" s="1">
        <f>(Table156789[[#This Row],[failurecost500_rating8]]+Table156789[[#This Row],[failurecost100_rating8]]+Table156789[[#This Row],[failurecost50_rating8]]+Table156789[[#This Row],[failurecost10_rating8]])</f>
        <v>1.7325871900380487</v>
      </c>
      <c r="JY11" s="1">
        <f>(Table156789[[#This Row],[failurecost500_rating9]]+Table156789[[#This Row],[failurecost100_rating9]]+Table156789[[#This Row],[failurecost50_rating9]]+Table156789[[#This Row],[failurecost10_rating9]])</f>
        <v>0.16377127937126276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Table156789[[#This Row],[Depth10_Soil_vol]]*(9.353+9.027)+(Table156789[[#This Row],[Depth10_Soil_vol]]/2.5)*20*1.053+(PI()*Table156789[[#This Row],[Depth10_Scour]])*Table156789[[#This Row],[DECK_WIDTH_MT_052]]*1.062</f>
        <v>6737.4062355001524</v>
      </c>
      <c r="AR12" s="1">
        <f>Table156789[[#This Row],[Depth50_Soil_vol]]*(9.353+9.027)+(Table156789[[#This Row],[Depth50_Soil_vol]]/2.5)*20*1.053+(PI()*Table156789[[#This Row],[Depth50_Scour]])*Table156789[[#This Row],[DECK_WIDTH_MT_052]]*1.062</f>
        <v>7415.8873465101096</v>
      </c>
      <c r="AS12" s="1">
        <f>Table156789[[#This Row],[Depth100_Soil_vol]]*(9.353+9.027)+(Table156789[[#This Row],[Depth100_Soil_vol]]/2.5)*20*1.053+(PI()*Table156789[[#This Row],[Depth100_Scour]])*Table156789[[#This Row],[DECK_WIDTH_MT_052]]*1.062</f>
        <v>7705.9386938101106</v>
      </c>
      <c r="AT12" s="1">
        <f>Table156789[[#This Row],[Depth500_Soil_vol]]*(9.353+9.027)+(Table156789[[#This Row],[Depth500_Soil_vol]]/2.5)*20*1.053+(PI()*Table156789[[#This Row],[Depth500_Scour]])*Table156789[[#This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12" s="1">
        <v>21.672336138696796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19264.298789952703</v>
      </c>
      <c r="GM12" s="1">
        <f>Sheet4!R42*$GF12*1000000</f>
        <v>10836.1680693484</v>
      </c>
      <c r="GN12" s="1">
        <f>Sheet4!S42*$GF12*1000000</f>
        <v>6935.1475643829745</v>
      </c>
      <c r="GO12" s="1">
        <f>Sheet4!T42*$GF12*1000000</f>
        <v>4816.0746974881758</v>
      </c>
      <c r="GP12" s="1">
        <f>Sheet4!U42*$GF12*1000000</f>
        <v>3538.3405940729458</v>
      </c>
      <c r="GQ12" s="1">
        <f>Sheet4!V42*$GF12*1000000</f>
        <v>2709.0420173370999</v>
      </c>
      <c r="GR12" s="1">
        <f>Sheet4!W42*$GF12*1000000</f>
        <v>2140.4776433280781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1</v>
      </c>
      <c r="HF12" s="1">
        <v>0.01</v>
      </c>
      <c r="HG12" s="1">
        <v>1.25E-3</v>
      </c>
      <c r="HH12" s="1">
        <v>2.7500000000000002E-4</v>
      </c>
      <c r="HI12" s="1">
        <v>1E-4</v>
      </c>
      <c r="HJ12" s="1">
        <v>1.7499999999999998E-5</v>
      </c>
      <c r="HK12" s="1">
        <v>4.5000000000000001E-6</v>
      </c>
      <c r="HL12" s="1">
        <v>4.5000000000000001E-6</v>
      </c>
      <c r="HM12" s="1">
        <v>9.9999999999999995E-8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Table156789[[#This Row],[Total_Cost_MUSD]]*1000000*Table156789[[#This Row],[prob500-failure_rating1]]/500</f>
        <v>433.44672277393596</v>
      </c>
      <c r="IG12" s="1">
        <f>Table156789[[#This Row],[Total_Cost_MUSD]]*1000000*Table156789[[#This Row],[prob500-failure_rating2]]/500</f>
        <v>216.72336138696798</v>
      </c>
      <c r="IH12" s="1">
        <f>Table156789[[#This Row],[Total_Cost_MUSD]]*1000000*Table156789[[#This Row],[prob500-failure_rating3]]/500</f>
        <v>47.679139505132959</v>
      </c>
      <c r="II12" s="1">
        <f>Table156789[[#This Row],[Total_Cost_MUSD]]*1000000*Table156789[[#This Row],[prob500-failure_rating4]]/500</f>
        <v>17.337868910957436</v>
      </c>
      <c r="IJ12" s="1">
        <f>Table156789[[#This Row],[Total_Cost_MUSD]]*1000000*Table156789[[#This Row],[prob500-failure_rating5]]/500</f>
        <v>3.0341270594175511</v>
      </c>
      <c r="IK12" s="1">
        <f>Table156789[[#This Row],[Total_Cost_MUSD]]*1000000*Table156789[[#This Row],[prob500-failure_rating6]]/500</f>
        <v>0.78020410099308468</v>
      </c>
      <c r="IL12" s="1">
        <f>Table156789[[#This Row],[Total_Cost_MUSD]]*1000000*Table156789[[#This Row],[prob500-failure_rating7]]/500</f>
        <v>0.78020410099308468</v>
      </c>
      <c r="IM12" s="1">
        <f>Table156789[[#This Row],[Total_Cost_MUSD]]*1000000*Table156789[[#This Row],[prob500-failure_rating8]]/500</f>
        <v>1.7337868910957437E-2</v>
      </c>
      <c r="IN12" s="1">
        <f>Table156789[[#This Row],[Total_Cost_MUSD]]*1000000*Table156789[[#This Row],[prob500-failure_rating9]]/500</f>
        <v>1.0836168069348399E-2</v>
      </c>
      <c r="IO12" s="1">
        <f>Table156789[[#This Row],[Total_Cost_MUSD]]*1000000*Table156789[[#This Row],[prob100-failure_rating1]]/100</f>
        <v>216723.36138696797</v>
      </c>
      <c r="IP12" s="1">
        <f>Table156789[[#This Row],[Total_Cost_MUSD]]*1000000*Table156789[[#This Row],[prob100-failure_rating2]]/100</f>
        <v>2167.2336138696796</v>
      </c>
      <c r="IQ12" s="1">
        <f>Table156789[[#This Row],[Total_Cost_MUSD]]*1000000*Table156789[[#This Row],[prob100-failure_rating3]]/100</f>
        <v>270.90420173370995</v>
      </c>
      <c r="IR12" s="1">
        <f>Table156789[[#This Row],[Total_Cost_MUSD]]*1000000*Table156789[[#This Row],[prob100-failure_rating4]]/100</f>
        <v>59.598924381416197</v>
      </c>
      <c r="IS12" s="1">
        <f>Table156789[[#This Row],[Total_Cost_MUSD]]*1000000*Table156789[[#This Row],[prob100-failure_rating5]]/100</f>
        <v>21.672336138696796</v>
      </c>
      <c r="IT12" s="1">
        <f>Table156789[[#This Row],[Total_Cost_MUSD]]*1000000*Table156789[[#This Row],[prob100-failure_rating6]]/100</f>
        <v>3.792658824271939</v>
      </c>
      <c r="IU12" s="1">
        <f>Table156789[[#This Row],[Total_Cost_MUSD]]*1000000*Table156789[[#This Row],[prob100-failure_rating7]]/100</f>
        <v>0.97525512624135591</v>
      </c>
      <c r="IV12" s="1">
        <f>Table156789[[#This Row],[Total_Cost_MUSD]]*1000000*Table156789[[#This Row],[prob100-failure_rating8]]/100</f>
        <v>0.97525512624135591</v>
      </c>
      <c r="IW12" s="1">
        <f>Table156789[[#This Row],[Total_Cost_MUSD]]*1000000*Table156789[[#This Row],[prob100-failure_rating9]]/100</f>
        <v>2.1672336138696794E-2</v>
      </c>
      <c r="IX12" s="1">
        <f>Table156789[[#This Row],[Total_Cost_MUSD]]*1000000*Table156789[[#This Row],[prob50-failure_rating1]]/50</f>
        <v>4334.4672277393593</v>
      </c>
      <c r="IY12" s="1">
        <f>Table156789[[#This Row],[Total_Cost_MUSD]]*1000000*Table156789[[#This Row],[prob50-failure_rating2]]/50</f>
        <v>361.20560231161335</v>
      </c>
      <c r="IZ12" s="1">
        <f>Table156789[[#This Row],[Total_Cost_MUSD]]*1000000*Table156789[[#This Row],[prob50-failure_rating3]]/50</f>
        <v>79.465232508554934</v>
      </c>
      <c r="JA12" s="1">
        <f>Table156789[[#This Row],[Total_Cost_MUSD]]*1000000*Table156789[[#This Row],[prob50-failure_rating4]]/50</f>
        <v>28.896448184929064</v>
      </c>
      <c r="JB12" s="1">
        <f>Table156789[[#This Row],[Total_Cost_MUSD]]*1000000*Table156789[[#This Row],[prob50-failure_rating5]]/50</f>
        <v>5.0568784323625859</v>
      </c>
      <c r="JC12" s="1">
        <f>Table156789[[#This Row],[Total_Cost_MUSD]]*1000000*Table156789[[#This Row],[prob50-failure_rating6]]/50</f>
        <v>1.3003401683218079</v>
      </c>
      <c r="JD12" s="1">
        <f>Table156789[[#This Row],[Total_Cost_MUSD]]*1000000*Table156789[[#This Row],[prob50-failure_rating7]]/50</f>
        <v>1.3003401683218079</v>
      </c>
      <c r="JE12" s="1">
        <f>Table156789[[#This Row],[Total_Cost_MUSD]]*1000000*Table156789[[#This Row],[prob50-failure_rating8]]/50</f>
        <v>2.8896448184929063E-2</v>
      </c>
      <c r="JF12" s="1">
        <f>Table156789[[#This Row],[Total_Cost_MUSD]]*1000000*Table156789[[#This Row],[prob50-failure_rating9]]/50</f>
        <v>1.8060280115580661E-2</v>
      </c>
      <c r="JG12" s="1">
        <f>Table156789[[#This Row],[Total_Cost_MUSD]]*1000000*Table156789[[#This Row],[prob10-failure_rating1]]/10</f>
        <v>21672.336138696795</v>
      </c>
      <c r="JH12" s="1">
        <f>Table156789[[#This Row],[Total_Cost_MUSD]]*1000000*Table156789[[#This Row],[prob10-failure_rating2]]/10</f>
        <v>1083.61680693484</v>
      </c>
      <c r="JI12" s="1">
        <f>Table156789[[#This Row],[Total_Cost_MUSD]]*1000000*Table156789[[#This Row],[prob10-failure_rating3]]/10</f>
        <v>238.39569752566476</v>
      </c>
      <c r="JJ12" s="1">
        <f>Table156789[[#This Row],[Total_Cost_MUSD]]*1000000*Table156789[[#This Row],[prob10-failure_rating4]]/10</f>
        <v>86.689344554787198</v>
      </c>
      <c r="JK12" s="1">
        <f>Table156789[[#This Row],[Total_Cost_MUSD]]*1000000*Table156789[[#This Row],[prob10-failure_rating5]]/10</f>
        <v>15.170635297087756</v>
      </c>
      <c r="JL12" s="1">
        <f>Table156789[[#This Row],[Total_Cost_MUSD]]*1000000*Table156789[[#This Row],[prob10-failure_rating6]]/10</f>
        <v>3.9010205049654241</v>
      </c>
      <c r="JM12" s="1">
        <f>Table156789[[#This Row],[Total_Cost_MUSD]]*1000000*Table156789[[#This Row],[prob10-failure_rating7]]/10</f>
        <v>3.9010205049654241</v>
      </c>
      <c r="JN12" s="1">
        <f>Table156789[[#This Row],[Total_Cost_MUSD]]*1000000*Table156789[[#This Row],[prob10-failure_rating8]]/10</f>
        <v>8.668934455478719E-2</v>
      </c>
      <c r="JO12" s="1">
        <f>Table156789[[#This Row],[Total_Cost_MUSD]]*1000000*Table156789[[#This Row],[prob10-failure_rating9]]/10</f>
        <v>5.418084034674199E-2</v>
      </c>
      <c r="JP12" s="1">
        <f>Table156789[[#This Row],[FailureCost_Rating1]]</f>
        <v>3828.779384503101</v>
      </c>
      <c r="JQ12" s="1">
        <f>Table156789[[#This Row],[FailureCost_Rating2]]</f>
        <v>3828.779384503101</v>
      </c>
      <c r="JR12" s="1">
        <f>(Table156789[[#This Row],[failurecost500_rating2]]+Table156789[[#This Row],[failurecost100_rating2]]+Table156789[[#This Row],[failurecost50_rating2]]+Table156789[[#This Row],[failurecost10_rating2]])</f>
        <v>3828.779384503101</v>
      </c>
      <c r="JS12" s="1">
        <f>(Table156789[[#This Row],[failurecost500_rating3]]+Table156789[[#This Row],[failurecost100_rating3]]+Table156789[[#This Row],[failurecost50_rating3]]+Table156789[[#This Row],[failurecost10_rating3]])</f>
        <v>636.44427127306267</v>
      </c>
      <c r="JT12" s="1">
        <f>(Table156789[[#This Row],[failurecost500_rating4]]+Table156789[[#This Row],[failurecost100_rating4]]+Table156789[[#This Row],[failurecost50_rating4]]+Table156789[[#This Row],[failurecost10_rating4]])</f>
        <v>192.52258603208989</v>
      </c>
      <c r="JU12" s="1">
        <f>(Table156789[[#This Row],[failurecost500_rating5]]+Table156789[[#This Row],[failurecost100_rating5]]+Table156789[[#This Row],[failurecost50_rating5]]+Table156789[[#This Row],[failurecost10_rating5]])</f>
        <v>44.933976927564686</v>
      </c>
      <c r="JV12" s="1">
        <f>(Table156789[[#This Row],[failurecost500_rating6]]+Table156789[[#This Row],[failurecost100_rating6]]+Table156789[[#This Row],[failurecost50_rating6]]+Table156789[[#This Row],[failurecost10_rating6]])</f>
        <v>9.7742235985522541</v>
      </c>
      <c r="JW12" s="1">
        <f>(Table156789[[#This Row],[failurecost500_rating7]]+Table156789[[#This Row],[failurecost100_rating7]]+Table156789[[#This Row],[failurecost50_rating7]]+Table156789[[#This Row],[failurecost10_rating7]])</f>
        <v>6.9568199005216727</v>
      </c>
      <c r="JX12" s="1">
        <f>(Table156789[[#This Row],[failurecost500_rating8]]+Table156789[[#This Row],[failurecost100_rating8]]+Table156789[[#This Row],[failurecost50_rating8]]+Table156789[[#This Row],[failurecost10_rating8]])</f>
        <v>1.1081787878920295</v>
      </c>
      <c r="JY12" s="1">
        <f>(Table156789[[#This Row],[failurecost500_rating9]]+Table156789[[#This Row],[failurecost100_rating9]]+Table156789[[#This Row],[failurecost50_rating9]]+Table156789[[#This Row],[failurecost10_rating9]])</f>
        <v>0.10474962467036784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Table156789[[#This Row],[Depth10_Soil_vol]]*(9.353+9.027)+(Table156789[[#This Row],[Depth10_Soil_vol]]/2.5)*20*1.053+(PI()*Table156789[[#This Row],[Depth10_Scour]])*Table156789[[#This Row],[DECK_WIDTH_MT_052]]*1.062</f>
        <v>6992.666213599131</v>
      </c>
      <c r="AR13" s="1">
        <f>Table156789[[#This Row],[Depth50_Soil_vol]]*(9.353+9.027)+(Table156789[[#This Row],[Depth50_Soil_vol]]/2.5)*20*1.053+(PI()*Table156789[[#This Row],[Depth50_Scour]])*Table156789[[#This Row],[DECK_WIDTH_MT_052]]*1.062</f>
        <v>8975.9969727162606</v>
      </c>
      <c r="AS13" s="1">
        <f>Table156789[[#This Row],[Depth100_Soil_vol]]*(9.353+9.027)+(Table156789[[#This Row],[Depth100_Soil_vol]]/2.5)*20*1.053+(PI()*Table156789[[#This Row],[Depth100_Scour]])*Table156789[[#This Row],[DECK_WIDTH_MT_052]]*1.062</f>
        <v>9724.0394899581861</v>
      </c>
      <c r="AT13" s="1">
        <f>Table156789[[#This Row],[Depth500_Soil_vol]]*(9.353+9.027)+(Table156789[[#This Row],[Depth500_Soil_vol]]/2.5)*20*1.053+(PI()*Table156789[[#This Row],[Depth500_Scour]])*Table156789[[#This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</v>
      </c>
      <c r="GF13" s="1">
        <v>41.387816210433932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36789.169964830158</v>
      </c>
      <c r="GM13" s="1">
        <f>Sheet4!R43*$GF13*1000000</f>
        <v>20693.908105216968</v>
      </c>
      <c r="GN13" s="1">
        <f>Sheet4!S43*$GF13*1000000</f>
        <v>13244.101187338862</v>
      </c>
      <c r="GO13" s="1">
        <f>Sheet4!T43*$GF13*1000000</f>
        <v>9197.2924912075396</v>
      </c>
      <c r="GP13" s="1">
        <f>Sheet4!U43*$GF13*1000000</f>
        <v>6757.1944833361531</v>
      </c>
      <c r="GQ13" s="1">
        <f>Sheet4!V43*$GF13*1000000</f>
        <v>5173.4770263042419</v>
      </c>
      <c r="GR13" s="1">
        <f>Sheet4!W43*$GF13*1000000</f>
        <v>4087.6855516477949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1</v>
      </c>
      <c r="HF13" s="1">
        <v>0.01</v>
      </c>
      <c r="HG13" s="1">
        <v>1.25E-3</v>
      </c>
      <c r="HH13" s="1">
        <v>2.7500000000000002E-4</v>
      </c>
      <c r="HI13" s="1">
        <v>1E-4</v>
      </c>
      <c r="HJ13" s="1">
        <v>1.7499999999999998E-5</v>
      </c>
      <c r="HK13" s="1">
        <v>4.5000000000000001E-6</v>
      </c>
      <c r="HL13" s="1">
        <v>4.5000000000000001E-6</v>
      </c>
      <c r="HM13" s="1">
        <v>9.9999999999999995E-8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Table156789[[#This Row],[Total_Cost_MUSD]]*1000000*Table156789[[#This Row],[prob500-failure_rating1]]/500</f>
        <v>827.75632420867873</v>
      </c>
      <c r="IG13" s="1">
        <f>Table156789[[#This Row],[Total_Cost_MUSD]]*1000000*Table156789[[#This Row],[prob500-failure_rating2]]/500</f>
        <v>413.87816210433937</v>
      </c>
      <c r="IH13" s="1">
        <f>Table156789[[#This Row],[Total_Cost_MUSD]]*1000000*Table156789[[#This Row],[prob500-failure_rating3]]/500</f>
        <v>91.05319566295465</v>
      </c>
      <c r="II13" s="1">
        <f>Table156789[[#This Row],[Total_Cost_MUSD]]*1000000*Table156789[[#This Row],[prob500-failure_rating4]]/500</f>
        <v>33.110252968347147</v>
      </c>
      <c r="IJ13" s="1">
        <f>Table156789[[#This Row],[Total_Cost_MUSD]]*1000000*Table156789[[#This Row],[prob500-failure_rating5]]/500</f>
        <v>5.7942942694607504</v>
      </c>
      <c r="IK13" s="1">
        <f>Table156789[[#This Row],[Total_Cost_MUSD]]*1000000*Table156789[[#This Row],[prob500-failure_rating6]]/500</f>
        <v>1.4899613835756216</v>
      </c>
      <c r="IL13" s="1">
        <f>Table156789[[#This Row],[Total_Cost_MUSD]]*1000000*Table156789[[#This Row],[prob500-failure_rating7]]/500</f>
        <v>1.4899613835756216</v>
      </c>
      <c r="IM13" s="1">
        <f>Table156789[[#This Row],[Total_Cost_MUSD]]*1000000*Table156789[[#This Row],[prob500-failure_rating8]]/500</f>
        <v>3.3110252968347138E-2</v>
      </c>
      <c r="IN13" s="1">
        <f>Table156789[[#This Row],[Total_Cost_MUSD]]*1000000*Table156789[[#This Row],[prob500-failure_rating9]]/500</f>
        <v>2.0693908105216964E-2</v>
      </c>
      <c r="IO13" s="1">
        <f>Table156789[[#This Row],[Total_Cost_MUSD]]*1000000*Table156789[[#This Row],[prob100-failure_rating1]]/100</f>
        <v>413878.16210433928</v>
      </c>
      <c r="IP13" s="1">
        <f>Table156789[[#This Row],[Total_Cost_MUSD]]*1000000*Table156789[[#This Row],[prob100-failure_rating2]]/100</f>
        <v>4138.781621043393</v>
      </c>
      <c r="IQ13" s="1">
        <f>Table156789[[#This Row],[Total_Cost_MUSD]]*1000000*Table156789[[#This Row],[prob100-failure_rating3]]/100</f>
        <v>517.34770263042412</v>
      </c>
      <c r="IR13" s="1">
        <f>Table156789[[#This Row],[Total_Cost_MUSD]]*1000000*Table156789[[#This Row],[prob100-failure_rating4]]/100</f>
        <v>113.81649457869331</v>
      </c>
      <c r="IS13" s="1">
        <f>Table156789[[#This Row],[Total_Cost_MUSD]]*1000000*Table156789[[#This Row],[prob100-failure_rating5]]/100</f>
        <v>41.387816210433932</v>
      </c>
      <c r="IT13" s="1">
        <f>Table156789[[#This Row],[Total_Cost_MUSD]]*1000000*Table156789[[#This Row],[prob100-failure_rating6]]/100</f>
        <v>7.2428678368259378</v>
      </c>
      <c r="IU13" s="1">
        <f>Table156789[[#This Row],[Total_Cost_MUSD]]*1000000*Table156789[[#This Row],[prob100-failure_rating7]]/100</f>
        <v>1.8624517294695269</v>
      </c>
      <c r="IV13" s="1">
        <f>Table156789[[#This Row],[Total_Cost_MUSD]]*1000000*Table156789[[#This Row],[prob100-failure_rating8]]/100</f>
        <v>1.8624517294695269</v>
      </c>
      <c r="IW13" s="1">
        <f>Table156789[[#This Row],[Total_Cost_MUSD]]*1000000*Table156789[[#This Row],[prob100-failure_rating9]]/100</f>
        <v>4.1387816210433928E-2</v>
      </c>
      <c r="IX13" s="1">
        <f>Table156789[[#This Row],[Total_Cost_MUSD]]*1000000*Table156789[[#This Row],[prob50-failure_rating1]]/50</f>
        <v>8277.563242086786</v>
      </c>
      <c r="IY13" s="1">
        <f>Table156789[[#This Row],[Total_Cost_MUSD]]*1000000*Table156789[[#This Row],[prob50-failure_rating2]]/50</f>
        <v>689.79693684056565</v>
      </c>
      <c r="IZ13" s="1">
        <f>Table156789[[#This Row],[Total_Cost_MUSD]]*1000000*Table156789[[#This Row],[prob50-failure_rating3]]/50</f>
        <v>151.75532610492439</v>
      </c>
      <c r="JA13" s="1">
        <f>Table156789[[#This Row],[Total_Cost_MUSD]]*1000000*Table156789[[#This Row],[prob50-failure_rating4]]/50</f>
        <v>55.183754947245241</v>
      </c>
      <c r="JB13" s="1">
        <f>Table156789[[#This Row],[Total_Cost_MUSD]]*1000000*Table156789[[#This Row],[prob50-failure_rating5]]/50</f>
        <v>9.6571571157679177</v>
      </c>
      <c r="JC13" s="1">
        <f>Table156789[[#This Row],[Total_Cost_MUSD]]*1000000*Table156789[[#This Row],[prob50-failure_rating6]]/50</f>
        <v>2.483268972626036</v>
      </c>
      <c r="JD13" s="1">
        <f>Table156789[[#This Row],[Total_Cost_MUSD]]*1000000*Table156789[[#This Row],[prob50-failure_rating7]]/50</f>
        <v>2.483268972626036</v>
      </c>
      <c r="JE13" s="1">
        <f>Table156789[[#This Row],[Total_Cost_MUSD]]*1000000*Table156789[[#This Row],[prob50-failure_rating8]]/50</f>
        <v>5.5183754947245242E-2</v>
      </c>
      <c r="JF13" s="1">
        <f>Table156789[[#This Row],[Total_Cost_MUSD]]*1000000*Table156789[[#This Row],[prob50-failure_rating9]]/50</f>
        <v>3.4489846842028271E-2</v>
      </c>
      <c r="JG13" s="1">
        <f>Table156789[[#This Row],[Total_Cost_MUSD]]*1000000*Table156789[[#This Row],[prob10-failure_rating1]]/10</f>
        <v>41387.816210433935</v>
      </c>
      <c r="JH13" s="1">
        <f>Table156789[[#This Row],[Total_Cost_MUSD]]*1000000*Table156789[[#This Row],[prob10-failure_rating2]]/10</f>
        <v>2069.3908105216965</v>
      </c>
      <c r="JI13" s="1">
        <f>Table156789[[#This Row],[Total_Cost_MUSD]]*1000000*Table156789[[#This Row],[prob10-failure_rating3]]/10</f>
        <v>455.26597831477329</v>
      </c>
      <c r="JJ13" s="1">
        <f>Table156789[[#This Row],[Total_Cost_MUSD]]*1000000*Table156789[[#This Row],[prob10-failure_rating4]]/10</f>
        <v>165.55126484173573</v>
      </c>
      <c r="JK13" s="1">
        <f>Table156789[[#This Row],[Total_Cost_MUSD]]*1000000*Table156789[[#This Row],[prob10-failure_rating5]]/10</f>
        <v>28.971471347303748</v>
      </c>
      <c r="JL13" s="1">
        <f>Table156789[[#This Row],[Total_Cost_MUSD]]*1000000*Table156789[[#This Row],[prob10-failure_rating6]]/10</f>
        <v>7.4498069178781083</v>
      </c>
      <c r="JM13" s="1">
        <f>Table156789[[#This Row],[Total_Cost_MUSD]]*1000000*Table156789[[#This Row],[prob10-failure_rating7]]/10</f>
        <v>7.4498069178781083</v>
      </c>
      <c r="JN13" s="1">
        <f>Table156789[[#This Row],[Total_Cost_MUSD]]*1000000*Table156789[[#This Row],[prob10-failure_rating8]]/10</f>
        <v>0.16555126484173571</v>
      </c>
      <c r="JO13" s="1">
        <f>Table156789[[#This Row],[Total_Cost_MUSD]]*1000000*Table156789[[#This Row],[prob10-failure_rating9]]/10</f>
        <v>0.10346954052608481</v>
      </c>
      <c r="JP13" s="1">
        <f>Table156789[[#This Row],[FailureCost_Rating1]]</f>
        <v>7311.8475305099946</v>
      </c>
      <c r="JQ13" s="1">
        <f>Table156789[[#This Row],[FailureCost_Rating2]]</f>
        <v>7311.8475305099946</v>
      </c>
      <c r="JR13" s="1">
        <f>(Table156789[[#This Row],[failurecost500_rating2]]+Table156789[[#This Row],[failurecost100_rating2]]+Table156789[[#This Row],[failurecost50_rating2]]+Table156789[[#This Row],[failurecost10_rating2]])</f>
        <v>7311.8475305099946</v>
      </c>
      <c r="JS13" s="1">
        <f>(Table156789[[#This Row],[failurecost500_rating3]]+Table156789[[#This Row],[failurecost100_rating3]]+Table156789[[#This Row],[failurecost50_rating3]]+Table156789[[#This Row],[failurecost10_rating3]])</f>
        <v>1215.4222027130763</v>
      </c>
      <c r="JT13" s="1">
        <f>(Table156789[[#This Row],[failurecost500_rating4]]+Table156789[[#This Row],[failurecost100_rating4]]+Table156789[[#This Row],[failurecost50_rating4]]+Table156789[[#This Row],[failurecost10_rating4]])</f>
        <v>367.6617673360214</v>
      </c>
      <c r="JU13" s="1">
        <f>(Table156789[[#This Row],[failurecost500_rating5]]+Table156789[[#This Row],[failurecost100_rating5]]+Table156789[[#This Row],[failurecost50_rating5]]+Table156789[[#This Row],[failurecost10_rating5]])</f>
        <v>85.810738942966339</v>
      </c>
      <c r="JV13" s="1">
        <f>(Table156789[[#This Row],[failurecost500_rating6]]+Table156789[[#This Row],[failurecost100_rating6]]+Table156789[[#This Row],[failurecost50_rating6]]+Table156789[[#This Row],[failurecost10_rating6]])</f>
        <v>18.665905110905705</v>
      </c>
      <c r="JW13" s="1">
        <f>(Table156789[[#This Row],[failurecost500_rating7]]+Table156789[[#This Row],[failurecost100_rating7]]+Table156789[[#This Row],[failurecost50_rating7]]+Table156789[[#This Row],[failurecost10_rating7]])</f>
        <v>13.285489003549293</v>
      </c>
      <c r="JX13" s="1">
        <f>(Table156789[[#This Row],[failurecost500_rating8]]+Table156789[[#This Row],[failurecost100_rating8]]+Table156789[[#This Row],[failurecost50_rating8]]+Table156789[[#This Row],[failurecost10_rating8]])</f>
        <v>2.116297002226855</v>
      </c>
      <c r="JY13" s="1">
        <f>(Table156789[[#This Row],[failurecost500_rating9]]+Table156789[[#This Row],[failurecost100_rating9]]+Table156789[[#This Row],[failurecost50_rating9]]+Table156789[[#This Row],[failurecost10_rating9]])</f>
        <v>0.20004111168376398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Table156789[[#This Row],[Depth10_Soil_vol]]*(9.353+9.027)+(Table156789[[#This Row],[Depth10_Soil_vol]]/2.5)*20*1.053+(PI()*Table156789[[#This Row],[Depth10_Scour]])*Table156789[[#This Row],[DECK_WIDTH_MT_052]]*1.062</f>
        <v>13653.389769605932</v>
      </c>
      <c r="AR14" s="1">
        <f>Table156789[[#This Row],[Depth50_Soil_vol]]*(9.353+9.027)+(Table156789[[#This Row],[Depth50_Soil_vol]]/2.5)*20*1.053+(PI()*Table156789[[#This Row],[Depth50_Scour]])*Table156789[[#This Row],[DECK_WIDTH_MT_052]]*1.062</f>
        <v>14501.430182908143</v>
      </c>
      <c r="AS14" s="1">
        <f>Table156789[[#This Row],[Depth100_Soil_vol]]*(9.353+9.027)+(Table156789[[#This Row],[Depth100_Soil_vol]]/2.5)*20*1.053+(PI()*Table156789[[#This Row],[Depth100_Scour]])*Table156789[[#This Row],[DECK_WIDTH_MT_052]]*1.062</f>
        <v>14880.875971506524</v>
      </c>
      <c r="AT14" s="1">
        <f>Table156789[[#This Row],[Depth500_Soil_vol]]*(9.353+9.027)+(Table156789[[#This Row],[Depth500_Soil_vol]]/2.5)*20*1.053+(PI()*Table156789[[#This Row],[Depth500_Scour]])*Table156789[[#This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0.52800000000000002</v>
      </c>
      <c r="GF14" s="1">
        <v>138.19735890693372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122842.09680616327</v>
      </c>
      <c r="GM14" s="1">
        <f>Sheet4!R44*$GF14*1000000</f>
        <v>69098.679453466873</v>
      </c>
      <c r="GN14" s="1">
        <f>Sheet4!S44*$GF14*1000000</f>
        <v>44223.154850218794</v>
      </c>
      <c r="GO14" s="1">
        <f>Sheet4!T44*$GF14*1000000</f>
        <v>30710.524201540818</v>
      </c>
      <c r="GP14" s="1">
        <f>Sheet4!U44*$GF14*1000000</f>
        <v>22562.834107254483</v>
      </c>
      <c r="GQ14" s="1">
        <f>Sheet4!V44*$GF14*1000000</f>
        <v>17274.669863366718</v>
      </c>
      <c r="GR14" s="1">
        <f>Sheet4!W44*$GF14*1000000</f>
        <v>13649.121867351478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1</v>
      </c>
      <c r="HF14" s="1">
        <v>0.01</v>
      </c>
      <c r="HG14" s="1">
        <v>1.25E-3</v>
      </c>
      <c r="HH14" s="1">
        <v>2.7500000000000002E-4</v>
      </c>
      <c r="HI14" s="1">
        <v>1E-4</v>
      </c>
      <c r="HJ14" s="1">
        <v>1.7499999999999998E-5</v>
      </c>
      <c r="HK14" s="1">
        <v>4.5000000000000001E-6</v>
      </c>
      <c r="HL14" s="1">
        <v>4.5000000000000001E-6</v>
      </c>
      <c r="HM14" s="1">
        <v>9.9999999999999995E-8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Table156789[[#This Row],[Total_Cost_MUSD]]*1000000*Table156789[[#This Row],[prob500-failure_rating1]]/500</f>
        <v>2763.9471781386746</v>
      </c>
      <c r="IG14" s="1">
        <f>Table156789[[#This Row],[Total_Cost_MUSD]]*1000000*Table156789[[#This Row],[prob500-failure_rating2]]/500</f>
        <v>1381.9735890693373</v>
      </c>
      <c r="IH14" s="1">
        <f>Table156789[[#This Row],[Total_Cost_MUSD]]*1000000*Table156789[[#This Row],[prob500-failure_rating3]]/500</f>
        <v>304.03418959525419</v>
      </c>
      <c r="II14" s="1">
        <f>Table156789[[#This Row],[Total_Cost_MUSD]]*1000000*Table156789[[#This Row],[prob500-failure_rating4]]/500</f>
        <v>110.55788712554698</v>
      </c>
      <c r="IJ14" s="1">
        <f>Table156789[[#This Row],[Total_Cost_MUSD]]*1000000*Table156789[[#This Row],[prob500-failure_rating5]]/500</f>
        <v>19.34763024697072</v>
      </c>
      <c r="IK14" s="1">
        <f>Table156789[[#This Row],[Total_Cost_MUSD]]*1000000*Table156789[[#This Row],[prob500-failure_rating6]]/500</f>
        <v>4.9751049206496143</v>
      </c>
      <c r="IL14" s="1">
        <f>Table156789[[#This Row],[Total_Cost_MUSD]]*1000000*Table156789[[#This Row],[prob500-failure_rating7]]/500</f>
        <v>4.9751049206496143</v>
      </c>
      <c r="IM14" s="1">
        <f>Table156789[[#This Row],[Total_Cost_MUSD]]*1000000*Table156789[[#This Row],[prob500-failure_rating8]]/500</f>
        <v>0.11055788712554697</v>
      </c>
      <c r="IN14" s="1">
        <f>Table156789[[#This Row],[Total_Cost_MUSD]]*1000000*Table156789[[#This Row],[prob500-failure_rating9]]/500</f>
        <v>6.9098679453466857E-2</v>
      </c>
      <c r="IO14" s="1">
        <f>Table156789[[#This Row],[Total_Cost_MUSD]]*1000000*Table156789[[#This Row],[prob100-failure_rating1]]/100</f>
        <v>1381973.5890693374</v>
      </c>
      <c r="IP14" s="1">
        <f>Table156789[[#This Row],[Total_Cost_MUSD]]*1000000*Table156789[[#This Row],[prob100-failure_rating2]]/100</f>
        <v>13819.735890693373</v>
      </c>
      <c r="IQ14" s="1">
        <f>Table156789[[#This Row],[Total_Cost_MUSD]]*1000000*Table156789[[#This Row],[prob100-failure_rating3]]/100</f>
        <v>1727.4669863366717</v>
      </c>
      <c r="IR14" s="1">
        <f>Table156789[[#This Row],[Total_Cost_MUSD]]*1000000*Table156789[[#This Row],[prob100-failure_rating4]]/100</f>
        <v>380.04273699406775</v>
      </c>
      <c r="IS14" s="1">
        <f>Table156789[[#This Row],[Total_Cost_MUSD]]*1000000*Table156789[[#This Row],[prob100-failure_rating5]]/100</f>
        <v>138.19735890693374</v>
      </c>
      <c r="IT14" s="1">
        <f>Table156789[[#This Row],[Total_Cost_MUSD]]*1000000*Table156789[[#This Row],[prob100-failure_rating6]]/100</f>
        <v>24.184537808713397</v>
      </c>
      <c r="IU14" s="1">
        <f>Table156789[[#This Row],[Total_Cost_MUSD]]*1000000*Table156789[[#This Row],[prob100-failure_rating7]]/100</f>
        <v>6.2188811508120185</v>
      </c>
      <c r="IV14" s="1">
        <f>Table156789[[#This Row],[Total_Cost_MUSD]]*1000000*Table156789[[#This Row],[prob100-failure_rating8]]/100</f>
        <v>6.2188811508120185</v>
      </c>
      <c r="IW14" s="1">
        <f>Table156789[[#This Row],[Total_Cost_MUSD]]*1000000*Table156789[[#This Row],[prob100-failure_rating9]]/100</f>
        <v>0.13819735890693371</v>
      </c>
      <c r="IX14" s="1">
        <f>Table156789[[#This Row],[Total_Cost_MUSD]]*1000000*Table156789[[#This Row],[prob50-failure_rating1]]/50</f>
        <v>27639.471781386746</v>
      </c>
      <c r="IY14" s="1">
        <f>Table156789[[#This Row],[Total_Cost_MUSD]]*1000000*Table156789[[#This Row],[prob50-failure_rating2]]/50</f>
        <v>2303.2893151155622</v>
      </c>
      <c r="IZ14" s="1">
        <f>Table156789[[#This Row],[Total_Cost_MUSD]]*1000000*Table156789[[#This Row],[prob50-failure_rating3]]/50</f>
        <v>506.72364932542371</v>
      </c>
      <c r="JA14" s="1">
        <f>Table156789[[#This Row],[Total_Cost_MUSD]]*1000000*Table156789[[#This Row],[prob50-failure_rating4]]/50</f>
        <v>184.26314520924498</v>
      </c>
      <c r="JB14" s="1">
        <f>Table156789[[#This Row],[Total_Cost_MUSD]]*1000000*Table156789[[#This Row],[prob50-failure_rating5]]/50</f>
        <v>32.246050411617865</v>
      </c>
      <c r="JC14" s="1">
        <f>Table156789[[#This Row],[Total_Cost_MUSD]]*1000000*Table156789[[#This Row],[prob50-failure_rating6]]/50</f>
        <v>8.2918415344160241</v>
      </c>
      <c r="JD14" s="1">
        <f>Table156789[[#This Row],[Total_Cost_MUSD]]*1000000*Table156789[[#This Row],[prob50-failure_rating7]]/50</f>
        <v>8.2918415344160241</v>
      </c>
      <c r="JE14" s="1">
        <f>Table156789[[#This Row],[Total_Cost_MUSD]]*1000000*Table156789[[#This Row],[prob50-failure_rating8]]/50</f>
        <v>0.18426314520924497</v>
      </c>
      <c r="JF14" s="1">
        <f>Table156789[[#This Row],[Total_Cost_MUSD]]*1000000*Table156789[[#This Row],[prob50-failure_rating9]]/50</f>
        <v>0.1151644657557781</v>
      </c>
      <c r="JG14" s="1">
        <f>Table156789[[#This Row],[Total_Cost_MUSD]]*1000000*Table156789[[#This Row],[prob10-failure_rating1]]/10</f>
        <v>138197.35890693375</v>
      </c>
      <c r="JH14" s="1">
        <f>Table156789[[#This Row],[Total_Cost_MUSD]]*1000000*Table156789[[#This Row],[prob10-failure_rating2]]/10</f>
        <v>6909.8679453466857</v>
      </c>
      <c r="JI14" s="1">
        <f>Table156789[[#This Row],[Total_Cost_MUSD]]*1000000*Table156789[[#This Row],[prob10-failure_rating3]]/10</f>
        <v>1520.170947976271</v>
      </c>
      <c r="JJ14" s="1">
        <f>Table156789[[#This Row],[Total_Cost_MUSD]]*1000000*Table156789[[#This Row],[prob10-failure_rating4]]/10</f>
        <v>552.78943562773497</v>
      </c>
      <c r="JK14" s="1">
        <f>Table156789[[#This Row],[Total_Cost_MUSD]]*1000000*Table156789[[#This Row],[prob10-failure_rating5]]/10</f>
        <v>96.738151234853589</v>
      </c>
      <c r="JL14" s="1">
        <f>Table156789[[#This Row],[Total_Cost_MUSD]]*1000000*Table156789[[#This Row],[prob10-failure_rating6]]/10</f>
        <v>24.875524603248074</v>
      </c>
      <c r="JM14" s="1">
        <f>Table156789[[#This Row],[Total_Cost_MUSD]]*1000000*Table156789[[#This Row],[prob10-failure_rating7]]/10</f>
        <v>24.875524603248074</v>
      </c>
      <c r="JN14" s="1">
        <f>Table156789[[#This Row],[Total_Cost_MUSD]]*1000000*Table156789[[#This Row],[prob10-failure_rating8]]/10</f>
        <v>0.55278943562773486</v>
      </c>
      <c r="JO14" s="1">
        <f>Table156789[[#This Row],[Total_Cost_MUSD]]*1000000*Table156789[[#This Row],[prob10-failure_rating9]]/10</f>
        <v>0.3454933972673343</v>
      </c>
      <c r="JP14" s="1">
        <f>Table156789[[#This Row],[FailureCost_Rating1]]</f>
        <v>24414.866740224959</v>
      </c>
      <c r="JQ14" s="1">
        <f>Table156789[[#This Row],[FailureCost_Rating2]]</f>
        <v>24414.866740224959</v>
      </c>
      <c r="JR14" s="1">
        <f>(Table156789[[#This Row],[failurecost500_rating2]]+Table156789[[#This Row],[failurecost100_rating2]]+Table156789[[#This Row],[failurecost50_rating2]]+Table156789[[#This Row],[failurecost10_rating2]])</f>
        <v>24414.866740224959</v>
      </c>
      <c r="JS14" s="1">
        <f>(Table156789[[#This Row],[failurecost500_rating3]]+Table156789[[#This Row],[failurecost100_rating3]]+Table156789[[#This Row],[failurecost50_rating3]]+Table156789[[#This Row],[failurecost10_rating3]])</f>
        <v>4058.3957732336203</v>
      </c>
      <c r="JT14" s="1">
        <f>(Table156789[[#This Row],[failurecost500_rating4]]+Table156789[[#This Row],[failurecost100_rating4]]+Table156789[[#This Row],[failurecost50_rating4]]+Table156789[[#This Row],[failurecost10_rating4]])</f>
        <v>1227.6532049565947</v>
      </c>
      <c r="JU14" s="1">
        <f>(Table156789[[#This Row],[failurecost500_rating5]]+Table156789[[#This Row],[failurecost100_rating5]]+Table156789[[#This Row],[failurecost50_rating5]]+Table156789[[#This Row],[failurecost10_rating5]])</f>
        <v>286.52919080037589</v>
      </c>
      <c r="JV14" s="1">
        <f>(Table156789[[#This Row],[failurecost500_rating6]]+Table156789[[#This Row],[failurecost100_rating6]]+Table156789[[#This Row],[failurecost50_rating6]]+Table156789[[#This Row],[failurecost10_rating6]])</f>
        <v>62.327008867027111</v>
      </c>
      <c r="JW14" s="1">
        <f>(Table156789[[#This Row],[failurecost500_rating7]]+Table156789[[#This Row],[failurecost100_rating7]]+Table156789[[#This Row],[failurecost50_rating7]]+Table156789[[#This Row],[failurecost10_rating7]])</f>
        <v>44.361352209125734</v>
      </c>
      <c r="JX14" s="1">
        <f>(Table156789[[#This Row],[failurecost500_rating8]]+Table156789[[#This Row],[failurecost100_rating8]]+Table156789[[#This Row],[failurecost50_rating8]]+Table156789[[#This Row],[failurecost10_rating8]])</f>
        <v>7.0664916187745455</v>
      </c>
      <c r="JY14" s="1">
        <f>(Table156789[[#This Row],[failurecost500_rating9]]+Table156789[[#This Row],[failurecost100_rating9]]+Table156789[[#This Row],[failurecost50_rating9]]+Table156789[[#This Row],[failurecost10_rating9]])</f>
        <v>0.66795390138351296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Table156789[[#This Row],[Depth10_Soil_vol]]*(9.353+9.027)+(Table156789[[#This Row],[Depth10_Soil_vol]]/2.5)*20*1.053+(PI()*Table156789[[#This Row],[Depth10_Scour]])*Table156789[[#This Row],[DECK_WIDTH_MT_052]]*1.062</f>
        <v>9589.4503766877388</v>
      </c>
      <c r="AR15" s="1">
        <f>Table156789[[#This Row],[Depth50_Soil_vol]]*(9.353+9.027)+(Table156789[[#This Row],[Depth50_Soil_vol]]/2.5)*20*1.053+(PI()*Table156789[[#This Row],[Depth50_Scour]])*Table156789[[#This Row],[DECK_WIDTH_MT_052]]*1.062</f>
        <v>10089.839206196759</v>
      </c>
      <c r="AS15" s="1">
        <f>Table156789[[#This Row],[Depth100_Soil_vol]]*(9.353+9.027)+(Table156789[[#This Row],[Depth100_Soil_vol]]/2.5)*20*1.053+(PI()*Table156789[[#This Row],[Depth100_Scour]])*Table156789[[#This Row],[DECK_WIDTH_MT_052]]*1.062</f>
        <v>10312.30726316059</v>
      </c>
      <c r="AT15" s="1">
        <f>Table156789[[#This Row],[Depth500_Soil_vol]]*(9.353+9.027)+(Table156789[[#This Row],[Depth500_Soil_vol]]/2.5)*20*1.053+(PI()*Table156789[[#This Row],[Depth500_Scour]])*Table156789[[#This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0.66</v>
      </c>
      <c r="GF15" s="1">
        <v>63.448595675530456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56398.751711582627</v>
      </c>
      <c r="GM15" s="1">
        <f>Sheet4!R45*$GF15*1000000</f>
        <v>31724.297837765225</v>
      </c>
      <c r="GN15" s="1">
        <f>Sheet4!S45*$GF15*1000000</f>
        <v>20303.550616169749</v>
      </c>
      <c r="GO15" s="1">
        <f>Sheet4!T45*$GF15*1000000</f>
        <v>14099.687927895657</v>
      </c>
      <c r="GP15" s="1">
        <f>Sheet4!U45*$GF15*1000000</f>
        <v>10358.954396004972</v>
      </c>
      <c r="GQ15" s="1">
        <f>Sheet4!V45*$GF15*1000000</f>
        <v>7931.0744594413063</v>
      </c>
      <c r="GR15" s="1">
        <f>Sheet4!W45*$GF15*1000000</f>
        <v>6266.5279679536252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1</v>
      </c>
      <c r="HF15" s="1">
        <v>0.01</v>
      </c>
      <c r="HG15" s="1">
        <v>1.25E-3</v>
      </c>
      <c r="HH15" s="1">
        <v>2.7500000000000002E-4</v>
      </c>
      <c r="HI15" s="1">
        <v>1E-4</v>
      </c>
      <c r="HJ15" s="1">
        <v>1.7499999999999998E-5</v>
      </c>
      <c r="HK15" s="1">
        <v>4.5000000000000001E-6</v>
      </c>
      <c r="HL15" s="1">
        <v>4.5000000000000001E-6</v>
      </c>
      <c r="HM15" s="1">
        <v>9.9999999999999995E-8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Table156789[[#This Row],[Total_Cost_MUSD]]*1000000*Table156789[[#This Row],[prob500-failure_rating1]]/500</f>
        <v>1268.9719135106093</v>
      </c>
      <c r="IG15" s="1">
        <f>Table156789[[#This Row],[Total_Cost_MUSD]]*1000000*Table156789[[#This Row],[prob500-failure_rating2]]/500</f>
        <v>634.48595675530464</v>
      </c>
      <c r="IH15" s="1">
        <f>Table156789[[#This Row],[Total_Cost_MUSD]]*1000000*Table156789[[#This Row],[prob500-failure_rating3]]/500</f>
        <v>139.586910486167</v>
      </c>
      <c r="II15" s="1">
        <f>Table156789[[#This Row],[Total_Cost_MUSD]]*1000000*Table156789[[#This Row],[prob500-failure_rating4]]/500</f>
        <v>50.758876540424367</v>
      </c>
      <c r="IJ15" s="1">
        <f>Table156789[[#This Row],[Total_Cost_MUSD]]*1000000*Table156789[[#This Row],[prob500-failure_rating5]]/500</f>
        <v>8.8828033945742622</v>
      </c>
      <c r="IK15" s="1">
        <f>Table156789[[#This Row],[Total_Cost_MUSD]]*1000000*Table156789[[#This Row],[prob500-failure_rating6]]/500</f>
        <v>2.2841494443190964</v>
      </c>
      <c r="IL15" s="1">
        <f>Table156789[[#This Row],[Total_Cost_MUSD]]*1000000*Table156789[[#This Row],[prob500-failure_rating7]]/500</f>
        <v>2.2841494443190964</v>
      </c>
      <c r="IM15" s="1">
        <f>Table156789[[#This Row],[Total_Cost_MUSD]]*1000000*Table156789[[#This Row],[prob500-failure_rating8]]/500</f>
        <v>5.0758876540424359E-2</v>
      </c>
      <c r="IN15" s="1">
        <f>Table156789[[#This Row],[Total_Cost_MUSD]]*1000000*Table156789[[#This Row],[prob500-failure_rating9]]/500</f>
        <v>3.1724297837765231E-2</v>
      </c>
      <c r="IO15" s="1">
        <f>Table156789[[#This Row],[Total_Cost_MUSD]]*1000000*Table156789[[#This Row],[prob100-failure_rating1]]/100</f>
        <v>634485.95675530459</v>
      </c>
      <c r="IP15" s="1">
        <f>Table156789[[#This Row],[Total_Cost_MUSD]]*1000000*Table156789[[#This Row],[prob100-failure_rating2]]/100</f>
        <v>6344.859567553046</v>
      </c>
      <c r="IQ15" s="1">
        <f>Table156789[[#This Row],[Total_Cost_MUSD]]*1000000*Table156789[[#This Row],[prob100-failure_rating3]]/100</f>
        <v>793.10744594413075</v>
      </c>
      <c r="IR15" s="1">
        <f>Table156789[[#This Row],[Total_Cost_MUSD]]*1000000*Table156789[[#This Row],[prob100-failure_rating4]]/100</f>
        <v>174.48363810770877</v>
      </c>
      <c r="IS15" s="1">
        <f>Table156789[[#This Row],[Total_Cost_MUSD]]*1000000*Table156789[[#This Row],[prob100-failure_rating5]]/100</f>
        <v>63.448595675530463</v>
      </c>
      <c r="IT15" s="1">
        <f>Table156789[[#This Row],[Total_Cost_MUSD]]*1000000*Table156789[[#This Row],[prob100-failure_rating6]]/100</f>
        <v>11.103504243217829</v>
      </c>
      <c r="IU15" s="1">
        <f>Table156789[[#This Row],[Total_Cost_MUSD]]*1000000*Table156789[[#This Row],[prob100-failure_rating7]]/100</f>
        <v>2.8551868053988705</v>
      </c>
      <c r="IV15" s="1">
        <f>Table156789[[#This Row],[Total_Cost_MUSD]]*1000000*Table156789[[#This Row],[prob100-failure_rating8]]/100</f>
        <v>2.8551868053988705</v>
      </c>
      <c r="IW15" s="1">
        <f>Table156789[[#This Row],[Total_Cost_MUSD]]*1000000*Table156789[[#This Row],[prob100-failure_rating9]]/100</f>
        <v>6.3448595675530448E-2</v>
      </c>
      <c r="IX15" s="1">
        <f>Table156789[[#This Row],[Total_Cost_MUSD]]*1000000*Table156789[[#This Row],[prob50-failure_rating1]]/50</f>
        <v>12689.719135106092</v>
      </c>
      <c r="IY15" s="1">
        <f>Table156789[[#This Row],[Total_Cost_MUSD]]*1000000*Table156789[[#This Row],[prob50-failure_rating2]]/50</f>
        <v>1057.4765945921745</v>
      </c>
      <c r="IZ15" s="1">
        <f>Table156789[[#This Row],[Total_Cost_MUSD]]*1000000*Table156789[[#This Row],[prob50-failure_rating3]]/50</f>
        <v>232.64485081027834</v>
      </c>
      <c r="JA15" s="1">
        <f>Table156789[[#This Row],[Total_Cost_MUSD]]*1000000*Table156789[[#This Row],[prob50-failure_rating4]]/50</f>
        <v>84.598127567373936</v>
      </c>
      <c r="JB15" s="1">
        <f>Table156789[[#This Row],[Total_Cost_MUSD]]*1000000*Table156789[[#This Row],[prob50-failure_rating5]]/50</f>
        <v>14.804672324290438</v>
      </c>
      <c r="JC15" s="1">
        <f>Table156789[[#This Row],[Total_Cost_MUSD]]*1000000*Table156789[[#This Row],[prob50-failure_rating6]]/50</f>
        <v>3.8069157405318275</v>
      </c>
      <c r="JD15" s="1">
        <f>Table156789[[#This Row],[Total_Cost_MUSD]]*1000000*Table156789[[#This Row],[prob50-failure_rating7]]/50</f>
        <v>3.8069157405318275</v>
      </c>
      <c r="JE15" s="1">
        <f>Table156789[[#This Row],[Total_Cost_MUSD]]*1000000*Table156789[[#This Row],[prob50-failure_rating8]]/50</f>
        <v>8.4598127567373935E-2</v>
      </c>
      <c r="JF15" s="1">
        <f>Table156789[[#This Row],[Total_Cost_MUSD]]*1000000*Table156789[[#This Row],[prob50-failure_rating9]]/50</f>
        <v>5.2873829729608711E-2</v>
      </c>
      <c r="JG15" s="1">
        <f>Table156789[[#This Row],[Total_Cost_MUSD]]*1000000*Table156789[[#This Row],[prob10-failure_rating1]]/10</f>
        <v>63448.595675530458</v>
      </c>
      <c r="JH15" s="1">
        <f>Table156789[[#This Row],[Total_Cost_MUSD]]*1000000*Table156789[[#This Row],[prob10-failure_rating2]]/10</f>
        <v>3172.429783776523</v>
      </c>
      <c r="JI15" s="1">
        <f>Table156789[[#This Row],[Total_Cost_MUSD]]*1000000*Table156789[[#This Row],[prob10-failure_rating3]]/10</f>
        <v>697.93455243083508</v>
      </c>
      <c r="JJ15" s="1">
        <f>Table156789[[#This Row],[Total_Cost_MUSD]]*1000000*Table156789[[#This Row],[prob10-failure_rating4]]/10</f>
        <v>253.79438270212185</v>
      </c>
      <c r="JK15" s="1">
        <f>Table156789[[#This Row],[Total_Cost_MUSD]]*1000000*Table156789[[#This Row],[prob10-failure_rating5]]/10</f>
        <v>44.414016972871316</v>
      </c>
      <c r="JL15" s="1">
        <f>Table156789[[#This Row],[Total_Cost_MUSD]]*1000000*Table156789[[#This Row],[prob10-failure_rating6]]/10</f>
        <v>11.420747221595482</v>
      </c>
      <c r="JM15" s="1">
        <f>Table156789[[#This Row],[Total_Cost_MUSD]]*1000000*Table156789[[#This Row],[prob10-failure_rating7]]/10</f>
        <v>11.420747221595482</v>
      </c>
      <c r="JN15" s="1">
        <f>Table156789[[#This Row],[Total_Cost_MUSD]]*1000000*Table156789[[#This Row],[prob10-failure_rating8]]/10</f>
        <v>0.25379438270212185</v>
      </c>
      <c r="JO15" s="1">
        <f>Table156789[[#This Row],[Total_Cost_MUSD]]*1000000*Table156789[[#This Row],[prob10-failure_rating9]]/10</f>
        <v>0.15862148918882613</v>
      </c>
      <c r="JP15" s="1">
        <f>Table156789[[#This Row],[FailureCost_Rating1]]</f>
        <v>11209.251902677048</v>
      </c>
      <c r="JQ15" s="1">
        <f>Table156789[[#This Row],[FailureCost_Rating2]]</f>
        <v>11209.251902677048</v>
      </c>
      <c r="JR15" s="1">
        <f>(Table156789[[#This Row],[failurecost500_rating2]]+Table156789[[#This Row],[failurecost100_rating2]]+Table156789[[#This Row],[failurecost50_rating2]]+Table156789[[#This Row],[failurecost10_rating2]])</f>
        <v>11209.251902677048</v>
      </c>
      <c r="JS15" s="1">
        <f>(Table156789[[#This Row],[failurecost500_rating3]]+Table156789[[#This Row],[failurecost100_rating3]]+Table156789[[#This Row],[failurecost50_rating3]]+Table156789[[#This Row],[failurecost10_rating3]])</f>
        <v>1863.2737596714112</v>
      </c>
      <c r="JT15" s="1">
        <f>(Table156789[[#This Row],[failurecost500_rating4]]+Table156789[[#This Row],[failurecost100_rating4]]+Table156789[[#This Row],[failurecost50_rating4]]+Table156789[[#This Row],[failurecost10_rating4]])</f>
        <v>563.63502491762893</v>
      </c>
      <c r="JU15" s="1">
        <f>(Table156789[[#This Row],[failurecost500_rating5]]+Table156789[[#This Row],[failurecost100_rating5]]+Table156789[[#This Row],[failurecost50_rating5]]+Table156789[[#This Row],[failurecost10_rating5]])</f>
        <v>131.55008836726648</v>
      </c>
      <c r="JV15" s="1">
        <f>(Table156789[[#This Row],[failurecost500_rating6]]+Table156789[[#This Row],[failurecost100_rating6]]+Table156789[[#This Row],[failurecost50_rating6]]+Table156789[[#This Row],[failurecost10_rating6]])</f>
        <v>28.615316649664237</v>
      </c>
      <c r="JW15" s="1">
        <f>(Table156789[[#This Row],[failurecost500_rating7]]+Table156789[[#This Row],[failurecost100_rating7]]+Table156789[[#This Row],[failurecost50_rating7]]+Table156789[[#This Row],[failurecost10_rating7]])</f>
        <v>20.366999211845275</v>
      </c>
      <c r="JX15" s="1">
        <f>(Table156789[[#This Row],[failurecost500_rating8]]+Table156789[[#This Row],[failurecost100_rating8]]+Table156789[[#This Row],[failurecost50_rating8]]+Table156789[[#This Row],[failurecost10_rating8]])</f>
        <v>3.2443381922087902</v>
      </c>
      <c r="JY15" s="1">
        <f>(Table156789[[#This Row],[failurecost500_rating9]]+Table156789[[#This Row],[failurecost100_rating9]]+Table156789[[#This Row],[failurecost50_rating9]]+Table156789[[#This Row],[failurecost10_rating9]])</f>
        <v>0.30666821243173048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Table156789[[#This Row],[Depth10_Soil_vol]]*(9.353+9.027)+(Table156789[[#This Row],[Depth10_Soil_vol]]/2.5)*20*1.053+(PI()*Table156789[[#This Row],[Depth10_Scour]])*Table156789[[#This Row],[DECK_WIDTH_MT_052]]*1.062</f>
        <v>6758.7093437956364</v>
      </c>
      <c r="AR16" s="1">
        <f>Table156789[[#This Row],[Depth50_Soil_vol]]*(9.353+9.027)+(Table156789[[#This Row],[Depth50_Soil_vol]]/2.5)*20*1.053+(PI()*Table156789[[#This Row],[Depth50_Scour]])*Table156789[[#This Row],[DECK_WIDTH_MT_052]]*1.062</f>
        <v>7157.860599196707</v>
      </c>
      <c r="AS16" s="1">
        <f>Table156789[[#This Row],[Depth100_Soil_vol]]*(9.353+9.027)+(Table156789[[#This Row],[Depth100_Soil_vol]]/2.5)*20*1.053+(PI()*Table156789[[#This Row],[Depth100_Scour]])*Table156789[[#This Row],[DECK_WIDTH_MT_052]]*1.062</f>
        <v>7335.7235370312192</v>
      </c>
      <c r="AT16" s="1">
        <f>Table156789[[#This Row],[Depth500_Soil_vol]]*(9.353+9.027)+(Table156789[[#This Row],[Depth500_Soil_vol]]/2.5)*20*1.053+(PI()*Table156789[[#This Row],[Depth500_Scour]])*Table156789[[#This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0.66</v>
      </c>
      <c r="GF16" s="1">
        <v>63.449077282896731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56399.179807019311</v>
      </c>
      <c r="GM16" s="1">
        <f>Sheet4!R46*$GF16*1000000</f>
        <v>31724.538641448355</v>
      </c>
      <c r="GN16" s="1">
        <f>Sheet4!S46*$GF16*1000000</f>
        <v>20303.704730526955</v>
      </c>
      <c r="GO16" s="1">
        <f>Sheet4!T46*$GF16*1000000</f>
        <v>14099.794951754828</v>
      </c>
      <c r="GP16" s="1">
        <f>Sheet4!U46*$GF16*1000000</f>
        <v>10359.033025779057</v>
      </c>
      <c r="GQ16" s="1">
        <f>Sheet4!V46*$GF16*1000000</f>
        <v>7931.1346603620887</v>
      </c>
      <c r="GR16" s="1">
        <f>Sheet4!W46*$GF16*1000000</f>
        <v>6266.5755341132572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1</v>
      </c>
      <c r="HF16" s="1">
        <v>0.01</v>
      </c>
      <c r="HG16" s="1">
        <v>1.25E-3</v>
      </c>
      <c r="HH16" s="1">
        <v>2.7500000000000002E-4</v>
      </c>
      <c r="HI16" s="1">
        <v>1E-4</v>
      </c>
      <c r="HJ16" s="1">
        <v>1.7499999999999998E-5</v>
      </c>
      <c r="HK16" s="1">
        <v>4.5000000000000001E-6</v>
      </c>
      <c r="HL16" s="1">
        <v>4.5000000000000001E-6</v>
      </c>
      <c r="HM16" s="1">
        <v>9.9999999999999995E-8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Table156789[[#This Row],[Total_Cost_MUSD]]*1000000*Table156789[[#This Row],[prob500-failure_rating1]]/500</f>
        <v>1268.9815456579347</v>
      </c>
      <c r="IG16" s="1">
        <f>Table156789[[#This Row],[Total_Cost_MUSD]]*1000000*Table156789[[#This Row],[prob500-failure_rating2]]/500</f>
        <v>634.49077282896735</v>
      </c>
      <c r="IH16" s="1">
        <f>Table156789[[#This Row],[Total_Cost_MUSD]]*1000000*Table156789[[#This Row],[prob500-failure_rating3]]/500</f>
        <v>139.58797002237282</v>
      </c>
      <c r="II16" s="1">
        <f>Table156789[[#This Row],[Total_Cost_MUSD]]*1000000*Table156789[[#This Row],[prob500-failure_rating4]]/500</f>
        <v>50.759261826317385</v>
      </c>
      <c r="IJ16" s="1">
        <f>Table156789[[#This Row],[Total_Cost_MUSD]]*1000000*Table156789[[#This Row],[prob500-failure_rating5]]/500</f>
        <v>8.8828708196055413</v>
      </c>
      <c r="IK16" s="1">
        <f>Table156789[[#This Row],[Total_Cost_MUSD]]*1000000*Table156789[[#This Row],[prob500-failure_rating6]]/500</f>
        <v>2.2841667821842822</v>
      </c>
      <c r="IL16" s="1">
        <f>Table156789[[#This Row],[Total_Cost_MUSD]]*1000000*Table156789[[#This Row],[prob500-failure_rating7]]/500</f>
        <v>2.2841667821842822</v>
      </c>
      <c r="IM16" s="1">
        <f>Table156789[[#This Row],[Total_Cost_MUSD]]*1000000*Table156789[[#This Row],[prob500-failure_rating8]]/500</f>
        <v>5.0759261826317376E-2</v>
      </c>
      <c r="IN16" s="1">
        <f>Table156789[[#This Row],[Total_Cost_MUSD]]*1000000*Table156789[[#This Row],[prob500-failure_rating9]]/500</f>
        <v>3.1724538641448363E-2</v>
      </c>
      <c r="IO16" s="1">
        <f>Table156789[[#This Row],[Total_Cost_MUSD]]*1000000*Table156789[[#This Row],[prob100-failure_rating1]]/100</f>
        <v>634490.77282896731</v>
      </c>
      <c r="IP16" s="1">
        <f>Table156789[[#This Row],[Total_Cost_MUSD]]*1000000*Table156789[[#This Row],[prob100-failure_rating2]]/100</f>
        <v>6344.9077282896733</v>
      </c>
      <c r="IQ16" s="1">
        <f>Table156789[[#This Row],[Total_Cost_MUSD]]*1000000*Table156789[[#This Row],[prob100-failure_rating3]]/100</f>
        <v>793.11346603620916</v>
      </c>
      <c r="IR16" s="1">
        <f>Table156789[[#This Row],[Total_Cost_MUSD]]*1000000*Table156789[[#This Row],[prob100-failure_rating4]]/100</f>
        <v>174.48496252796602</v>
      </c>
      <c r="IS16" s="1">
        <f>Table156789[[#This Row],[Total_Cost_MUSD]]*1000000*Table156789[[#This Row],[prob100-failure_rating5]]/100</f>
        <v>63.449077282896731</v>
      </c>
      <c r="IT16" s="1">
        <f>Table156789[[#This Row],[Total_Cost_MUSD]]*1000000*Table156789[[#This Row],[prob100-failure_rating6]]/100</f>
        <v>11.103588524506927</v>
      </c>
      <c r="IU16" s="1">
        <f>Table156789[[#This Row],[Total_Cost_MUSD]]*1000000*Table156789[[#This Row],[prob100-failure_rating7]]/100</f>
        <v>2.8552084777303524</v>
      </c>
      <c r="IV16" s="1">
        <f>Table156789[[#This Row],[Total_Cost_MUSD]]*1000000*Table156789[[#This Row],[prob100-failure_rating8]]/100</f>
        <v>2.8552084777303524</v>
      </c>
      <c r="IW16" s="1">
        <f>Table156789[[#This Row],[Total_Cost_MUSD]]*1000000*Table156789[[#This Row],[prob100-failure_rating9]]/100</f>
        <v>6.3449077282896726E-2</v>
      </c>
      <c r="IX16" s="1">
        <f>Table156789[[#This Row],[Total_Cost_MUSD]]*1000000*Table156789[[#This Row],[prob50-failure_rating1]]/50</f>
        <v>12689.815456579347</v>
      </c>
      <c r="IY16" s="1">
        <f>Table156789[[#This Row],[Total_Cost_MUSD]]*1000000*Table156789[[#This Row],[prob50-failure_rating2]]/50</f>
        <v>1057.4846213816122</v>
      </c>
      <c r="IZ16" s="1">
        <f>Table156789[[#This Row],[Total_Cost_MUSD]]*1000000*Table156789[[#This Row],[prob50-failure_rating3]]/50</f>
        <v>232.64661670395469</v>
      </c>
      <c r="JA16" s="1">
        <f>Table156789[[#This Row],[Total_Cost_MUSD]]*1000000*Table156789[[#This Row],[prob50-failure_rating4]]/50</f>
        <v>84.598769710528984</v>
      </c>
      <c r="JB16" s="1">
        <f>Table156789[[#This Row],[Total_Cost_MUSD]]*1000000*Table156789[[#This Row],[prob50-failure_rating5]]/50</f>
        <v>14.804784699342569</v>
      </c>
      <c r="JC16" s="1">
        <f>Table156789[[#This Row],[Total_Cost_MUSD]]*1000000*Table156789[[#This Row],[prob50-failure_rating6]]/50</f>
        <v>3.806944636973804</v>
      </c>
      <c r="JD16" s="1">
        <f>Table156789[[#This Row],[Total_Cost_MUSD]]*1000000*Table156789[[#This Row],[prob50-failure_rating7]]/50</f>
        <v>3.806944636973804</v>
      </c>
      <c r="JE16" s="1">
        <f>Table156789[[#This Row],[Total_Cost_MUSD]]*1000000*Table156789[[#This Row],[prob50-failure_rating8]]/50</f>
        <v>8.4598769710528959E-2</v>
      </c>
      <c r="JF16" s="1">
        <f>Table156789[[#This Row],[Total_Cost_MUSD]]*1000000*Table156789[[#This Row],[prob50-failure_rating9]]/50</f>
        <v>5.2874231069080596E-2</v>
      </c>
      <c r="JG16" s="1">
        <f>Table156789[[#This Row],[Total_Cost_MUSD]]*1000000*Table156789[[#This Row],[prob10-failure_rating1]]/10</f>
        <v>63449.077282896731</v>
      </c>
      <c r="JH16" s="1">
        <f>Table156789[[#This Row],[Total_Cost_MUSD]]*1000000*Table156789[[#This Row],[prob10-failure_rating2]]/10</f>
        <v>3172.4538641448366</v>
      </c>
      <c r="JI16" s="1">
        <f>Table156789[[#This Row],[Total_Cost_MUSD]]*1000000*Table156789[[#This Row],[prob10-failure_rating3]]/10</f>
        <v>697.93985011186408</v>
      </c>
      <c r="JJ16" s="1">
        <f>Table156789[[#This Row],[Total_Cost_MUSD]]*1000000*Table156789[[#This Row],[prob10-failure_rating4]]/10</f>
        <v>253.79630913158695</v>
      </c>
      <c r="JK16" s="1">
        <f>Table156789[[#This Row],[Total_Cost_MUSD]]*1000000*Table156789[[#This Row],[prob10-failure_rating5]]/10</f>
        <v>44.414354098027701</v>
      </c>
      <c r="JL16" s="1">
        <f>Table156789[[#This Row],[Total_Cost_MUSD]]*1000000*Table156789[[#This Row],[prob10-failure_rating6]]/10</f>
        <v>11.420833910921413</v>
      </c>
      <c r="JM16" s="1">
        <f>Table156789[[#This Row],[Total_Cost_MUSD]]*1000000*Table156789[[#This Row],[prob10-failure_rating7]]/10</f>
        <v>11.420833910921413</v>
      </c>
      <c r="JN16" s="1">
        <f>Table156789[[#This Row],[Total_Cost_MUSD]]*1000000*Table156789[[#This Row],[prob10-failure_rating8]]/10</f>
        <v>0.25379630913158691</v>
      </c>
      <c r="JO16" s="1">
        <f>Table156789[[#This Row],[Total_Cost_MUSD]]*1000000*Table156789[[#This Row],[prob10-failure_rating9]]/10</f>
        <v>0.15862269320724182</v>
      </c>
      <c r="JP16" s="1">
        <f>Table156789[[#This Row],[FailureCost_Rating1]]</f>
        <v>11209.336986645088</v>
      </c>
      <c r="JQ16" s="1">
        <f>Table156789[[#This Row],[FailureCost_Rating2]]</f>
        <v>11209.336986645088</v>
      </c>
      <c r="JR16" s="1">
        <f>(Table156789[[#This Row],[failurecost500_rating2]]+Table156789[[#This Row],[failurecost100_rating2]]+Table156789[[#This Row],[failurecost50_rating2]]+Table156789[[#This Row],[failurecost10_rating2]])</f>
        <v>11209.336986645088</v>
      </c>
      <c r="JS16" s="1">
        <f>(Table156789[[#This Row],[failurecost500_rating3]]+Table156789[[#This Row],[failurecost100_rating3]]+Table156789[[#This Row],[failurecost50_rating3]]+Table156789[[#This Row],[failurecost10_rating3]])</f>
        <v>1863.2879028744005</v>
      </c>
      <c r="JT16" s="1">
        <f>(Table156789[[#This Row],[failurecost500_rating4]]+Table156789[[#This Row],[failurecost100_rating4]]+Table156789[[#This Row],[failurecost50_rating4]]+Table156789[[#This Row],[failurecost10_rating4]])</f>
        <v>563.6393031963994</v>
      </c>
      <c r="JU16" s="1">
        <f>(Table156789[[#This Row],[failurecost500_rating5]]+Table156789[[#This Row],[failurecost100_rating5]]+Table156789[[#This Row],[failurecost50_rating5]]+Table156789[[#This Row],[failurecost10_rating5]])</f>
        <v>131.55108689987253</v>
      </c>
      <c r="JV16" s="1">
        <f>(Table156789[[#This Row],[failurecost500_rating6]]+Table156789[[#This Row],[failurecost100_rating6]]+Table156789[[#This Row],[failurecost50_rating6]]+Table156789[[#This Row],[failurecost10_rating6]])</f>
        <v>28.615533854586428</v>
      </c>
      <c r="JW16" s="1">
        <f>(Table156789[[#This Row],[failurecost500_rating7]]+Table156789[[#This Row],[failurecost100_rating7]]+Table156789[[#This Row],[failurecost50_rating7]]+Table156789[[#This Row],[failurecost10_rating7]])</f>
        <v>20.367153807809853</v>
      </c>
      <c r="JX16" s="1">
        <f>(Table156789[[#This Row],[failurecost500_rating8]]+Table156789[[#This Row],[failurecost100_rating8]]+Table156789[[#This Row],[failurecost50_rating8]]+Table156789[[#This Row],[failurecost10_rating8]])</f>
        <v>3.2443628183987854</v>
      </c>
      <c r="JY16" s="1">
        <f>(Table156789[[#This Row],[failurecost500_rating9]]+Table156789[[#This Row],[failurecost100_rating9]]+Table156789[[#This Row],[failurecost50_rating9]]+Table156789[[#This Row],[failurecost10_rating9]])</f>
        <v>0.30667054020066753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Table156789[[#This Row],[Depth10_Soil_vol]]*(9.353+9.027)+(Table156789[[#This Row],[Depth10_Soil_vol]]/2.5)*20*1.053+(PI()*Table156789[[#This Row],[Depth10_Scour]])*Table156789[[#This Row],[DECK_WIDTH_MT_052]]*1.062</f>
        <v>0</v>
      </c>
      <c r="AR17" s="1">
        <f>Table156789[[#This Row],[Depth50_Soil_vol]]*(9.353+9.027)+(Table156789[[#This Row],[Depth50_Soil_vol]]/2.5)*20*1.053+(PI()*Table156789[[#This Row],[Depth50_Scour]])*Table156789[[#This Row],[DECK_WIDTH_MT_052]]*1.062</f>
        <v>73.925295948361111</v>
      </c>
      <c r="AS17" s="1">
        <f>Table156789[[#This Row],[Depth100_Soil_vol]]*(9.353+9.027)+(Table156789[[#This Row],[Depth100_Soil_vol]]/2.5)*20*1.053+(PI()*Table156789[[#This Row],[Depth100_Scour]])*Table156789[[#This Row],[DECK_WIDTH_MT_052]]*1.062</f>
        <v>101.29876563204503</v>
      </c>
      <c r="AT17" s="1">
        <f>Table156789[[#This Row],[Depth500_Soil_vol]]*(9.353+9.027)+(Table156789[[#This Row],[Depth500_Soil_vol]]/2.5)*20*1.053+(PI()*Table156789[[#This Row],[Depth500_Scour]])*Table156789[[#This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0.22800000000000001</v>
      </c>
      <c r="GF17" s="1">
        <v>2.2667057236637933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2014.8495321455941</v>
      </c>
      <c r="GM17" s="1">
        <f>Sheet4!R47*$GF17*1000000</f>
        <v>1133.3528618318969</v>
      </c>
      <c r="GN17" s="1">
        <f>Sheet4!S47*$GF17*1000000</f>
        <v>725.34583157241389</v>
      </c>
      <c r="GO17" s="1">
        <f>Sheet4!T47*$GF17*1000000</f>
        <v>503.71238303639853</v>
      </c>
      <c r="GP17" s="1">
        <f>Sheet4!U47*$GF17*1000000</f>
        <v>370.0744038634765</v>
      </c>
      <c r="GQ17" s="1">
        <f>Sheet4!V47*$GF17*1000000</f>
        <v>283.33821545797423</v>
      </c>
      <c r="GR17" s="1">
        <f>Sheet4!W47*$GF17*1000000</f>
        <v>223.87217023839935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1</v>
      </c>
      <c r="HF17" s="1">
        <v>0.01</v>
      </c>
      <c r="HG17" s="1">
        <v>1.25E-3</v>
      </c>
      <c r="HH17" s="1">
        <v>2.7500000000000002E-4</v>
      </c>
      <c r="HI17" s="1">
        <v>1E-4</v>
      </c>
      <c r="HJ17" s="1">
        <v>1.7499999999999998E-5</v>
      </c>
      <c r="HK17" s="1">
        <v>4.5000000000000001E-6</v>
      </c>
      <c r="HL17" s="1">
        <v>4.5000000000000001E-6</v>
      </c>
      <c r="HM17" s="1">
        <v>9.9999999999999995E-8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Table156789[[#This Row],[Total_Cost_MUSD]]*1000000*Table156789[[#This Row],[prob500-failure_rating1]]/500</f>
        <v>45.334114473275868</v>
      </c>
      <c r="IG17" s="1">
        <f>Table156789[[#This Row],[Total_Cost_MUSD]]*1000000*Table156789[[#This Row],[prob500-failure_rating2]]/500</f>
        <v>22.667057236637934</v>
      </c>
      <c r="IH17" s="1">
        <f>Table156789[[#This Row],[Total_Cost_MUSD]]*1000000*Table156789[[#This Row],[prob500-failure_rating3]]/500</f>
        <v>4.9867525920603457</v>
      </c>
      <c r="II17" s="1">
        <f>Table156789[[#This Row],[Total_Cost_MUSD]]*1000000*Table156789[[#This Row],[prob500-failure_rating4]]/500</f>
        <v>1.8133645789310349</v>
      </c>
      <c r="IJ17" s="1">
        <f>Table156789[[#This Row],[Total_Cost_MUSD]]*1000000*Table156789[[#This Row],[prob500-failure_rating5]]/500</f>
        <v>0.31733880131293102</v>
      </c>
      <c r="IK17" s="1">
        <f>Table156789[[#This Row],[Total_Cost_MUSD]]*1000000*Table156789[[#This Row],[prob500-failure_rating6]]/500</f>
        <v>8.1601406051896558E-2</v>
      </c>
      <c r="IL17" s="1">
        <f>Table156789[[#This Row],[Total_Cost_MUSD]]*1000000*Table156789[[#This Row],[prob500-failure_rating7]]/500</f>
        <v>8.1601406051896558E-2</v>
      </c>
      <c r="IM17" s="1">
        <f>Table156789[[#This Row],[Total_Cost_MUSD]]*1000000*Table156789[[#This Row],[prob500-failure_rating8]]/500</f>
        <v>1.8133645789310347E-3</v>
      </c>
      <c r="IN17" s="1">
        <f>Table156789[[#This Row],[Total_Cost_MUSD]]*1000000*Table156789[[#This Row],[prob500-failure_rating9]]/500</f>
        <v>1.1333528618318967E-3</v>
      </c>
      <c r="IO17" s="1">
        <f>Table156789[[#This Row],[Total_Cost_MUSD]]*1000000*Table156789[[#This Row],[prob100-failure_rating1]]/100</f>
        <v>22667.057236637935</v>
      </c>
      <c r="IP17" s="1">
        <f>Table156789[[#This Row],[Total_Cost_MUSD]]*1000000*Table156789[[#This Row],[prob100-failure_rating2]]/100</f>
        <v>226.67057236637936</v>
      </c>
      <c r="IQ17" s="1">
        <f>Table156789[[#This Row],[Total_Cost_MUSD]]*1000000*Table156789[[#This Row],[prob100-failure_rating3]]/100</f>
        <v>28.33382154579742</v>
      </c>
      <c r="IR17" s="1">
        <f>Table156789[[#This Row],[Total_Cost_MUSD]]*1000000*Table156789[[#This Row],[prob100-failure_rating4]]/100</f>
        <v>6.2334407400754319</v>
      </c>
      <c r="IS17" s="1">
        <f>Table156789[[#This Row],[Total_Cost_MUSD]]*1000000*Table156789[[#This Row],[prob100-failure_rating5]]/100</f>
        <v>2.2667057236637937</v>
      </c>
      <c r="IT17" s="1">
        <f>Table156789[[#This Row],[Total_Cost_MUSD]]*1000000*Table156789[[#This Row],[prob100-failure_rating6]]/100</f>
        <v>0.39667350164116377</v>
      </c>
      <c r="IU17" s="1">
        <f>Table156789[[#This Row],[Total_Cost_MUSD]]*1000000*Table156789[[#This Row],[prob100-failure_rating7]]/100</f>
        <v>0.1020017575648707</v>
      </c>
      <c r="IV17" s="1">
        <f>Table156789[[#This Row],[Total_Cost_MUSD]]*1000000*Table156789[[#This Row],[prob100-failure_rating8]]/100</f>
        <v>0.1020017575648707</v>
      </c>
      <c r="IW17" s="1">
        <f>Table156789[[#This Row],[Total_Cost_MUSD]]*1000000*Table156789[[#This Row],[prob100-failure_rating9]]/100</f>
        <v>2.2667057236637933E-3</v>
      </c>
      <c r="IX17" s="1">
        <f>Table156789[[#This Row],[Total_Cost_MUSD]]*1000000*Table156789[[#This Row],[prob50-failure_rating1]]/50</f>
        <v>453.34114473275872</v>
      </c>
      <c r="IY17" s="1">
        <f>Table156789[[#This Row],[Total_Cost_MUSD]]*1000000*Table156789[[#This Row],[prob50-failure_rating2]]/50</f>
        <v>37.778428727729896</v>
      </c>
      <c r="IZ17" s="1">
        <f>Table156789[[#This Row],[Total_Cost_MUSD]]*1000000*Table156789[[#This Row],[prob50-failure_rating3]]/50</f>
        <v>8.3112543201005753</v>
      </c>
      <c r="JA17" s="1">
        <f>Table156789[[#This Row],[Total_Cost_MUSD]]*1000000*Table156789[[#This Row],[prob50-failure_rating4]]/50</f>
        <v>3.0222742982183912</v>
      </c>
      <c r="JB17" s="1">
        <f>Table156789[[#This Row],[Total_Cost_MUSD]]*1000000*Table156789[[#This Row],[prob50-failure_rating5]]/50</f>
        <v>0.52889800218821847</v>
      </c>
      <c r="JC17" s="1">
        <f>Table156789[[#This Row],[Total_Cost_MUSD]]*1000000*Table156789[[#This Row],[prob50-failure_rating6]]/50</f>
        <v>0.13600234341982761</v>
      </c>
      <c r="JD17" s="1">
        <f>Table156789[[#This Row],[Total_Cost_MUSD]]*1000000*Table156789[[#This Row],[prob50-failure_rating7]]/50</f>
        <v>0.13600234341982761</v>
      </c>
      <c r="JE17" s="1">
        <f>Table156789[[#This Row],[Total_Cost_MUSD]]*1000000*Table156789[[#This Row],[prob50-failure_rating8]]/50</f>
        <v>3.0222742982183915E-3</v>
      </c>
      <c r="JF17" s="1">
        <f>Table156789[[#This Row],[Total_Cost_MUSD]]*1000000*Table156789[[#This Row],[prob50-failure_rating9]]/50</f>
        <v>1.8889214363864942E-3</v>
      </c>
      <c r="JG17" s="1">
        <f>Table156789[[#This Row],[Total_Cost_MUSD]]*1000000*Table156789[[#This Row],[prob10-failure_rating1]]/10</f>
        <v>2266.7057236637934</v>
      </c>
      <c r="JH17" s="1">
        <f>Table156789[[#This Row],[Total_Cost_MUSD]]*1000000*Table156789[[#This Row],[prob10-failure_rating2]]/10</f>
        <v>113.33528618318967</v>
      </c>
      <c r="JI17" s="1">
        <f>Table156789[[#This Row],[Total_Cost_MUSD]]*1000000*Table156789[[#This Row],[prob10-failure_rating3]]/10</f>
        <v>24.933762960301728</v>
      </c>
      <c r="JJ17" s="1">
        <f>Table156789[[#This Row],[Total_Cost_MUSD]]*1000000*Table156789[[#This Row],[prob10-failure_rating4]]/10</f>
        <v>9.066822894655175</v>
      </c>
      <c r="JK17" s="1">
        <f>Table156789[[#This Row],[Total_Cost_MUSD]]*1000000*Table156789[[#This Row],[prob10-failure_rating5]]/10</f>
        <v>1.5866940065646551</v>
      </c>
      <c r="JL17" s="1">
        <f>Table156789[[#This Row],[Total_Cost_MUSD]]*1000000*Table156789[[#This Row],[prob10-failure_rating6]]/10</f>
        <v>0.40800703025948282</v>
      </c>
      <c r="JM17" s="1">
        <f>Table156789[[#This Row],[Total_Cost_MUSD]]*1000000*Table156789[[#This Row],[prob10-failure_rating7]]/10</f>
        <v>0.40800703025948282</v>
      </c>
      <c r="JN17" s="1">
        <f>Table156789[[#This Row],[Total_Cost_MUSD]]*1000000*Table156789[[#This Row],[prob10-failure_rating8]]/10</f>
        <v>9.066822894655175E-3</v>
      </c>
      <c r="JO17" s="1">
        <f>Table156789[[#This Row],[Total_Cost_MUSD]]*1000000*Table156789[[#This Row],[prob10-failure_rating9]]/10</f>
        <v>5.6667643091594831E-3</v>
      </c>
      <c r="JP17" s="1">
        <f>Table156789[[#This Row],[FailureCost_Rating1]]</f>
        <v>400.45134451393687</v>
      </c>
      <c r="JQ17" s="1">
        <f>Table156789[[#This Row],[FailureCost_Rating2]]</f>
        <v>400.45134451393687</v>
      </c>
      <c r="JR17" s="1">
        <f>(Table156789[[#This Row],[failurecost500_rating2]]+Table156789[[#This Row],[failurecost100_rating2]]+Table156789[[#This Row],[failurecost50_rating2]]+Table156789[[#This Row],[failurecost10_rating2]])</f>
        <v>400.45134451393687</v>
      </c>
      <c r="JS17" s="1">
        <f>(Table156789[[#This Row],[failurecost500_rating3]]+Table156789[[#This Row],[failurecost100_rating3]]+Table156789[[#This Row],[failurecost50_rating3]]+Table156789[[#This Row],[failurecost10_rating3]])</f>
        <v>66.56559141826007</v>
      </c>
      <c r="JT17" s="1">
        <f>(Table156789[[#This Row],[failurecost500_rating4]]+Table156789[[#This Row],[failurecost100_rating4]]+Table156789[[#This Row],[failurecost50_rating4]]+Table156789[[#This Row],[failurecost10_rating4]])</f>
        <v>20.135902511880033</v>
      </c>
      <c r="JU17" s="1">
        <f>(Table156789[[#This Row],[failurecost500_rating5]]+Table156789[[#This Row],[failurecost100_rating5]]+Table156789[[#This Row],[failurecost50_rating5]]+Table156789[[#This Row],[failurecost10_rating5]])</f>
        <v>4.6996365337295982</v>
      </c>
      <c r="JV17" s="1">
        <f>(Table156789[[#This Row],[failurecost500_rating6]]+Table156789[[#This Row],[failurecost100_rating6]]+Table156789[[#This Row],[failurecost50_rating6]]+Table156789[[#This Row],[failurecost10_rating6]])</f>
        <v>1.0222842813723707</v>
      </c>
      <c r="JW17" s="1">
        <f>(Table156789[[#This Row],[failurecost500_rating7]]+Table156789[[#This Row],[failurecost100_rating7]]+Table156789[[#This Row],[failurecost50_rating7]]+Table156789[[#This Row],[failurecost10_rating7]])</f>
        <v>0.72761253729607767</v>
      </c>
      <c r="JX17" s="1">
        <f>(Table156789[[#This Row],[failurecost500_rating8]]+Table156789[[#This Row],[failurecost100_rating8]]+Table156789[[#This Row],[failurecost50_rating8]]+Table156789[[#This Row],[failurecost10_rating8]])</f>
        <v>0.1159042193366753</v>
      </c>
      <c r="JY17" s="1">
        <f>(Table156789[[#This Row],[failurecost500_rating9]]+Table156789[[#This Row],[failurecost100_rating9]]+Table156789[[#This Row],[failurecost50_rating9]]+Table156789[[#This Row],[failurecost10_rating9]])</f>
        <v>1.0955744331041666E-2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Table156789[[#This Row],[Depth10_Soil_vol]]*(9.353+9.027)+(Table156789[[#This Row],[Depth10_Soil_vol]]/2.5)*20*1.053+(PI()*Table156789[[#This Row],[Depth10_Scour]])*Table156789[[#This Row],[DECK_WIDTH_MT_052]]*1.062</f>
        <v>15354.595084739485</v>
      </c>
      <c r="AR18" s="1">
        <f>Table156789[[#This Row],[Depth50_Soil_vol]]*(9.353+9.027)+(Table156789[[#This Row],[Depth50_Soil_vol]]/2.5)*20*1.053+(PI()*Table156789[[#This Row],[Depth50_Scour]])*Table156789[[#This Row],[DECK_WIDTH_MT_052]]*1.062</f>
        <v>13414.428771618834</v>
      </c>
      <c r="AS18" s="1">
        <f>Table156789[[#This Row],[Depth100_Soil_vol]]*(9.353+9.027)+(Table156789[[#This Row],[Depth100_Soil_vol]]/2.5)*20*1.053+(PI()*Table156789[[#This Row],[Depth100_Scour]])*Table156789[[#This Row],[DECK_WIDTH_MT_052]]*1.062</f>
        <v>13976.739331979787</v>
      </c>
      <c r="AT18" s="1">
        <f>Table156789[[#This Row],[Depth500_Soil_vol]]*(9.353+9.027)+(Table156789[[#This Row],[Depth500_Soil_vol]]/2.5)*20*1.053+(PI()*Table156789[[#This Row],[Depth500_Scour]])*Table156789[[#This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0.52800000000000002</v>
      </c>
      <c r="GF18" s="1">
        <v>0.6799827540370692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604.42911469961712</v>
      </c>
      <c r="GM18" s="1">
        <f>Sheet4!R48*$GF18*1000000</f>
        <v>339.99137701853459</v>
      </c>
      <c r="GN18" s="1">
        <f>Sheet4!S48*$GF18*1000000</f>
        <v>217.59448129186219</v>
      </c>
      <c r="GO18" s="1">
        <f>Sheet4!T48*$GF18*1000000</f>
        <v>151.10727867490428</v>
      </c>
      <c r="GP18" s="1">
        <f>Sheet4!U48*$GF18*1000000</f>
        <v>111.01759249584804</v>
      </c>
      <c r="GQ18" s="1">
        <f>Sheet4!V48*$GF18*1000000</f>
        <v>84.997844254633648</v>
      </c>
      <c r="GR18" s="1">
        <f>Sheet4!W48*$GF18*1000000</f>
        <v>67.158790522179672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1</v>
      </c>
      <c r="HF18" s="1">
        <v>0.01</v>
      </c>
      <c r="HG18" s="1">
        <v>1.25E-3</v>
      </c>
      <c r="HH18" s="1">
        <v>2.7500000000000002E-4</v>
      </c>
      <c r="HI18" s="1">
        <v>1E-4</v>
      </c>
      <c r="HJ18" s="1">
        <v>1.7499999999999998E-5</v>
      </c>
      <c r="HK18" s="1">
        <v>4.5000000000000001E-6</v>
      </c>
      <c r="HL18" s="1">
        <v>4.5000000000000001E-6</v>
      </c>
      <c r="HM18" s="1">
        <v>9.9999999999999995E-8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Table156789[[#This Row],[Total_Cost_MUSD]]*1000000*Table156789[[#This Row],[prob500-failure_rating1]]/500</f>
        <v>13.599655080741384</v>
      </c>
      <c r="IG18" s="1">
        <f>Table156789[[#This Row],[Total_Cost_MUSD]]*1000000*Table156789[[#This Row],[prob500-failure_rating2]]/500</f>
        <v>6.7998275403706918</v>
      </c>
      <c r="IH18" s="1">
        <f>Table156789[[#This Row],[Total_Cost_MUSD]]*1000000*Table156789[[#This Row],[prob500-failure_rating3]]/500</f>
        <v>1.4959620588815521</v>
      </c>
      <c r="II18" s="1">
        <f>Table156789[[#This Row],[Total_Cost_MUSD]]*1000000*Table156789[[#This Row],[prob500-failure_rating4]]/500</f>
        <v>0.5439862032296553</v>
      </c>
      <c r="IJ18" s="1">
        <f>Table156789[[#This Row],[Total_Cost_MUSD]]*1000000*Table156789[[#This Row],[prob500-failure_rating5]]/500</f>
        <v>9.5197585565189674E-2</v>
      </c>
      <c r="IK18" s="1">
        <f>Table156789[[#This Row],[Total_Cost_MUSD]]*1000000*Table156789[[#This Row],[prob500-failure_rating6]]/500</f>
        <v>2.447937914533449E-2</v>
      </c>
      <c r="IL18" s="1">
        <f>Table156789[[#This Row],[Total_Cost_MUSD]]*1000000*Table156789[[#This Row],[prob500-failure_rating7]]/500</f>
        <v>2.447937914533449E-2</v>
      </c>
      <c r="IM18" s="1">
        <f>Table156789[[#This Row],[Total_Cost_MUSD]]*1000000*Table156789[[#This Row],[prob500-failure_rating8]]/500</f>
        <v>5.4398620322965532E-4</v>
      </c>
      <c r="IN18" s="1">
        <f>Table156789[[#This Row],[Total_Cost_MUSD]]*1000000*Table156789[[#This Row],[prob500-failure_rating9]]/500</f>
        <v>3.3999137701853455E-4</v>
      </c>
      <c r="IO18" s="1">
        <f>Table156789[[#This Row],[Total_Cost_MUSD]]*1000000*Table156789[[#This Row],[prob100-failure_rating1]]/100</f>
        <v>6799.8275403706912</v>
      </c>
      <c r="IP18" s="1">
        <f>Table156789[[#This Row],[Total_Cost_MUSD]]*1000000*Table156789[[#This Row],[prob100-failure_rating2]]/100</f>
        <v>67.998275403706927</v>
      </c>
      <c r="IQ18" s="1">
        <f>Table156789[[#This Row],[Total_Cost_MUSD]]*1000000*Table156789[[#This Row],[prob100-failure_rating3]]/100</f>
        <v>8.4997844254633659</v>
      </c>
      <c r="IR18" s="1">
        <f>Table156789[[#This Row],[Total_Cost_MUSD]]*1000000*Table156789[[#This Row],[prob100-failure_rating4]]/100</f>
        <v>1.8699525736019402</v>
      </c>
      <c r="IS18" s="1">
        <f>Table156789[[#This Row],[Total_Cost_MUSD]]*1000000*Table156789[[#This Row],[prob100-failure_rating5]]/100</f>
        <v>0.67998275403706909</v>
      </c>
      <c r="IT18" s="1">
        <f>Table156789[[#This Row],[Total_Cost_MUSD]]*1000000*Table156789[[#This Row],[prob100-failure_rating6]]/100</f>
        <v>0.11899698195648709</v>
      </c>
      <c r="IU18" s="1">
        <f>Table156789[[#This Row],[Total_Cost_MUSD]]*1000000*Table156789[[#This Row],[prob100-failure_rating7]]/100</f>
        <v>3.0599223931668112E-2</v>
      </c>
      <c r="IV18" s="1">
        <f>Table156789[[#This Row],[Total_Cost_MUSD]]*1000000*Table156789[[#This Row],[prob100-failure_rating8]]/100</f>
        <v>3.0599223931668112E-2</v>
      </c>
      <c r="IW18" s="1">
        <f>Table156789[[#This Row],[Total_Cost_MUSD]]*1000000*Table156789[[#This Row],[prob100-failure_rating9]]/100</f>
        <v>6.7998275403706909E-4</v>
      </c>
      <c r="IX18" s="1">
        <f>Table156789[[#This Row],[Total_Cost_MUSD]]*1000000*Table156789[[#This Row],[prob50-failure_rating1]]/50</f>
        <v>135.99655080741385</v>
      </c>
      <c r="IY18" s="1">
        <f>Table156789[[#This Row],[Total_Cost_MUSD]]*1000000*Table156789[[#This Row],[prob50-failure_rating2]]/50</f>
        <v>11.333045900617819</v>
      </c>
      <c r="IZ18" s="1">
        <f>Table156789[[#This Row],[Total_Cost_MUSD]]*1000000*Table156789[[#This Row],[prob50-failure_rating3]]/50</f>
        <v>2.4932700981359202</v>
      </c>
      <c r="JA18" s="1">
        <f>Table156789[[#This Row],[Total_Cost_MUSD]]*1000000*Table156789[[#This Row],[prob50-failure_rating4]]/50</f>
        <v>0.90664367204942564</v>
      </c>
      <c r="JB18" s="1">
        <f>Table156789[[#This Row],[Total_Cost_MUSD]]*1000000*Table156789[[#This Row],[prob50-failure_rating5]]/50</f>
        <v>0.15866264260864946</v>
      </c>
      <c r="JC18" s="1">
        <f>Table156789[[#This Row],[Total_Cost_MUSD]]*1000000*Table156789[[#This Row],[prob50-failure_rating6]]/50</f>
        <v>4.0798965242224157E-2</v>
      </c>
      <c r="JD18" s="1">
        <f>Table156789[[#This Row],[Total_Cost_MUSD]]*1000000*Table156789[[#This Row],[prob50-failure_rating7]]/50</f>
        <v>4.0798965242224157E-2</v>
      </c>
      <c r="JE18" s="1">
        <f>Table156789[[#This Row],[Total_Cost_MUSD]]*1000000*Table156789[[#This Row],[prob50-failure_rating8]]/50</f>
        <v>9.066436720494256E-4</v>
      </c>
      <c r="JF18" s="1">
        <f>Table156789[[#This Row],[Total_Cost_MUSD]]*1000000*Table156789[[#This Row],[prob50-failure_rating9]]/50</f>
        <v>5.6665229503089084E-4</v>
      </c>
      <c r="JG18" s="1">
        <f>Table156789[[#This Row],[Total_Cost_MUSD]]*1000000*Table156789[[#This Row],[prob10-failure_rating1]]/10</f>
        <v>679.98275403706918</v>
      </c>
      <c r="JH18" s="1">
        <f>Table156789[[#This Row],[Total_Cost_MUSD]]*1000000*Table156789[[#This Row],[prob10-failure_rating2]]/10</f>
        <v>33.999137701853456</v>
      </c>
      <c r="JI18" s="1">
        <f>Table156789[[#This Row],[Total_Cost_MUSD]]*1000000*Table156789[[#This Row],[prob10-failure_rating3]]/10</f>
        <v>7.4798102944077609</v>
      </c>
      <c r="JJ18" s="1">
        <f>Table156789[[#This Row],[Total_Cost_MUSD]]*1000000*Table156789[[#This Row],[prob10-failure_rating4]]/10</f>
        <v>2.7199310161482768</v>
      </c>
      <c r="JK18" s="1">
        <f>Table156789[[#This Row],[Total_Cost_MUSD]]*1000000*Table156789[[#This Row],[prob10-failure_rating5]]/10</f>
        <v>0.47598792782594834</v>
      </c>
      <c r="JL18" s="1">
        <f>Table156789[[#This Row],[Total_Cost_MUSD]]*1000000*Table156789[[#This Row],[prob10-failure_rating6]]/10</f>
        <v>0.12239689572667245</v>
      </c>
      <c r="JM18" s="1">
        <f>Table156789[[#This Row],[Total_Cost_MUSD]]*1000000*Table156789[[#This Row],[prob10-failure_rating7]]/10</f>
        <v>0.12239689572667245</v>
      </c>
      <c r="JN18" s="1">
        <f>Table156789[[#This Row],[Total_Cost_MUSD]]*1000000*Table156789[[#This Row],[prob10-failure_rating8]]/10</f>
        <v>2.7199310161482764E-3</v>
      </c>
      <c r="JO18" s="1">
        <f>Table156789[[#This Row],[Total_Cost_MUSD]]*1000000*Table156789[[#This Row],[prob10-failure_rating9]]/10</f>
        <v>1.6999568850926728E-3</v>
      </c>
      <c r="JP18" s="1">
        <f>Table156789[[#This Row],[FailureCost_Rating1]]</f>
        <v>120.13028654654889</v>
      </c>
      <c r="JQ18" s="1">
        <f>Table156789[[#This Row],[FailureCost_Rating2]]</f>
        <v>120.13028654654889</v>
      </c>
      <c r="JR18" s="1">
        <f>(Table156789[[#This Row],[failurecost500_rating2]]+Table156789[[#This Row],[failurecost100_rating2]]+Table156789[[#This Row],[failurecost50_rating2]]+Table156789[[#This Row],[failurecost10_rating2]])</f>
        <v>120.13028654654889</v>
      </c>
      <c r="JS18" s="1">
        <f>(Table156789[[#This Row],[failurecost500_rating3]]+Table156789[[#This Row],[failurecost100_rating3]]+Table156789[[#This Row],[failurecost50_rating3]]+Table156789[[#This Row],[failurecost10_rating3]])</f>
        <v>19.968826876888599</v>
      </c>
      <c r="JT18" s="1">
        <f>(Table156789[[#This Row],[failurecost500_rating4]]+Table156789[[#This Row],[failurecost100_rating4]]+Table156789[[#This Row],[failurecost50_rating4]]+Table156789[[#This Row],[failurecost10_rating4]])</f>
        <v>6.0405134650292975</v>
      </c>
      <c r="JU18" s="1">
        <f>(Table156789[[#This Row],[failurecost500_rating5]]+Table156789[[#This Row],[failurecost100_rating5]]+Table156789[[#This Row],[failurecost50_rating5]]+Table156789[[#This Row],[failurecost10_rating5]])</f>
        <v>1.4098309100368565</v>
      </c>
      <c r="JV18" s="1">
        <f>(Table156789[[#This Row],[failurecost500_rating6]]+Table156789[[#This Row],[failurecost100_rating6]]+Table156789[[#This Row],[failurecost50_rating6]]+Table156789[[#This Row],[failurecost10_rating6]])</f>
        <v>0.3066722220707182</v>
      </c>
      <c r="JW18" s="1">
        <f>(Table156789[[#This Row],[failurecost500_rating7]]+Table156789[[#This Row],[failurecost100_rating7]]+Table156789[[#This Row],[failurecost50_rating7]]+Table156789[[#This Row],[failurecost10_rating7]])</f>
        <v>0.2182744640458992</v>
      </c>
      <c r="JX18" s="1">
        <f>(Table156789[[#This Row],[failurecost500_rating8]]+Table156789[[#This Row],[failurecost100_rating8]]+Table156789[[#This Row],[failurecost50_rating8]]+Table156789[[#This Row],[failurecost10_rating8]])</f>
        <v>3.4769784823095472E-2</v>
      </c>
      <c r="JY18" s="1">
        <f>(Table156789[[#This Row],[failurecost500_rating9]]+Table156789[[#This Row],[failurecost100_rating9]]+Table156789[[#This Row],[failurecost50_rating9]]+Table156789[[#This Row],[failurecost10_rating9]])</f>
        <v>3.2865833111791675E-3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Table156789[[#This Row],[Depth10_Soil_vol]]*(9.353+9.027)+(Table156789[[#This Row],[Depth10_Soil_vol]]/2.5)*20*1.053+(PI()*Table156789[[#This Row],[Depth10_Scour]])*Table156789[[#This Row],[DECK_WIDTH_MT_052]]*1.062</f>
        <v>10223.699035708925</v>
      </c>
      <c r="AR19" s="1">
        <f>Table156789[[#This Row],[Depth50_Soil_vol]]*(9.353+9.027)+(Table156789[[#This Row],[Depth50_Soil_vol]]/2.5)*20*1.053+(PI()*Table156789[[#This Row],[Depth50_Scour]])*Table156789[[#This Row],[DECK_WIDTH_MT_052]]*1.062</f>
        <v>11295.880242844603</v>
      </c>
      <c r="AS19" s="1">
        <f>Table156789[[#This Row],[Depth100_Soil_vol]]*(9.353+9.027)+(Table156789[[#This Row],[Depth100_Soil_vol]]/2.5)*20*1.053+(PI()*Table156789[[#This Row],[Depth100_Scour]])*Table156789[[#This Row],[DECK_WIDTH_MT_052]]*1.062</f>
        <v>11757.366155411924</v>
      </c>
      <c r="AT19" s="1">
        <f>Table156789[[#This Row],[Depth500_Soil_vol]]*(9.353+9.027)+(Table156789[[#This Row],[Depth500_Soil_vol]]/2.5)*20*1.053+(PI()*Table156789[[#This Row],[Depth500_Scour]])*Table156789[[#This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0.79200000000000004</v>
      </c>
      <c r="GF19" s="1">
        <v>7.251925027011116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6446.1555795654367</v>
      </c>
      <c r="GM19" s="1">
        <f>Sheet4!R49*$GF19*1000000</f>
        <v>3625.962513505558</v>
      </c>
      <c r="GN19" s="1">
        <f>Sheet4!S49*$GF19*1000000</f>
        <v>2320.6160086435575</v>
      </c>
      <c r="GO19" s="1">
        <f>Sheet4!T49*$GF19*1000000</f>
        <v>1611.5388948913592</v>
      </c>
      <c r="GP19" s="1">
        <f>Sheet4!U49*$GF19*1000000</f>
        <v>1183.9877595120188</v>
      </c>
      <c r="GQ19" s="1">
        <f>Sheet4!V49*$GF19*1000000</f>
        <v>906.49062837638951</v>
      </c>
      <c r="GR19" s="1">
        <f>Sheet4!W49*$GF19*1000000</f>
        <v>716.239508840604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1</v>
      </c>
      <c r="HF19" s="1">
        <v>0.01</v>
      </c>
      <c r="HG19" s="1">
        <v>1.25E-3</v>
      </c>
      <c r="HH19" s="1">
        <v>2.7500000000000002E-4</v>
      </c>
      <c r="HI19" s="1">
        <v>1E-4</v>
      </c>
      <c r="HJ19" s="1">
        <v>1.7499999999999998E-5</v>
      </c>
      <c r="HK19" s="1">
        <v>4.5000000000000001E-6</v>
      </c>
      <c r="HL19" s="1">
        <v>4.5000000000000001E-6</v>
      </c>
      <c r="HM19" s="1">
        <v>9.9999999999999995E-8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Table156789[[#This Row],[Total_Cost_MUSD]]*1000000*Table156789[[#This Row],[prob500-failure_rating1]]/500</f>
        <v>145.03850054022234</v>
      </c>
      <c r="IG19" s="1">
        <f>Table156789[[#This Row],[Total_Cost_MUSD]]*1000000*Table156789[[#This Row],[prob500-failure_rating2]]/500</f>
        <v>72.519250270111172</v>
      </c>
      <c r="IH19" s="1">
        <f>Table156789[[#This Row],[Total_Cost_MUSD]]*1000000*Table156789[[#This Row],[prob500-failure_rating3]]/500</f>
        <v>15.954235059424457</v>
      </c>
      <c r="II19" s="1">
        <f>Table156789[[#This Row],[Total_Cost_MUSD]]*1000000*Table156789[[#This Row],[prob500-failure_rating4]]/500</f>
        <v>5.8015400216088926</v>
      </c>
      <c r="IJ19" s="1">
        <f>Table156789[[#This Row],[Total_Cost_MUSD]]*1000000*Table156789[[#This Row],[prob500-failure_rating5]]/500</f>
        <v>1.0152695037815562</v>
      </c>
      <c r="IK19" s="1">
        <f>Table156789[[#This Row],[Total_Cost_MUSD]]*1000000*Table156789[[#This Row],[prob500-failure_rating6]]/500</f>
        <v>0.26106930097240016</v>
      </c>
      <c r="IL19" s="1">
        <f>Table156789[[#This Row],[Total_Cost_MUSD]]*1000000*Table156789[[#This Row],[prob500-failure_rating7]]/500</f>
        <v>0.26106930097240016</v>
      </c>
      <c r="IM19" s="1">
        <f>Table156789[[#This Row],[Total_Cost_MUSD]]*1000000*Table156789[[#This Row],[prob500-failure_rating8]]/500</f>
        <v>5.8015400216088926E-3</v>
      </c>
      <c r="IN19" s="1">
        <f>Table156789[[#This Row],[Total_Cost_MUSD]]*1000000*Table156789[[#This Row],[prob500-failure_rating9]]/500</f>
        <v>3.6259625135055579E-3</v>
      </c>
      <c r="IO19" s="1">
        <f>Table156789[[#This Row],[Total_Cost_MUSD]]*1000000*Table156789[[#This Row],[prob100-failure_rating1]]/100</f>
        <v>72519.250270111166</v>
      </c>
      <c r="IP19" s="1">
        <f>Table156789[[#This Row],[Total_Cost_MUSD]]*1000000*Table156789[[#This Row],[prob100-failure_rating2]]/100</f>
        <v>725.19250270111161</v>
      </c>
      <c r="IQ19" s="1">
        <f>Table156789[[#This Row],[Total_Cost_MUSD]]*1000000*Table156789[[#This Row],[prob100-failure_rating3]]/100</f>
        <v>90.649062837638951</v>
      </c>
      <c r="IR19" s="1">
        <f>Table156789[[#This Row],[Total_Cost_MUSD]]*1000000*Table156789[[#This Row],[prob100-failure_rating4]]/100</f>
        <v>19.942793824280571</v>
      </c>
      <c r="IS19" s="1">
        <f>Table156789[[#This Row],[Total_Cost_MUSD]]*1000000*Table156789[[#This Row],[prob100-failure_rating5]]/100</f>
        <v>7.251925027011116</v>
      </c>
      <c r="IT19" s="1">
        <f>Table156789[[#This Row],[Total_Cost_MUSD]]*1000000*Table156789[[#This Row],[prob100-failure_rating6]]/100</f>
        <v>1.2690868797269452</v>
      </c>
      <c r="IU19" s="1">
        <f>Table156789[[#This Row],[Total_Cost_MUSD]]*1000000*Table156789[[#This Row],[prob100-failure_rating7]]/100</f>
        <v>0.32633662621550025</v>
      </c>
      <c r="IV19" s="1">
        <f>Table156789[[#This Row],[Total_Cost_MUSD]]*1000000*Table156789[[#This Row],[prob100-failure_rating8]]/100</f>
        <v>0.32633662621550025</v>
      </c>
      <c r="IW19" s="1">
        <f>Table156789[[#This Row],[Total_Cost_MUSD]]*1000000*Table156789[[#This Row],[prob100-failure_rating9]]/100</f>
        <v>7.2519250270111158E-3</v>
      </c>
      <c r="IX19" s="1">
        <f>Table156789[[#This Row],[Total_Cost_MUSD]]*1000000*Table156789[[#This Row],[prob50-failure_rating1]]/50</f>
        <v>1450.3850054022232</v>
      </c>
      <c r="IY19" s="1">
        <f>Table156789[[#This Row],[Total_Cost_MUSD]]*1000000*Table156789[[#This Row],[prob50-failure_rating2]]/50</f>
        <v>120.86541711685194</v>
      </c>
      <c r="IZ19" s="1">
        <f>Table156789[[#This Row],[Total_Cost_MUSD]]*1000000*Table156789[[#This Row],[prob50-failure_rating3]]/50</f>
        <v>26.590391765707427</v>
      </c>
      <c r="JA19" s="1">
        <f>Table156789[[#This Row],[Total_Cost_MUSD]]*1000000*Table156789[[#This Row],[prob50-failure_rating4]]/50</f>
        <v>9.6692333693481558</v>
      </c>
      <c r="JB19" s="1">
        <f>Table156789[[#This Row],[Total_Cost_MUSD]]*1000000*Table156789[[#This Row],[prob50-failure_rating5]]/50</f>
        <v>1.6921158396359268</v>
      </c>
      <c r="JC19" s="1">
        <f>Table156789[[#This Row],[Total_Cost_MUSD]]*1000000*Table156789[[#This Row],[prob50-failure_rating6]]/50</f>
        <v>0.43511550162066698</v>
      </c>
      <c r="JD19" s="1">
        <f>Table156789[[#This Row],[Total_Cost_MUSD]]*1000000*Table156789[[#This Row],[prob50-failure_rating7]]/50</f>
        <v>0.43511550162066698</v>
      </c>
      <c r="JE19" s="1">
        <f>Table156789[[#This Row],[Total_Cost_MUSD]]*1000000*Table156789[[#This Row],[prob50-failure_rating8]]/50</f>
        <v>9.6692333693481555E-3</v>
      </c>
      <c r="JF19" s="1">
        <f>Table156789[[#This Row],[Total_Cost_MUSD]]*1000000*Table156789[[#This Row],[prob50-failure_rating9]]/50</f>
        <v>6.0432708558425963E-3</v>
      </c>
      <c r="JG19" s="1">
        <f>Table156789[[#This Row],[Total_Cost_MUSD]]*1000000*Table156789[[#This Row],[prob10-failure_rating1]]/10</f>
        <v>7251.925027011117</v>
      </c>
      <c r="JH19" s="1">
        <f>Table156789[[#This Row],[Total_Cost_MUSD]]*1000000*Table156789[[#This Row],[prob10-failure_rating2]]/10</f>
        <v>362.5962513505558</v>
      </c>
      <c r="JI19" s="1">
        <f>Table156789[[#This Row],[Total_Cost_MUSD]]*1000000*Table156789[[#This Row],[prob10-failure_rating3]]/10</f>
        <v>79.771175297122284</v>
      </c>
      <c r="JJ19" s="1">
        <f>Table156789[[#This Row],[Total_Cost_MUSD]]*1000000*Table156789[[#This Row],[prob10-failure_rating4]]/10</f>
        <v>29.007700108044467</v>
      </c>
      <c r="JK19" s="1">
        <f>Table156789[[#This Row],[Total_Cost_MUSD]]*1000000*Table156789[[#This Row],[prob10-failure_rating5]]/10</f>
        <v>5.07634751890778</v>
      </c>
      <c r="JL19" s="1">
        <f>Table156789[[#This Row],[Total_Cost_MUSD]]*1000000*Table156789[[#This Row],[prob10-failure_rating6]]/10</f>
        <v>1.305346504862001</v>
      </c>
      <c r="JM19" s="1">
        <f>Table156789[[#This Row],[Total_Cost_MUSD]]*1000000*Table156789[[#This Row],[prob10-failure_rating7]]/10</f>
        <v>1.305346504862001</v>
      </c>
      <c r="JN19" s="1">
        <f>Table156789[[#This Row],[Total_Cost_MUSD]]*1000000*Table156789[[#This Row],[prob10-failure_rating8]]/10</f>
        <v>2.9007700108044467E-2</v>
      </c>
      <c r="JO19" s="1">
        <f>Table156789[[#This Row],[Total_Cost_MUSD]]*1000000*Table156789[[#This Row],[prob10-failure_rating9]]/10</f>
        <v>1.8129812567527791E-2</v>
      </c>
      <c r="JP19" s="1">
        <f>Table156789[[#This Row],[FailureCost_Rating1]]</f>
        <v>1281.1734214386306</v>
      </c>
      <c r="JQ19" s="1">
        <f>Table156789[[#This Row],[FailureCost_Rating2]]</f>
        <v>1281.1734214386306</v>
      </c>
      <c r="JR19" s="1">
        <f>(Table156789[[#This Row],[failurecost500_rating2]]+Table156789[[#This Row],[failurecost100_rating2]]+Table156789[[#This Row],[failurecost50_rating2]]+Table156789[[#This Row],[failurecost10_rating2]])</f>
        <v>1281.1734214386306</v>
      </c>
      <c r="JS19" s="1">
        <f>(Table156789[[#This Row],[failurecost500_rating3]]+Table156789[[#This Row],[failurecost100_rating3]]+Table156789[[#This Row],[failurecost50_rating3]]+Table156789[[#This Row],[failurecost10_rating3]])</f>
        <v>212.96486495989313</v>
      </c>
      <c r="JT19" s="1">
        <f>(Table156789[[#This Row],[failurecost500_rating4]]+Table156789[[#This Row],[failurecost100_rating4]]+Table156789[[#This Row],[failurecost50_rating4]]+Table156789[[#This Row],[failurecost10_rating4]])</f>
        <v>64.42126732328208</v>
      </c>
      <c r="JU19" s="1">
        <f>(Table156789[[#This Row],[failurecost500_rating5]]+Table156789[[#This Row],[failurecost100_rating5]]+Table156789[[#This Row],[failurecost50_rating5]]+Table156789[[#This Row],[failurecost10_rating5]])</f>
        <v>15.035657889336377</v>
      </c>
      <c r="JV19" s="1">
        <f>(Table156789[[#This Row],[failurecost500_rating6]]+Table156789[[#This Row],[failurecost100_rating6]]+Table156789[[#This Row],[failurecost50_rating6]]+Table156789[[#This Row],[failurecost10_rating6]])</f>
        <v>3.2706181871820132</v>
      </c>
      <c r="JW19" s="1">
        <f>(Table156789[[#This Row],[failurecost500_rating7]]+Table156789[[#This Row],[failurecost100_rating7]]+Table156789[[#This Row],[failurecost50_rating7]]+Table156789[[#This Row],[failurecost10_rating7]])</f>
        <v>2.3278679336705683</v>
      </c>
      <c r="JX19" s="1">
        <f>(Table156789[[#This Row],[failurecost500_rating8]]+Table156789[[#This Row],[failurecost100_rating8]]+Table156789[[#This Row],[failurecost50_rating8]]+Table156789[[#This Row],[failurecost10_rating8]])</f>
        <v>0.37081509971450177</v>
      </c>
      <c r="JY19" s="1">
        <f>(Table156789[[#This Row],[failurecost500_rating9]]+Table156789[[#This Row],[failurecost100_rating9]]+Table156789[[#This Row],[failurecost50_rating9]]+Table156789[[#This Row],[failurecost10_rating9]])</f>
        <v>3.5050970963887061E-2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Table156789[[#This Row],[Depth10_Soil_vol]]*(9.353+9.027)+(Table156789[[#This Row],[Depth10_Soil_vol]]/2.5)*20*1.053+(PI()*Table156789[[#This Row],[Depth10_Scour]])*Table156789[[#This Row],[DECK_WIDTH_MT_052]]*1.062</f>
        <v>13853.451944603266</v>
      </c>
      <c r="AR20" s="1">
        <f>Table156789[[#This Row],[Depth50_Soil_vol]]*(9.353+9.027)+(Table156789[[#This Row],[Depth50_Soil_vol]]/2.5)*20*1.053+(PI()*Table156789[[#This Row],[Depth50_Scour]])*Table156789[[#This Row],[DECK_WIDTH_MT_052]]*1.062</f>
        <v>14885.488907843239</v>
      </c>
      <c r="AS20" s="1">
        <f>Table156789[[#This Row],[Depth100_Soil_vol]]*(9.353+9.027)+(Table156789[[#This Row],[Depth100_Soil_vol]]/2.5)*20*1.053+(PI()*Table156789[[#This Row],[Depth100_Scour]])*Table156789[[#This Row],[DECK_WIDTH_MT_052]]*1.062</f>
        <v>15342.083437730904</v>
      </c>
      <c r="AT20" s="1">
        <f>Table156789[[#This Row],[Depth500_Soil_vol]]*(9.353+9.027)+(Table156789[[#This Row],[Depth500_Soil_vol]]/2.5)*20*1.053+(PI()*Table156789[[#This Row],[Depth500_Scour]])*Table156789[[#This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MAX(0,(Table156789[[#This Row],[Current_rating]]-Table156789[[#This Row],[Depth10_Rating]])/10+(Table156789[[#This Row],[Current_rating]]-Table156789[[#This Row],[Depth50_Rating]])/50+(Table156789[[#This Row],[Current_rating]]-Table156789[[#This Row],[Depth100_Rating]])/100+(Table156789[[#This Row],[Current_rating]]-Table156789[[#This Row],[Depth500_Rating]])/500)</f>
        <v>0.26400000000000001</v>
      </c>
      <c r="GF20" s="1">
        <v>3.9506839333197492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3511.7190518397774</v>
      </c>
      <c r="GM20" s="1">
        <f>Sheet4!R50*$GF20*1000000</f>
        <v>1975.3419666598747</v>
      </c>
      <c r="GN20" s="1">
        <f>Sheet4!S50*$GF20*1000000</f>
        <v>1264.2188586623197</v>
      </c>
      <c r="GO20" s="1">
        <f>Sheet4!T50*$GF20*1000000</f>
        <v>877.92976295994436</v>
      </c>
      <c r="GP20" s="1">
        <f>Sheet4!U50*$GF20*1000000</f>
        <v>645.00962176648966</v>
      </c>
      <c r="GQ20" s="1">
        <f>Sheet4!V50*$GF20*1000000</f>
        <v>493.83549166496869</v>
      </c>
      <c r="GR20" s="1">
        <f>Sheet4!W50*$GF20*1000000</f>
        <v>390.19100575997516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1</v>
      </c>
      <c r="HF20" s="1">
        <v>0.01</v>
      </c>
      <c r="HG20" s="1">
        <v>1.25E-3</v>
      </c>
      <c r="HH20" s="1">
        <v>2.7500000000000002E-4</v>
      </c>
      <c r="HI20" s="1">
        <v>1E-4</v>
      </c>
      <c r="HJ20" s="1">
        <v>1.7499999999999998E-5</v>
      </c>
      <c r="HK20" s="1">
        <v>4.5000000000000001E-6</v>
      </c>
      <c r="HL20" s="1">
        <v>4.5000000000000001E-6</v>
      </c>
      <c r="HM20" s="1">
        <v>9.9999999999999995E-8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Table156789[[#This Row],[Total_Cost_MUSD]]*1000000*Table156789[[#This Row],[prob500-failure_rating1]]/500</f>
        <v>79.013678666394995</v>
      </c>
      <c r="IG20" s="1">
        <f>Table156789[[#This Row],[Total_Cost_MUSD]]*1000000*Table156789[[#This Row],[prob500-failure_rating2]]/500</f>
        <v>39.506839333197497</v>
      </c>
      <c r="IH20" s="1">
        <f>Table156789[[#This Row],[Total_Cost_MUSD]]*1000000*Table156789[[#This Row],[prob500-failure_rating3]]/500</f>
        <v>8.6915046533034488</v>
      </c>
      <c r="II20" s="1">
        <f>Table156789[[#This Row],[Total_Cost_MUSD]]*1000000*Table156789[[#This Row],[prob500-failure_rating4]]/500</f>
        <v>3.1605471466557997</v>
      </c>
      <c r="IJ20" s="1">
        <f>Table156789[[#This Row],[Total_Cost_MUSD]]*1000000*Table156789[[#This Row],[prob500-failure_rating5]]/500</f>
        <v>0.55309575066476491</v>
      </c>
      <c r="IK20" s="1">
        <f>Table156789[[#This Row],[Total_Cost_MUSD]]*1000000*Table156789[[#This Row],[prob500-failure_rating6]]/500</f>
        <v>0.14222462159951099</v>
      </c>
      <c r="IL20" s="1">
        <f>Table156789[[#This Row],[Total_Cost_MUSD]]*1000000*Table156789[[#This Row],[prob500-failure_rating7]]/500</f>
        <v>0.14222462159951099</v>
      </c>
      <c r="IM20" s="1">
        <f>Table156789[[#This Row],[Total_Cost_MUSD]]*1000000*Table156789[[#This Row],[prob500-failure_rating8]]/500</f>
        <v>3.1605471466557991E-3</v>
      </c>
      <c r="IN20" s="1">
        <f>Table156789[[#This Row],[Total_Cost_MUSD]]*1000000*Table156789[[#This Row],[prob500-failure_rating9]]/500</f>
        <v>1.9753419666598748E-3</v>
      </c>
      <c r="IO20" s="1">
        <f>Table156789[[#This Row],[Total_Cost_MUSD]]*1000000*Table156789[[#This Row],[prob100-failure_rating1]]/100</f>
        <v>39506.839333197495</v>
      </c>
      <c r="IP20" s="1">
        <f>Table156789[[#This Row],[Total_Cost_MUSD]]*1000000*Table156789[[#This Row],[prob100-failure_rating2]]/100</f>
        <v>395.06839333197496</v>
      </c>
      <c r="IQ20" s="1">
        <f>Table156789[[#This Row],[Total_Cost_MUSD]]*1000000*Table156789[[#This Row],[prob100-failure_rating3]]/100</f>
        <v>49.38354916649687</v>
      </c>
      <c r="IR20" s="1">
        <f>Table156789[[#This Row],[Total_Cost_MUSD]]*1000000*Table156789[[#This Row],[prob100-failure_rating4]]/100</f>
        <v>10.864380816629312</v>
      </c>
      <c r="IS20" s="1">
        <f>Table156789[[#This Row],[Total_Cost_MUSD]]*1000000*Table156789[[#This Row],[prob100-failure_rating5]]/100</f>
        <v>3.9506839333197497</v>
      </c>
      <c r="IT20" s="1">
        <f>Table156789[[#This Row],[Total_Cost_MUSD]]*1000000*Table156789[[#This Row],[prob100-failure_rating6]]/100</f>
        <v>0.69136968833095613</v>
      </c>
      <c r="IU20" s="1">
        <f>Table156789[[#This Row],[Total_Cost_MUSD]]*1000000*Table156789[[#This Row],[prob100-failure_rating7]]/100</f>
        <v>0.17778077699938874</v>
      </c>
      <c r="IV20" s="1">
        <f>Table156789[[#This Row],[Total_Cost_MUSD]]*1000000*Table156789[[#This Row],[prob100-failure_rating8]]/100</f>
        <v>0.17778077699938874</v>
      </c>
      <c r="IW20" s="1">
        <f>Table156789[[#This Row],[Total_Cost_MUSD]]*1000000*Table156789[[#This Row],[prob100-failure_rating9]]/100</f>
        <v>3.9506839333197487E-3</v>
      </c>
      <c r="IX20" s="1">
        <f>Table156789[[#This Row],[Total_Cost_MUSD]]*1000000*Table156789[[#This Row],[prob50-failure_rating1]]/50</f>
        <v>790.13678666394992</v>
      </c>
      <c r="IY20" s="1">
        <f>Table156789[[#This Row],[Total_Cost_MUSD]]*1000000*Table156789[[#This Row],[prob50-failure_rating2]]/50</f>
        <v>65.844732221995827</v>
      </c>
      <c r="IZ20" s="1">
        <f>Table156789[[#This Row],[Total_Cost_MUSD]]*1000000*Table156789[[#This Row],[prob50-failure_rating3]]/50</f>
        <v>14.485841088839081</v>
      </c>
      <c r="JA20" s="1">
        <f>Table156789[[#This Row],[Total_Cost_MUSD]]*1000000*Table156789[[#This Row],[prob50-failure_rating4]]/50</f>
        <v>5.2675785777596662</v>
      </c>
      <c r="JB20" s="1">
        <f>Table156789[[#This Row],[Total_Cost_MUSD]]*1000000*Table156789[[#This Row],[prob50-failure_rating5]]/50</f>
        <v>0.92182625110794147</v>
      </c>
      <c r="JC20" s="1">
        <f>Table156789[[#This Row],[Total_Cost_MUSD]]*1000000*Table156789[[#This Row],[prob50-failure_rating6]]/50</f>
        <v>0.23704103599918497</v>
      </c>
      <c r="JD20" s="1">
        <f>Table156789[[#This Row],[Total_Cost_MUSD]]*1000000*Table156789[[#This Row],[prob50-failure_rating7]]/50</f>
        <v>0.23704103599918497</v>
      </c>
      <c r="JE20" s="1">
        <f>Table156789[[#This Row],[Total_Cost_MUSD]]*1000000*Table156789[[#This Row],[prob50-failure_rating8]]/50</f>
        <v>5.2675785777596658E-3</v>
      </c>
      <c r="JF20" s="1">
        <f>Table156789[[#This Row],[Total_Cost_MUSD]]*1000000*Table156789[[#This Row],[prob50-failure_rating9]]/50</f>
        <v>3.292236611099791E-3</v>
      </c>
      <c r="JG20" s="1">
        <f>Table156789[[#This Row],[Total_Cost_MUSD]]*1000000*Table156789[[#This Row],[prob10-failure_rating1]]/10</f>
        <v>3950.6839333197495</v>
      </c>
      <c r="JH20" s="1">
        <f>Table156789[[#This Row],[Total_Cost_MUSD]]*1000000*Table156789[[#This Row],[prob10-failure_rating2]]/10</f>
        <v>197.53419666598748</v>
      </c>
      <c r="JI20" s="1">
        <f>Table156789[[#This Row],[Total_Cost_MUSD]]*1000000*Table156789[[#This Row],[prob10-failure_rating3]]/10</f>
        <v>43.457523266517242</v>
      </c>
      <c r="JJ20" s="1">
        <f>Table156789[[#This Row],[Total_Cost_MUSD]]*1000000*Table156789[[#This Row],[prob10-failure_rating4]]/10</f>
        <v>15.802735733278999</v>
      </c>
      <c r="JK20" s="1">
        <f>Table156789[[#This Row],[Total_Cost_MUSD]]*1000000*Table156789[[#This Row],[prob10-failure_rating5]]/10</f>
        <v>2.7654787533238241</v>
      </c>
      <c r="JL20" s="1">
        <f>Table156789[[#This Row],[Total_Cost_MUSD]]*1000000*Table156789[[#This Row],[prob10-failure_rating6]]/10</f>
        <v>0.71112310799755485</v>
      </c>
      <c r="JM20" s="1">
        <f>Table156789[[#This Row],[Total_Cost_MUSD]]*1000000*Table156789[[#This Row],[prob10-failure_rating7]]/10</f>
        <v>0.71112310799755485</v>
      </c>
      <c r="JN20" s="1">
        <f>Table156789[[#This Row],[Total_Cost_MUSD]]*1000000*Table156789[[#This Row],[prob10-failure_rating8]]/10</f>
        <v>1.5802735733278998E-2</v>
      </c>
      <c r="JO20" s="1">
        <f>Table156789[[#This Row],[Total_Cost_MUSD]]*1000000*Table156789[[#This Row],[prob10-failure_rating9]]/10</f>
        <v>9.8767098332993731E-3</v>
      </c>
      <c r="JP20" s="1">
        <f>Table156789[[#This Row],[FailureCost_Rating1]]</f>
        <v>697.9541615531557</v>
      </c>
      <c r="JQ20" s="1">
        <f>Table156789[[#This Row],[FailureCost_Rating2]]</f>
        <v>697.9541615531557</v>
      </c>
      <c r="JR20" s="1">
        <f>(Table156789[[#This Row],[failurecost500_rating2]]+Table156789[[#This Row],[failurecost100_rating2]]+Table156789[[#This Row],[failurecost50_rating2]]+Table156789[[#This Row],[failurecost10_rating2]])</f>
        <v>697.9541615531557</v>
      </c>
      <c r="JS20" s="1">
        <f>(Table156789[[#This Row],[failurecost500_rating3]]+Table156789[[#This Row],[failurecost100_rating3]]+Table156789[[#This Row],[failurecost50_rating3]]+Table156789[[#This Row],[failurecost10_rating3]])</f>
        <v>116.01841817515664</v>
      </c>
      <c r="JT20" s="1">
        <f>(Table156789[[#This Row],[failurecost500_rating4]]+Table156789[[#This Row],[failurecost100_rating4]]+Table156789[[#This Row],[failurecost50_rating4]]+Table156789[[#This Row],[failurecost10_rating4]])</f>
        <v>35.09524227432378</v>
      </c>
      <c r="JU20" s="1">
        <f>(Table156789[[#This Row],[failurecost500_rating5]]+Table156789[[#This Row],[failurecost100_rating5]]+Table156789[[#This Row],[failurecost50_rating5]]+Table156789[[#This Row],[failurecost10_rating5]])</f>
        <v>8.1910846884162805</v>
      </c>
      <c r="JV20" s="1">
        <f>(Table156789[[#This Row],[failurecost500_rating6]]+Table156789[[#This Row],[failurecost100_rating6]]+Table156789[[#This Row],[failurecost50_rating6]]+Table156789[[#This Row],[failurecost10_rating6]])</f>
        <v>1.7817584539272069</v>
      </c>
      <c r="JW20" s="1">
        <f>(Table156789[[#This Row],[failurecost500_rating7]]+Table156789[[#This Row],[failurecost100_rating7]]+Table156789[[#This Row],[failurecost50_rating7]]+Table156789[[#This Row],[failurecost10_rating7]])</f>
        <v>1.2681695425956396</v>
      </c>
      <c r="JX20" s="1">
        <f>(Table156789[[#This Row],[failurecost500_rating8]]+Table156789[[#This Row],[failurecost100_rating8]]+Table156789[[#This Row],[failurecost50_rating8]]+Table156789[[#This Row],[failurecost10_rating8]])</f>
        <v>0.20201163845708323</v>
      </c>
      <c r="JY20" s="1">
        <f>(Table156789[[#This Row],[failurecost500_rating9]]+Table156789[[#This Row],[failurecost100_rating9]]+Table156789[[#This Row],[failurecost50_rating9]]+Table156789[[#This Row],[failurecost10_rating9]])</f>
        <v>1.9094972344378788E-2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F231-E9F9-431E-A680-FEFC07029C32}">
  <dimension ref="A1:JY20"/>
  <sheetViews>
    <sheetView topLeftCell="GM1" zoomScaleNormal="100" workbookViewId="0">
      <selection activeCell="GK2" sqref="GK2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Table15678910[[#This Row],[Depth10_Soil_vol]]*(9.353+9.027)+(Table15678910[[#This Row],[Depth10_Soil_vol]]/2.5)*20*1.053+(PI()*Table15678910[[#This Row],[Depth10_Scour]])*Table15678910[[#This Row],[DECK_WIDTH_MT_052]]*1.062</f>
        <v>11998.897701083155</v>
      </c>
      <c r="AR2" s="1">
        <f>Table15678910[[#This Row],[Depth50_Soil_vol]]*(9.353+9.027)+(Table15678910[[#This Row],[Depth50_Soil_vol]]/2.5)*20*1.053+(PI()*Table15678910[[#This Row],[Depth50_Scour]])*Table15678910[[#This Row],[DECK_WIDTH_MT_052]]*1.062</f>
        <v>12798.983727608316</v>
      </c>
      <c r="AS2" s="1">
        <f>Table15678910[[#This Row],[Depth100_Soil_vol]]*(9.353+9.027)+(Table15678910[[#This Row],[Depth100_Soil_vol]]/2.5)*20*1.053+(PI()*Table15678910[[#This Row],[Depth100_Scour]])*Table15678910[[#This Row],[DECK_WIDTH_MT_052]]*1.062</f>
        <v>13156.203147223239</v>
      </c>
      <c r="AT2" s="1">
        <f>Table15678910[[#This Row],[Depth500_Soil_vol]]*(9.353+9.027)+(Table15678910[[#This Row],[Depth500_Soil_vol]]/2.5)*20*1.053+(PI()*Table15678910[[#This Row],[Depth500_Scour]])*Table15678910[[#This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0.39600000000000002</v>
      </c>
      <c r="GF2" s="1">
        <v>0.34712348266138754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Sheet4!Q32*$GF$2</f>
        <v>3.0855420681012225E-4</v>
      </c>
      <c r="GM2" s="1">
        <f>Sheet4!R32*$GF$2</f>
        <v>1.7356174133069377E-4</v>
      </c>
      <c r="GN2" s="1">
        <f>Sheet4!S32*$GF$2</f>
        <v>1.1107951445164402E-4</v>
      </c>
      <c r="GO2" s="1">
        <f>Sheet4!T32*$GF$2</f>
        <v>7.7138551702530563E-5</v>
      </c>
      <c r="GP2" s="1">
        <f>Sheet4!U32*$GF$2</f>
        <v>5.667322165900205E-5</v>
      </c>
      <c r="GQ2" s="1">
        <f>Sheet4!V32*$GF$2</f>
        <v>4.3390435332673443E-5</v>
      </c>
      <c r="GR2" s="1">
        <f>Sheet4!W32*$GF$2</f>
        <v>3.4283800756680246E-5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1</v>
      </c>
      <c r="HF2" s="1">
        <v>0.01</v>
      </c>
      <c r="HG2" s="1">
        <v>1.25E-3</v>
      </c>
      <c r="HH2" s="1">
        <v>2.7500000000000002E-4</v>
      </c>
      <c r="HI2" s="1">
        <v>1E-4</v>
      </c>
      <c r="HJ2" s="1">
        <v>1.7499999999999998E-5</v>
      </c>
      <c r="HK2" s="1">
        <v>4.5000000000000001E-6</v>
      </c>
      <c r="HL2" s="1">
        <v>4.5000000000000001E-6</v>
      </c>
      <c r="HM2" s="1">
        <v>9.9999999999999995E-8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Table15678910[[#This Row],[Total_Cost_MUSD]]*Table15678910[[#This Row],[prob500-failure_rating1]]/500</f>
        <v>6.942469653227751E-6</v>
      </c>
      <c r="IG2" s="1">
        <f>Table15678910[[#This Row],[Total_Cost_MUSD]]*Table15678910[[#This Row],[prob500-failure_rating2]]/500</f>
        <v>3.4712348266138755E-6</v>
      </c>
      <c r="IH2" s="1">
        <f>Table15678910[[#This Row],[Total_Cost_MUSD]]*Table15678910[[#This Row],[prob500-failure_rating3]]/500</f>
        <v>7.6367166185505255E-7</v>
      </c>
      <c r="II2" s="1">
        <f>Table15678910[[#This Row],[Total_Cost_MUSD]]*Table15678910[[#This Row],[prob500-failure_rating4]]/500</f>
        <v>2.7769878612911005E-7</v>
      </c>
      <c r="IJ2" s="1">
        <f>Table15678910[[#This Row],[Total_Cost_MUSD]]*Table15678910[[#This Row],[prob500-failure_rating5]]/500</f>
        <v>4.859728757259425E-8</v>
      </c>
      <c r="IK2" s="1">
        <f>Table15678910[[#This Row],[Total_Cost_MUSD]]*Table15678910[[#This Row],[prob500-failure_rating6]]/500</f>
        <v>1.2496445375809951E-8</v>
      </c>
      <c r="IL2" s="1">
        <f>Table15678910[[#This Row],[Total_Cost_MUSD]]*Table15678910[[#This Row],[prob500-failure_rating7]]/500</f>
        <v>1.2496445375809951E-8</v>
      </c>
      <c r="IM2" s="1">
        <f>Table15678910[[#This Row],[Total_Cost_MUSD]]*Table15678910[[#This Row],[prob500-failure_rating8]]/500</f>
        <v>2.7769878612911001E-10</v>
      </c>
      <c r="IN2" s="1">
        <f>Table15678910[[#This Row],[Total_Cost_MUSD]]*Table15678910[[#This Row],[prob500-failure_rating9]]/500</f>
        <v>1.7356174133069374E-10</v>
      </c>
      <c r="IO2" s="1">
        <f>Table15678910[[#This Row],[Total_Cost_MUSD]]*Table15678910[[#This Row],[prob100-failure_rating1]]/100</f>
        <v>3.4712348266138756E-3</v>
      </c>
      <c r="IP2" s="1">
        <f>Table15678910[[#This Row],[Total_Cost_MUSD]]*Table15678910[[#This Row],[prob100-failure_rating2]]/100</f>
        <v>3.4712348266138756E-5</v>
      </c>
      <c r="IQ2" s="1">
        <f>Table15678910[[#This Row],[Total_Cost_MUSD]]*Table15678910[[#This Row],[prob100-failure_rating3]]/100</f>
        <v>4.3390435332673445E-6</v>
      </c>
      <c r="IR2" s="1">
        <f>Table15678910[[#This Row],[Total_Cost_MUSD]]*Table15678910[[#This Row],[prob100-failure_rating4]]/100</f>
        <v>9.5458957731881571E-7</v>
      </c>
      <c r="IS2" s="1">
        <f>Table15678910[[#This Row],[Total_Cost_MUSD]]*Table15678910[[#This Row],[prob100-failure_rating5]]/100</f>
        <v>3.4712348266138755E-7</v>
      </c>
      <c r="IT2" s="1">
        <f>Table15678910[[#This Row],[Total_Cost_MUSD]]*Table15678910[[#This Row],[prob100-failure_rating6]]/100</f>
        <v>6.0746609465742819E-8</v>
      </c>
      <c r="IU2" s="1">
        <f>Table15678910[[#This Row],[Total_Cost_MUSD]]*Table15678910[[#This Row],[prob100-failure_rating7]]/100</f>
        <v>1.5620556719762437E-8</v>
      </c>
      <c r="IV2" s="1">
        <f>Table15678910[[#This Row],[Total_Cost_MUSD]]*Table15678910[[#This Row],[prob100-failure_rating8]]/100</f>
        <v>1.5620556719762437E-8</v>
      </c>
      <c r="IW2" s="1">
        <f>Table15678910[[#This Row],[Total_Cost_MUSD]]*Table15678910[[#This Row],[prob100-failure_rating9]]/100</f>
        <v>3.4712348266138748E-10</v>
      </c>
      <c r="IX2" s="1">
        <f>Table15678910[[#This Row],[Total_Cost_MUSD]]*Table15678910[[#This Row],[prob50-failure_rating1]]/50</f>
        <v>6.9424696532277512E-5</v>
      </c>
      <c r="IY2" s="1">
        <f>Table15678910[[#This Row],[Total_Cost_MUSD]]*Table15678910[[#This Row],[prob50-failure_rating2]]/50</f>
        <v>5.7853913776897924E-6</v>
      </c>
      <c r="IZ2" s="1">
        <f>Table15678910[[#This Row],[Total_Cost_MUSD]]*Table15678910[[#This Row],[prob50-failure_rating3]]/50</f>
        <v>1.2727861030917544E-6</v>
      </c>
      <c r="JA2" s="1">
        <f>Table15678910[[#This Row],[Total_Cost_MUSD]]*Table15678910[[#This Row],[prob50-failure_rating4]]/50</f>
        <v>4.6283131021518338E-7</v>
      </c>
      <c r="JB2" s="1">
        <f>Table15678910[[#This Row],[Total_Cost_MUSD]]*Table15678910[[#This Row],[prob50-failure_rating5]]/50</f>
        <v>8.0995479287657083E-8</v>
      </c>
      <c r="JC2" s="1">
        <f>Table15678910[[#This Row],[Total_Cost_MUSD]]*Table15678910[[#This Row],[prob50-failure_rating6]]/50</f>
        <v>2.0827408959683253E-8</v>
      </c>
      <c r="JD2" s="1">
        <f>Table15678910[[#This Row],[Total_Cost_MUSD]]*Table15678910[[#This Row],[prob50-failure_rating7]]/50</f>
        <v>2.0827408959683253E-8</v>
      </c>
      <c r="JE2" s="1">
        <f>Table15678910[[#This Row],[Total_Cost_MUSD]]*Table15678910[[#This Row],[prob50-failure_rating8]]/50</f>
        <v>4.6283131021518337E-10</v>
      </c>
      <c r="JF2" s="1">
        <f>Table15678910[[#This Row],[Total_Cost_MUSD]]*Table15678910[[#This Row],[prob50-failure_rating9]]/50</f>
        <v>2.8926956888448958E-10</v>
      </c>
      <c r="JG2" s="1">
        <f>Table15678910[[#This Row],[Total_Cost_MUSD]]*Table15678910[[#This Row],[prob10-failure_rating1]]/10</f>
        <v>3.4712348266138755E-4</v>
      </c>
      <c r="JH2" s="1">
        <f>Table15678910[[#This Row],[Total_Cost_MUSD]]*Table15678910[[#This Row],[prob10-failure_rating2]]/10</f>
        <v>1.7356174133069378E-5</v>
      </c>
      <c r="JI2" s="1">
        <f>Table15678910[[#This Row],[Total_Cost_MUSD]]*Table15678910[[#This Row],[prob10-failure_rating3]]/10</f>
        <v>3.8183583092752637E-6</v>
      </c>
      <c r="JJ2" s="1">
        <f>Table15678910[[#This Row],[Total_Cost_MUSD]]*Table15678910[[#This Row],[prob10-failure_rating4]]/10</f>
        <v>1.3884939306455502E-6</v>
      </c>
      <c r="JK2" s="1">
        <f>Table15678910[[#This Row],[Total_Cost_MUSD]]*Table15678910[[#This Row],[prob10-failure_rating5]]/10</f>
        <v>2.4298643786297127E-7</v>
      </c>
      <c r="JL2" s="1">
        <f>Table15678910[[#This Row],[Total_Cost_MUSD]]*Table15678910[[#This Row],[prob10-failure_rating6]]/10</f>
        <v>6.2482226879049763E-8</v>
      </c>
      <c r="JM2" s="1">
        <f>Table15678910[[#This Row],[Total_Cost_MUSD]]*Table15678910[[#This Row],[prob10-failure_rating7]]/10</f>
        <v>6.2482226879049763E-8</v>
      </c>
      <c r="JN2" s="1">
        <f>Table15678910[[#This Row],[Total_Cost_MUSD]]*Table15678910[[#This Row],[prob10-failure_rating8]]/10</f>
        <v>1.3884939306455501E-9</v>
      </c>
      <c r="JO2" s="1">
        <f>Table15678910[[#This Row],[Total_Cost_MUSD]]*Table15678910[[#This Row],[prob10-failure_rating9]]/10</f>
        <v>8.6780870665346874E-10</v>
      </c>
      <c r="JP2" s="1">
        <f>Table15678910[[#This Row],[FailureCost_Rating1]]</f>
        <v>6.1325148603511806E-5</v>
      </c>
      <c r="JQ2" s="1">
        <f>Table15678910[[#This Row],[FailureCost_Rating2]]</f>
        <v>6.1325148603511806E-5</v>
      </c>
      <c r="JR2" s="1">
        <f>(Table15678910[[#This Row],[failurecost500_rating2]]+Table15678910[[#This Row],[failurecost100_rating2]]+Table15678910[[#This Row],[failurecost50_rating2]]+Table15678910[[#This Row],[failurecost10_rating2]])</f>
        <v>6.1325148603511806E-5</v>
      </c>
      <c r="JS2" s="1">
        <f>(Table15678910[[#This Row],[failurecost500_rating3]]+Table15678910[[#This Row],[failurecost100_rating3]]+Table15678910[[#This Row],[failurecost50_rating3]]+Table15678910[[#This Row],[failurecost10_rating3]])</f>
        <v>1.0193859607489414E-5</v>
      </c>
      <c r="JT2" s="1">
        <f>(Table15678910[[#This Row],[failurecost500_rating4]]+Table15678910[[#This Row],[failurecost100_rating4]]+Table15678910[[#This Row],[failurecost50_rating4]]+Table15678910[[#This Row],[failurecost10_rating4]])</f>
        <v>3.083613604308659E-6</v>
      </c>
      <c r="JU2" s="1">
        <f>(Table15678910[[#This Row],[failurecost500_rating5]]+Table15678910[[#This Row],[failurecost100_rating5]]+Table15678910[[#This Row],[failurecost50_rating5]]+Table15678910[[#This Row],[failurecost10_rating5]])</f>
        <v>7.1970268738461011E-7</v>
      </c>
      <c r="JV2" s="1">
        <f>(Table15678910[[#This Row],[failurecost500_rating6]]+Table15678910[[#This Row],[failurecost100_rating6]]+Table15678910[[#This Row],[failurecost50_rating6]]+Table15678910[[#This Row],[failurecost10_rating6]])</f>
        <v>1.565526906802858E-7</v>
      </c>
      <c r="JW2" s="1">
        <f>(Table15678910[[#This Row],[failurecost500_rating7]]+Table15678910[[#This Row],[failurecost100_rating7]]+Table15678910[[#This Row],[failurecost50_rating7]]+Table15678910[[#This Row],[failurecost10_rating7]])</f>
        <v>1.114266379343054E-7</v>
      </c>
      <c r="JX2" s="1">
        <f>(Table15678910[[#This Row],[failurecost500_rating8]]+Table15678910[[#This Row],[failurecost100_rating8]]+Table15678910[[#This Row],[failurecost50_rating8]]+Table15678910[[#This Row],[failurecost10_rating8]])</f>
        <v>1.7749580746752278E-8</v>
      </c>
      <c r="JY2" s="1">
        <f>(Table15678910[[#This Row],[failurecost500_rating9]]+Table15678910[[#This Row],[failurecost100_rating9]]+Table15678910[[#This Row],[failurecost50_rating9]]+Table15678910[[#This Row],[failurecost10_rating9]])</f>
        <v>1.6777634995300395E-9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Table15678910[[#This Row],[Depth10_Soil_vol]]*(9.353+9.027)+(Table15678910[[#This Row],[Depth10_Soil_vol]]/2.5)*20*1.053+(PI()*Table15678910[[#This Row],[Depth10_Scour]])*Table15678910[[#This Row],[DECK_WIDTH_MT_052]]*1.062</f>
        <v>0</v>
      </c>
      <c r="AR3" s="1">
        <f>Table15678910[[#This Row],[Depth50_Soil_vol]]*(9.353+9.027)+(Table15678910[[#This Row],[Depth50_Soil_vol]]/2.5)*20*1.053+(PI()*Table15678910[[#This Row],[Depth50_Scour]])*Table15678910[[#This Row],[DECK_WIDTH_MT_052]]*1.062</f>
        <v>9520.728233804819</v>
      </c>
      <c r="AS3" s="1">
        <f>Table15678910[[#This Row],[Depth100_Soil_vol]]*(9.353+9.027)+(Table15678910[[#This Row],[Depth100_Soil_vol]]/2.5)*20*1.053+(PI()*Table15678910[[#This Row],[Depth100_Scour]])*Table15678910[[#This Row],[DECK_WIDTH_MT_052]]*1.062</f>
        <v>9985.7559384332872</v>
      </c>
      <c r="AT3" s="1">
        <f>Table15678910[[#This Row],[Depth500_Soil_vol]]*(9.353+9.027)+(Table15678910[[#This Row],[Depth500_Soil_vol]]/2.5)*20*1.053+(PI()*Table15678910[[#This Row],[Depth500_Scour]])*Table15678910[[#This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3" s="1">
        <v>0.22693402991348088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Sheet4!Q33*$GF$2</f>
        <v>3.0855420681012225E-4</v>
      </c>
      <c r="GM3" s="1">
        <f>Sheet4!R33*$GF$2</f>
        <v>1.7356174133069377E-4</v>
      </c>
      <c r="GN3" s="1">
        <f>Sheet4!S33*$GF$2</f>
        <v>1.1107951445164402E-4</v>
      </c>
      <c r="GO3" s="1">
        <f>Sheet4!T33*$GF$2</f>
        <v>7.7138551702530563E-5</v>
      </c>
      <c r="GP3" s="1">
        <f>Sheet4!U33*$GF$2</f>
        <v>5.6673221659002037E-5</v>
      </c>
      <c r="GQ3" s="1">
        <f>Sheet4!V33*$GF$2</f>
        <v>4.3390435332673443E-5</v>
      </c>
      <c r="GR3" s="1">
        <f>Sheet4!W33*$GF$2</f>
        <v>3.4283800756680246E-5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1</v>
      </c>
      <c r="HF3" s="1">
        <v>0.01</v>
      </c>
      <c r="HG3" s="1">
        <v>1.25E-3</v>
      </c>
      <c r="HH3" s="1">
        <v>2.7500000000000002E-4</v>
      </c>
      <c r="HI3" s="1">
        <v>1E-4</v>
      </c>
      <c r="HJ3" s="1">
        <v>1.7499999999999998E-5</v>
      </c>
      <c r="HK3" s="1">
        <v>4.5000000000000001E-6</v>
      </c>
      <c r="HL3" s="1">
        <v>4.5000000000000001E-6</v>
      </c>
      <c r="HM3" s="1">
        <v>9.9999999999999995E-8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Table15678910[[#This Row],[Total_Cost_MUSD]]*Table15678910[[#This Row],[prob500-failure_rating1]]/500</f>
        <v>4.5386805982696178E-6</v>
      </c>
      <c r="IG3" s="1">
        <f>Table15678910[[#This Row],[Total_Cost_MUSD]]*Table15678910[[#This Row],[prob500-failure_rating2]]/500</f>
        <v>2.2693402991348089E-6</v>
      </c>
      <c r="IH3" s="1">
        <f>Table15678910[[#This Row],[Total_Cost_MUSD]]*Table15678910[[#This Row],[prob500-failure_rating3]]/500</f>
        <v>4.9925486580965803E-7</v>
      </c>
      <c r="II3" s="1">
        <f>Table15678910[[#This Row],[Total_Cost_MUSD]]*Table15678910[[#This Row],[prob500-failure_rating4]]/500</f>
        <v>1.8154722393078473E-7</v>
      </c>
      <c r="IJ3" s="1">
        <f>Table15678910[[#This Row],[Total_Cost_MUSD]]*Table15678910[[#This Row],[prob500-failure_rating5]]/500</f>
        <v>3.1770764187887324E-8</v>
      </c>
      <c r="IK3" s="1">
        <f>Table15678910[[#This Row],[Total_Cost_MUSD]]*Table15678910[[#This Row],[prob500-failure_rating6]]/500</f>
        <v>8.1696250768853123E-9</v>
      </c>
      <c r="IL3" s="1">
        <f>Table15678910[[#This Row],[Total_Cost_MUSD]]*Table15678910[[#This Row],[prob500-failure_rating7]]/500</f>
        <v>8.1696250768853123E-9</v>
      </c>
      <c r="IM3" s="1">
        <f>Table15678910[[#This Row],[Total_Cost_MUSD]]*Table15678910[[#This Row],[prob500-failure_rating8]]/500</f>
        <v>1.8154722393078469E-10</v>
      </c>
      <c r="IN3" s="1">
        <f>Table15678910[[#This Row],[Total_Cost_MUSD]]*Table15678910[[#This Row],[prob500-failure_rating9]]/500</f>
        <v>1.1346701495674043E-10</v>
      </c>
      <c r="IO3" s="1">
        <f>Table15678910[[#This Row],[Total_Cost_MUSD]]*Table15678910[[#This Row],[prob100-failure_rating1]]/100</f>
        <v>2.2693402991348088E-3</v>
      </c>
      <c r="IP3" s="1">
        <f>Table15678910[[#This Row],[Total_Cost_MUSD]]*Table15678910[[#This Row],[prob100-failure_rating2]]/100</f>
        <v>2.2693402991348087E-5</v>
      </c>
      <c r="IQ3" s="1">
        <f>Table15678910[[#This Row],[Total_Cost_MUSD]]*Table15678910[[#This Row],[prob100-failure_rating3]]/100</f>
        <v>2.8366753739185109E-6</v>
      </c>
      <c r="IR3" s="1">
        <f>Table15678910[[#This Row],[Total_Cost_MUSD]]*Table15678910[[#This Row],[prob100-failure_rating4]]/100</f>
        <v>6.2406858226207246E-7</v>
      </c>
      <c r="IS3" s="1">
        <f>Table15678910[[#This Row],[Total_Cost_MUSD]]*Table15678910[[#This Row],[prob100-failure_rating5]]/100</f>
        <v>2.2693402991348089E-7</v>
      </c>
      <c r="IT3" s="1">
        <f>Table15678910[[#This Row],[Total_Cost_MUSD]]*Table15678910[[#This Row],[prob100-failure_rating6]]/100</f>
        <v>3.971345523485915E-8</v>
      </c>
      <c r="IU3" s="1">
        <f>Table15678910[[#This Row],[Total_Cost_MUSD]]*Table15678910[[#This Row],[prob100-failure_rating7]]/100</f>
        <v>1.0212031346106639E-8</v>
      </c>
      <c r="IV3" s="1">
        <f>Table15678910[[#This Row],[Total_Cost_MUSD]]*Table15678910[[#This Row],[prob100-failure_rating8]]/100</f>
        <v>1.0212031346106639E-8</v>
      </c>
      <c r="IW3" s="1">
        <f>Table15678910[[#This Row],[Total_Cost_MUSD]]*Table15678910[[#This Row],[prob100-failure_rating9]]/100</f>
        <v>2.2693402991348086E-10</v>
      </c>
      <c r="IX3" s="1">
        <f>Table15678910[[#This Row],[Total_Cost_MUSD]]*Table15678910[[#This Row],[prob50-failure_rating1]]/50</f>
        <v>4.5386805982696174E-5</v>
      </c>
      <c r="IY3" s="1">
        <f>Table15678910[[#This Row],[Total_Cost_MUSD]]*Table15678910[[#This Row],[prob50-failure_rating2]]/50</f>
        <v>3.7822338318913484E-6</v>
      </c>
      <c r="IZ3" s="1">
        <f>Table15678910[[#This Row],[Total_Cost_MUSD]]*Table15678910[[#This Row],[prob50-failure_rating3]]/50</f>
        <v>8.3209144301609651E-7</v>
      </c>
      <c r="JA3" s="1">
        <f>Table15678910[[#This Row],[Total_Cost_MUSD]]*Table15678910[[#This Row],[prob50-failure_rating4]]/50</f>
        <v>3.0257870655130788E-7</v>
      </c>
      <c r="JB3" s="1">
        <f>Table15678910[[#This Row],[Total_Cost_MUSD]]*Table15678910[[#This Row],[prob50-failure_rating5]]/50</f>
        <v>5.2951273646478872E-8</v>
      </c>
      <c r="JC3" s="1">
        <f>Table15678910[[#This Row],[Total_Cost_MUSD]]*Table15678910[[#This Row],[prob50-failure_rating6]]/50</f>
        <v>1.3616041794808854E-8</v>
      </c>
      <c r="JD3" s="1">
        <f>Table15678910[[#This Row],[Total_Cost_MUSD]]*Table15678910[[#This Row],[prob50-failure_rating7]]/50</f>
        <v>1.3616041794808854E-8</v>
      </c>
      <c r="JE3" s="1">
        <f>Table15678910[[#This Row],[Total_Cost_MUSD]]*Table15678910[[#This Row],[prob50-failure_rating8]]/50</f>
        <v>3.0257870655130788E-10</v>
      </c>
      <c r="JF3" s="1">
        <f>Table15678910[[#This Row],[Total_Cost_MUSD]]*Table15678910[[#This Row],[prob50-failure_rating9]]/50</f>
        <v>1.891116915945674E-10</v>
      </c>
      <c r="JG3" s="1">
        <f>Table15678910[[#This Row],[Total_Cost_MUSD]]*Table15678910[[#This Row],[prob10-failure_rating1]]/10</f>
        <v>2.2693402991348088E-4</v>
      </c>
      <c r="JH3" s="1">
        <f>Table15678910[[#This Row],[Total_Cost_MUSD]]*Table15678910[[#This Row],[prob10-failure_rating2]]/10</f>
        <v>1.1346701495674044E-5</v>
      </c>
      <c r="JI3" s="1">
        <f>Table15678910[[#This Row],[Total_Cost_MUSD]]*Table15678910[[#This Row],[prob10-failure_rating3]]/10</f>
        <v>2.4962743290482899E-6</v>
      </c>
      <c r="JJ3" s="1">
        <f>Table15678910[[#This Row],[Total_Cost_MUSD]]*Table15678910[[#This Row],[prob10-failure_rating4]]/10</f>
        <v>9.0773611965392357E-7</v>
      </c>
      <c r="JK3" s="1">
        <f>Table15678910[[#This Row],[Total_Cost_MUSD]]*Table15678910[[#This Row],[prob10-failure_rating5]]/10</f>
        <v>1.588538209394366E-7</v>
      </c>
      <c r="JL3" s="1">
        <f>Table15678910[[#This Row],[Total_Cost_MUSD]]*Table15678910[[#This Row],[prob10-failure_rating6]]/10</f>
        <v>4.0848125384426565E-8</v>
      </c>
      <c r="JM3" s="1">
        <f>Table15678910[[#This Row],[Total_Cost_MUSD]]*Table15678910[[#This Row],[prob10-failure_rating7]]/10</f>
        <v>4.0848125384426565E-8</v>
      </c>
      <c r="JN3" s="1">
        <f>Table15678910[[#This Row],[Total_Cost_MUSD]]*Table15678910[[#This Row],[prob10-failure_rating8]]/10</f>
        <v>9.0773611965392355E-10</v>
      </c>
      <c r="JO3" s="1">
        <f>Table15678910[[#This Row],[Total_Cost_MUSD]]*Table15678910[[#This Row],[prob10-failure_rating9]]/10</f>
        <v>5.6733507478370221E-10</v>
      </c>
      <c r="JP3" s="1">
        <f>Table15678910[[#This Row],[FailureCost_Rating1]]</f>
        <v>4.0091678618048291E-5</v>
      </c>
      <c r="JQ3" s="1">
        <f>Table15678910[[#This Row],[FailureCost_Rating2]]</f>
        <v>4.0091678618048291E-5</v>
      </c>
      <c r="JR3" s="1">
        <f>(Table15678910[[#This Row],[failurecost500_rating2]]+Table15678910[[#This Row],[failurecost100_rating2]]+Table15678910[[#This Row],[failurecost50_rating2]]+Table15678910[[#This Row],[failurecost10_rating2]])</f>
        <v>4.0091678618048291E-5</v>
      </c>
      <c r="JS3" s="1">
        <f>(Table15678910[[#This Row],[failurecost500_rating3]]+Table15678910[[#This Row],[failurecost100_rating3]]+Table15678910[[#This Row],[failurecost50_rating3]]+Table15678910[[#This Row],[failurecost10_rating3]])</f>
        <v>6.6642960117925551E-6</v>
      </c>
      <c r="JT3" s="1">
        <f>(Table15678910[[#This Row],[failurecost500_rating4]]+Table15678910[[#This Row],[failurecost100_rating4]]+Table15678910[[#This Row],[failurecost50_rating4]]+Table15678910[[#This Row],[failurecost10_rating4]])</f>
        <v>2.0159306323980887E-6</v>
      </c>
      <c r="JU3" s="1">
        <f>(Table15678910[[#This Row],[failurecost500_rating5]]+Table15678910[[#This Row],[failurecost100_rating5]]+Table15678910[[#This Row],[failurecost50_rating5]]+Table15678910[[#This Row],[failurecost10_rating5]])</f>
        <v>4.7050988868728366E-7</v>
      </c>
      <c r="JV3" s="1">
        <f>(Table15678910[[#This Row],[failurecost500_rating6]]+Table15678910[[#This Row],[failurecost100_rating6]]+Table15678910[[#This Row],[failurecost50_rating6]]+Table15678910[[#This Row],[failurecost10_rating6]])</f>
        <v>1.0234724749097987E-7</v>
      </c>
      <c r="JW3" s="1">
        <f>(Table15678910[[#This Row],[failurecost500_rating7]]+Table15678910[[#This Row],[failurecost100_rating7]]+Table15678910[[#This Row],[failurecost50_rating7]]+Table15678910[[#This Row],[failurecost10_rating7]])</f>
        <v>7.2845823602227372E-8</v>
      </c>
      <c r="JX3" s="1">
        <f>(Table15678910[[#This Row],[failurecost500_rating8]]+Table15678910[[#This Row],[failurecost100_rating8]]+Table15678910[[#This Row],[failurecost50_rating8]]+Table15678910[[#This Row],[failurecost10_rating8]])</f>
        <v>1.1603893396242654E-8</v>
      </c>
      <c r="JY3" s="1">
        <f>(Table15678910[[#This Row],[failurecost500_rating9]]+Table15678910[[#This Row],[failurecost100_rating9]]+Table15678910[[#This Row],[failurecost50_rating9]]+Table15678910[[#This Row],[failurecost10_rating9]])</f>
        <v>1.096847811248491E-9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Table15678910[[#This Row],[Depth10_Soil_vol]]*(9.353+9.027)+(Table15678910[[#This Row],[Depth10_Soil_vol]]/2.5)*20*1.053+(PI()*Table15678910[[#This Row],[Depth10_Scour]])*Table15678910[[#This Row],[DECK_WIDTH_MT_052]]*1.062</f>
        <v>0</v>
      </c>
      <c r="AR4" s="1">
        <f>Table15678910[[#This Row],[Depth50_Soil_vol]]*(9.353+9.027)+(Table15678910[[#This Row],[Depth50_Soil_vol]]/2.5)*20*1.053+(PI()*Table15678910[[#This Row],[Depth50_Scour]])*Table15678910[[#This Row],[DECK_WIDTH_MT_052]]*1.062</f>
        <v>5183.5345730170238</v>
      </c>
      <c r="AS4" s="1">
        <f>Table15678910[[#This Row],[Depth100_Soil_vol]]*(9.353+9.027)+(Table15678910[[#This Row],[Depth100_Soil_vol]]/2.5)*20*1.053+(PI()*Table15678910[[#This Row],[Depth100_Scour]])*Table15678910[[#This Row],[DECK_WIDTH_MT_052]]*1.062</f>
        <v>5452.2219529566692</v>
      </c>
      <c r="AT4" s="1">
        <f>Table15678910[[#This Row],[Depth500_Soil_vol]]*(9.353+9.027)+(Table15678910[[#This Row],[Depth500_Soil_vol]]/2.5)*20*1.053+(PI()*Table15678910[[#This Row],[Depth500_Scour]])*Table15678910[[#This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9.6000000000000002E-2</v>
      </c>
      <c r="GF4" s="1">
        <v>0.43551403448261289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Sheet4!Q34*$GF$2</f>
        <v>3.0855420681012225E-4</v>
      </c>
      <c r="GM4" s="1">
        <f>Sheet4!R34*$GF$2</f>
        <v>1.7356174133069377E-4</v>
      </c>
      <c r="GN4" s="1">
        <f>Sheet4!S34*$GF$2</f>
        <v>1.1107951445164404E-4</v>
      </c>
      <c r="GO4" s="1">
        <f>Sheet4!T34*$GF$2</f>
        <v>7.7138551702530563E-5</v>
      </c>
      <c r="GP4" s="1">
        <f>Sheet4!U34*$GF$2</f>
        <v>5.6673221659002057E-5</v>
      </c>
      <c r="GQ4" s="1">
        <f>Sheet4!V34*$GF$2</f>
        <v>4.3390435332673443E-5</v>
      </c>
      <c r="GR4" s="1">
        <f>Sheet4!W34*$GF$2</f>
        <v>3.4283800756680253E-5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1</v>
      </c>
      <c r="HF4" s="1">
        <v>0.01</v>
      </c>
      <c r="HG4" s="1">
        <v>1.25E-3</v>
      </c>
      <c r="HH4" s="1">
        <v>2.7500000000000002E-4</v>
      </c>
      <c r="HI4" s="1">
        <v>1E-4</v>
      </c>
      <c r="HJ4" s="1">
        <v>1.7499999999999998E-5</v>
      </c>
      <c r="HK4" s="1">
        <v>4.5000000000000001E-6</v>
      </c>
      <c r="HL4" s="1">
        <v>4.5000000000000001E-6</v>
      </c>
      <c r="HM4" s="1">
        <v>9.9999999999999995E-8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Table15678910[[#This Row],[Total_Cost_MUSD]]*Table15678910[[#This Row],[prob500-failure_rating1]]/500</f>
        <v>8.7102806896522577E-6</v>
      </c>
      <c r="IG4" s="1">
        <f>Table15678910[[#This Row],[Total_Cost_MUSD]]*Table15678910[[#This Row],[prob500-failure_rating2]]/500</f>
        <v>4.3551403448261289E-6</v>
      </c>
      <c r="IH4" s="1">
        <f>Table15678910[[#This Row],[Total_Cost_MUSD]]*Table15678910[[#This Row],[prob500-failure_rating3]]/500</f>
        <v>9.5813087586174852E-7</v>
      </c>
      <c r="II4" s="1">
        <f>Table15678910[[#This Row],[Total_Cost_MUSD]]*Table15678910[[#This Row],[prob500-failure_rating4]]/500</f>
        <v>3.4841122758609035E-7</v>
      </c>
      <c r="IJ4" s="1">
        <f>Table15678910[[#This Row],[Total_Cost_MUSD]]*Table15678910[[#This Row],[prob500-failure_rating5]]/500</f>
        <v>6.0971964827565801E-8</v>
      </c>
      <c r="IK4" s="1">
        <f>Table15678910[[#This Row],[Total_Cost_MUSD]]*Table15678910[[#This Row],[prob500-failure_rating6]]/500</f>
        <v>1.5678505241374064E-8</v>
      </c>
      <c r="IL4" s="1">
        <f>Table15678910[[#This Row],[Total_Cost_MUSD]]*Table15678910[[#This Row],[prob500-failure_rating7]]/500</f>
        <v>1.5678505241374064E-8</v>
      </c>
      <c r="IM4" s="1">
        <f>Table15678910[[#This Row],[Total_Cost_MUSD]]*Table15678910[[#This Row],[prob500-failure_rating8]]/500</f>
        <v>3.484112275860903E-10</v>
      </c>
      <c r="IN4" s="1">
        <f>Table15678910[[#This Row],[Total_Cost_MUSD]]*Table15678910[[#This Row],[prob500-failure_rating9]]/500</f>
        <v>2.1775701724130643E-10</v>
      </c>
      <c r="IO4" s="1">
        <f>Table15678910[[#This Row],[Total_Cost_MUSD]]*Table15678910[[#This Row],[prob100-failure_rating1]]/100</f>
        <v>4.355140344826129E-3</v>
      </c>
      <c r="IP4" s="1">
        <f>Table15678910[[#This Row],[Total_Cost_MUSD]]*Table15678910[[#This Row],[prob100-failure_rating2]]/100</f>
        <v>4.3551403448261287E-5</v>
      </c>
      <c r="IQ4" s="1">
        <f>Table15678910[[#This Row],[Total_Cost_MUSD]]*Table15678910[[#This Row],[prob100-failure_rating3]]/100</f>
        <v>5.4439254310326609E-6</v>
      </c>
      <c r="IR4" s="1">
        <f>Table15678910[[#This Row],[Total_Cost_MUSD]]*Table15678910[[#This Row],[prob100-failure_rating4]]/100</f>
        <v>1.1976635948271855E-6</v>
      </c>
      <c r="IS4" s="1">
        <f>Table15678910[[#This Row],[Total_Cost_MUSD]]*Table15678910[[#This Row],[prob100-failure_rating5]]/100</f>
        <v>4.3551403448261294E-7</v>
      </c>
      <c r="IT4" s="1">
        <f>Table15678910[[#This Row],[Total_Cost_MUSD]]*Table15678910[[#This Row],[prob100-failure_rating6]]/100</f>
        <v>7.6214956034457244E-8</v>
      </c>
      <c r="IU4" s="1">
        <f>Table15678910[[#This Row],[Total_Cost_MUSD]]*Table15678910[[#This Row],[prob100-failure_rating7]]/100</f>
        <v>1.9598131551717584E-8</v>
      </c>
      <c r="IV4" s="1">
        <f>Table15678910[[#This Row],[Total_Cost_MUSD]]*Table15678910[[#This Row],[prob100-failure_rating8]]/100</f>
        <v>1.9598131551717584E-8</v>
      </c>
      <c r="IW4" s="1">
        <f>Table15678910[[#This Row],[Total_Cost_MUSD]]*Table15678910[[#This Row],[prob100-failure_rating9]]/100</f>
        <v>4.3551403448261286E-10</v>
      </c>
      <c r="IX4" s="1">
        <f>Table15678910[[#This Row],[Total_Cost_MUSD]]*Table15678910[[#This Row],[prob50-failure_rating1]]/50</f>
        <v>8.7102806896522574E-5</v>
      </c>
      <c r="IY4" s="1">
        <f>Table15678910[[#This Row],[Total_Cost_MUSD]]*Table15678910[[#This Row],[prob50-failure_rating2]]/50</f>
        <v>7.2585672413768817E-6</v>
      </c>
      <c r="IZ4" s="1">
        <f>Table15678910[[#This Row],[Total_Cost_MUSD]]*Table15678910[[#This Row],[prob50-failure_rating3]]/50</f>
        <v>1.5968847931029138E-6</v>
      </c>
      <c r="JA4" s="1">
        <f>Table15678910[[#This Row],[Total_Cost_MUSD]]*Table15678910[[#This Row],[prob50-failure_rating4]]/50</f>
        <v>5.8068537931015055E-7</v>
      </c>
      <c r="JB4" s="1">
        <f>Table15678910[[#This Row],[Total_Cost_MUSD]]*Table15678910[[#This Row],[prob50-failure_rating5]]/50</f>
        <v>1.0161994137927634E-7</v>
      </c>
      <c r="JC4" s="1">
        <f>Table15678910[[#This Row],[Total_Cost_MUSD]]*Table15678910[[#This Row],[prob50-failure_rating6]]/50</f>
        <v>2.6130842068956774E-8</v>
      </c>
      <c r="JD4" s="1">
        <f>Table15678910[[#This Row],[Total_Cost_MUSD]]*Table15678910[[#This Row],[prob50-failure_rating7]]/50</f>
        <v>2.6130842068956774E-8</v>
      </c>
      <c r="JE4" s="1">
        <f>Table15678910[[#This Row],[Total_Cost_MUSD]]*Table15678910[[#This Row],[prob50-failure_rating8]]/50</f>
        <v>5.8068537931015048E-10</v>
      </c>
      <c r="JF4" s="1">
        <f>Table15678910[[#This Row],[Total_Cost_MUSD]]*Table15678910[[#This Row],[prob50-failure_rating9]]/50</f>
        <v>3.6292836206884405E-10</v>
      </c>
      <c r="JG4" s="1">
        <f>Table15678910[[#This Row],[Total_Cost_MUSD]]*Table15678910[[#This Row],[prob10-failure_rating1]]/10</f>
        <v>4.3551403448261291E-4</v>
      </c>
      <c r="JH4" s="1">
        <f>Table15678910[[#This Row],[Total_Cost_MUSD]]*Table15678910[[#This Row],[prob10-failure_rating2]]/10</f>
        <v>2.1775701724130647E-5</v>
      </c>
      <c r="JI4" s="1">
        <f>Table15678910[[#This Row],[Total_Cost_MUSD]]*Table15678910[[#This Row],[prob10-failure_rating3]]/10</f>
        <v>4.7906543793087422E-6</v>
      </c>
      <c r="JJ4" s="1">
        <f>Table15678910[[#This Row],[Total_Cost_MUSD]]*Table15678910[[#This Row],[prob10-failure_rating4]]/10</f>
        <v>1.7420561379304515E-6</v>
      </c>
      <c r="JK4" s="1">
        <f>Table15678910[[#This Row],[Total_Cost_MUSD]]*Table15678910[[#This Row],[prob10-failure_rating5]]/10</f>
        <v>3.0485982413782898E-7</v>
      </c>
      <c r="JL4" s="1">
        <f>Table15678910[[#This Row],[Total_Cost_MUSD]]*Table15678910[[#This Row],[prob10-failure_rating6]]/10</f>
        <v>7.8392526206870321E-8</v>
      </c>
      <c r="JM4" s="1">
        <f>Table15678910[[#This Row],[Total_Cost_MUSD]]*Table15678910[[#This Row],[prob10-failure_rating7]]/10</f>
        <v>7.8392526206870321E-8</v>
      </c>
      <c r="JN4" s="1">
        <f>Table15678910[[#This Row],[Total_Cost_MUSD]]*Table15678910[[#This Row],[prob10-failure_rating8]]/10</f>
        <v>1.7420561379304516E-9</v>
      </c>
      <c r="JO4" s="1">
        <f>Table15678910[[#This Row],[Total_Cost_MUSD]]*Table15678910[[#This Row],[prob10-failure_rating9]]/10</f>
        <v>1.0887850862065321E-9</v>
      </c>
      <c r="JP4" s="1">
        <f>Table15678910[[#This Row],[FailureCost_Rating1]]</f>
        <v>7.6940812758594942E-5</v>
      </c>
      <c r="JQ4" s="1">
        <f>Table15678910[[#This Row],[FailureCost_Rating2]]</f>
        <v>7.6940812758594942E-5</v>
      </c>
      <c r="JR4" s="1">
        <f>(Table15678910[[#This Row],[failurecost500_rating2]]+Table15678910[[#This Row],[failurecost100_rating2]]+Table15678910[[#This Row],[failurecost50_rating2]]+Table15678910[[#This Row],[failurecost10_rating2]])</f>
        <v>7.6940812758594942E-5</v>
      </c>
      <c r="JS4" s="1">
        <f>(Table15678910[[#This Row],[failurecost500_rating3]]+Table15678910[[#This Row],[failurecost100_rating3]]+Table15678910[[#This Row],[failurecost50_rating3]]+Table15678910[[#This Row],[failurecost10_rating3]])</f>
        <v>1.2789595479306065E-5</v>
      </c>
      <c r="JT4" s="1">
        <f>(Table15678910[[#This Row],[failurecost500_rating4]]+Table15678910[[#This Row],[failurecost100_rating4]]+Table15678910[[#This Row],[failurecost50_rating4]]+Table15678910[[#This Row],[failurecost10_rating4]])</f>
        <v>3.8688163396538775E-6</v>
      </c>
      <c r="JU4" s="1">
        <f>(Table15678910[[#This Row],[failurecost500_rating5]]+Table15678910[[#This Row],[failurecost100_rating5]]+Table15678910[[#This Row],[failurecost50_rating5]]+Table15678910[[#This Row],[failurecost10_rating5]])</f>
        <v>9.0296576482728414E-7</v>
      </c>
      <c r="JV4" s="1">
        <f>(Table15678910[[#This Row],[failurecost500_rating6]]+Table15678910[[#This Row],[failurecost100_rating6]]+Table15678910[[#This Row],[failurecost50_rating6]]+Table15678910[[#This Row],[failurecost10_rating6]])</f>
        <v>1.9641682955165842E-7</v>
      </c>
      <c r="JW4" s="1">
        <f>(Table15678910[[#This Row],[failurecost500_rating7]]+Table15678910[[#This Row],[failurecost100_rating7]]+Table15678910[[#This Row],[failurecost50_rating7]]+Table15678910[[#This Row],[failurecost10_rating7]])</f>
        <v>1.3980000506891874E-7</v>
      </c>
      <c r="JX4" s="1">
        <f>(Table15678910[[#This Row],[failurecost500_rating8]]+Table15678910[[#This Row],[failurecost100_rating8]]+Table15678910[[#This Row],[failurecost50_rating8]]+Table15678910[[#This Row],[failurecost10_rating8]])</f>
        <v>2.2269284296544276E-8</v>
      </c>
      <c r="JY4" s="1">
        <f>(Table15678910[[#This Row],[failurecost500_rating9]]+Table15678910[[#This Row],[failurecost100_rating9]]+Table15678910[[#This Row],[failurecost50_rating9]]+Table15678910[[#This Row],[failurecost10_rating9]])</f>
        <v>2.1049844999992958E-9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Table15678910[[#This Row],[Depth10_Soil_vol]]*(9.353+9.027)+(Table15678910[[#This Row],[Depth10_Soil_vol]]/2.5)*20*1.053+(PI()*Table15678910[[#This Row],[Depth10_Scour]])*Table15678910[[#This Row],[DECK_WIDTH_MT_052]]*1.062</f>
        <v>0</v>
      </c>
      <c r="AR5" s="1">
        <f>Table15678910[[#This Row],[Depth50_Soil_vol]]*(9.353+9.027)+(Table15678910[[#This Row],[Depth50_Soil_vol]]/2.5)*20*1.053+(PI()*Table15678910[[#This Row],[Depth50_Scour]])*Table15678910[[#This Row],[DECK_WIDTH_MT_052]]*1.062</f>
        <v>8698.4034732067958</v>
      </c>
      <c r="AS5" s="1">
        <f>Table15678910[[#This Row],[Depth100_Soil_vol]]*(9.353+9.027)+(Table15678910[[#This Row],[Depth100_Soil_vol]]/2.5)*20*1.053+(PI()*Table15678910[[#This Row],[Depth100_Scour]])*Table15678910[[#This Row],[DECK_WIDTH_MT_052]]*1.062</f>
        <v>10436.848001870483</v>
      </c>
      <c r="AT5" s="1">
        <f>Table15678910[[#This Row],[Depth500_Soil_vol]]*(9.353+9.027)+(Table15678910[[#This Row],[Depth500_Soil_vol]]/2.5)*20*1.053+(PI()*Table15678910[[#This Row],[Depth500_Scour]])*Table15678910[[#This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9.6000000000000002E-2</v>
      </c>
      <c r="GF5" s="1">
        <v>0.19307652933168412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Sheet4!Q35*$GF$2</f>
        <v>3.0855420681012225E-4</v>
      </c>
      <c r="GM5" s="1">
        <f>Sheet4!R35*$GF$2</f>
        <v>1.735617413306938E-4</v>
      </c>
      <c r="GN5" s="1">
        <f>Sheet4!S35*$GF$2</f>
        <v>1.1107951445164404E-4</v>
      </c>
      <c r="GO5" s="1">
        <f>Sheet4!T35*$GF$2</f>
        <v>7.7138551702530563E-5</v>
      </c>
      <c r="GP5" s="1">
        <f>Sheet4!U35*$GF$2</f>
        <v>5.667322165900205E-5</v>
      </c>
      <c r="GQ5" s="1">
        <f>Sheet4!V35*$GF$2</f>
        <v>4.339043533267345E-5</v>
      </c>
      <c r="GR5" s="1">
        <f>Sheet4!W35*$GF$2</f>
        <v>3.4283800756680246E-5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1</v>
      </c>
      <c r="HF5" s="1">
        <v>0.01</v>
      </c>
      <c r="HG5" s="1">
        <v>1.25E-3</v>
      </c>
      <c r="HH5" s="1">
        <v>2.7500000000000002E-4</v>
      </c>
      <c r="HI5" s="1">
        <v>1E-4</v>
      </c>
      <c r="HJ5" s="1">
        <v>1.7499999999999998E-5</v>
      </c>
      <c r="HK5" s="1">
        <v>4.5000000000000001E-6</v>
      </c>
      <c r="HL5" s="1">
        <v>4.5000000000000001E-6</v>
      </c>
      <c r="HM5" s="1">
        <v>9.9999999999999995E-8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Table15678910[[#This Row],[Total_Cost_MUSD]]*Table15678910[[#This Row],[prob500-failure_rating1]]/500</f>
        <v>3.8615305866336823E-6</v>
      </c>
      <c r="IG5" s="1">
        <f>Table15678910[[#This Row],[Total_Cost_MUSD]]*Table15678910[[#This Row],[prob500-failure_rating2]]/500</f>
        <v>1.9307652933168411E-6</v>
      </c>
      <c r="IH5" s="1">
        <f>Table15678910[[#This Row],[Total_Cost_MUSD]]*Table15678910[[#This Row],[prob500-failure_rating3]]/500</f>
        <v>4.2476836452970508E-7</v>
      </c>
      <c r="II5" s="1">
        <f>Table15678910[[#This Row],[Total_Cost_MUSD]]*Table15678910[[#This Row],[prob500-failure_rating4]]/500</f>
        <v>1.5446122346534729E-7</v>
      </c>
      <c r="IJ5" s="1">
        <f>Table15678910[[#This Row],[Total_Cost_MUSD]]*Table15678910[[#This Row],[prob500-failure_rating5]]/500</f>
        <v>2.7030714106435775E-8</v>
      </c>
      <c r="IK5" s="1">
        <f>Table15678910[[#This Row],[Total_Cost_MUSD]]*Table15678910[[#This Row],[prob500-failure_rating6]]/500</f>
        <v>6.9507550559406294E-9</v>
      </c>
      <c r="IL5" s="1">
        <f>Table15678910[[#This Row],[Total_Cost_MUSD]]*Table15678910[[#This Row],[prob500-failure_rating7]]/500</f>
        <v>6.9507550559406294E-9</v>
      </c>
      <c r="IM5" s="1">
        <f>Table15678910[[#This Row],[Total_Cost_MUSD]]*Table15678910[[#This Row],[prob500-failure_rating8]]/500</f>
        <v>1.544612234653473E-10</v>
      </c>
      <c r="IN5" s="1">
        <f>Table15678910[[#This Row],[Total_Cost_MUSD]]*Table15678910[[#This Row],[prob500-failure_rating9]]/500</f>
        <v>9.6538264665842061E-11</v>
      </c>
      <c r="IO5" s="1">
        <f>Table15678910[[#This Row],[Total_Cost_MUSD]]*Table15678910[[#This Row],[prob100-failure_rating1]]/100</f>
        <v>1.9307652933168412E-3</v>
      </c>
      <c r="IP5" s="1">
        <f>Table15678910[[#This Row],[Total_Cost_MUSD]]*Table15678910[[#This Row],[prob100-failure_rating2]]/100</f>
        <v>1.9307652933168412E-5</v>
      </c>
      <c r="IQ5" s="1">
        <f>Table15678910[[#This Row],[Total_Cost_MUSD]]*Table15678910[[#This Row],[prob100-failure_rating3]]/100</f>
        <v>2.4134566166460515E-6</v>
      </c>
      <c r="IR5" s="1">
        <f>Table15678910[[#This Row],[Total_Cost_MUSD]]*Table15678910[[#This Row],[prob100-failure_rating4]]/100</f>
        <v>5.3096045566213137E-7</v>
      </c>
      <c r="IS5" s="1">
        <f>Table15678910[[#This Row],[Total_Cost_MUSD]]*Table15678910[[#This Row],[prob100-failure_rating5]]/100</f>
        <v>1.9307652933168411E-7</v>
      </c>
      <c r="IT5" s="1">
        <f>Table15678910[[#This Row],[Total_Cost_MUSD]]*Table15678910[[#This Row],[prob100-failure_rating6]]/100</f>
        <v>3.3788392633044721E-8</v>
      </c>
      <c r="IU5" s="1">
        <f>Table15678910[[#This Row],[Total_Cost_MUSD]]*Table15678910[[#This Row],[prob100-failure_rating7]]/100</f>
        <v>8.6884438199257857E-9</v>
      </c>
      <c r="IV5" s="1">
        <f>Table15678910[[#This Row],[Total_Cost_MUSD]]*Table15678910[[#This Row],[prob100-failure_rating8]]/100</f>
        <v>8.6884438199257857E-9</v>
      </c>
      <c r="IW5" s="1">
        <f>Table15678910[[#This Row],[Total_Cost_MUSD]]*Table15678910[[#This Row],[prob100-failure_rating9]]/100</f>
        <v>1.930765293316841E-10</v>
      </c>
      <c r="IX5" s="1">
        <f>Table15678910[[#This Row],[Total_Cost_MUSD]]*Table15678910[[#This Row],[prob50-failure_rating1]]/50</f>
        <v>3.8615305866336824E-5</v>
      </c>
      <c r="IY5" s="1">
        <f>Table15678910[[#This Row],[Total_Cost_MUSD]]*Table15678910[[#This Row],[prob50-failure_rating2]]/50</f>
        <v>3.217942155528069E-6</v>
      </c>
      <c r="IZ5" s="1">
        <f>Table15678910[[#This Row],[Total_Cost_MUSD]]*Table15678910[[#This Row],[prob50-failure_rating3]]/50</f>
        <v>7.0794727421617519E-7</v>
      </c>
      <c r="JA5" s="1">
        <f>Table15678910[[#This Row],[Total_Cost_MUSD]]*Table15678910[[#This Row],[prob50-failure_rating4]]/50</f>
        <v>2.5743537244224554E-7</v>
      </c>
      <c r="JB5" s="1">
        <f>Table15678910[[#This Row],[Total_Cost_MUSD]]*Table15678910[[#This Row],[prob50-failure_rating5]]/50</f>
        <v>4.5051190177392957E-8</v>
      </c>
      <c r="JC5" s="1">
        <f>Table15678910[[#This Row],[Total_Cost_MUSD]]*Table15678910[[#This Row],[prob50-failure_rating6]]/50</f>
        <v>1.1584591759901046E-8</v>
      </c>
      <c r="JD5" s="1">
        <f>Table15678910[[#This Row],[Total_Cost_MUSD]]*Table15678910[[#This Row],[prob50-failure_rating7]]/50</f>
        <v>1.1584591759901046E-8</v>
      </c>
      <c r="JE5" s="1">
        <f>Table15678910[[#This Row],[Total_Cost_MUSD]]*Table15678910[[#This Row],[prob50-failure_rating8]]/50</f>
        <v>2.5743537244224548E-10</v>
      </c>
      <c r="JF5" s="1">
        <f>Table15678910[[#This Row],[Total_Cost_MUSD]]*Table15678910[[#This Row],[prob50-failure_rating9]]/50</f>
        <v>1.6089710777640343E-10</v>
      </c>
      <c r="JG5" s="1">
        <f>Table15678910[[#This Row],[Total_Cost_MUSD]]*Table15678910[[#This Row],[prob10-failure_rating1]]/10</f>
        <v>1.9307652933168412E-4</v>
      </c>
      <c r="JH5" s="1">
        <f>Table15678910[[#This Row],[Total_Cost_MUSD]]*Table15678910[[#This Row],[prob10-failure_rating2]]/10</f>
        <v>9.6538264665842061E-6</v>
      </c>
      <c r="JI5" s="1">
        <f>Table15678910[[#This Row],[Total_Cost_MUSD]]*Table15678910[[#This Row],[prob10-failure_rating3]]/10</f>
        <v>2.1238418226485255E-6</v>
      </c>
      <c r="JJ5" s="1">
        <f>Table15678910[[#This Row],[Total_Cost_MUSD]]*Table15678910[[#This Row],[prob10-failure_rating4]]/10</f>
        <v>7.7230611732673667E-7</v>
      </c>
      <c r="JK5" s="1">
        <f>Table15678910[[#This Row],[Total_Cost_MUSD]]*Table15678910[[#This Row],[prob10-failure_rating5]]/10</f>
        <v>1.3515357053217886E-7</v>
      </c>
      <c r="JL5" s="1">
        <f>Table15678910[[#This Row],[Total_Cost_MUSD]]*Table15678910[[#This Row],[prob10-failure_rating6]]/10</f>
        <v>3.4753775279703143E-8</v>
      </c>
      <c r="JM5" s="1">
        <f>Table15678910[[#This Row],[Total_Cost_MUSD]]*Table15678910[[#This Row],[prob10-failure_rating7]]/10</f>
        <v>3.4753775279703143E-8</v>
      </c>
      <c r="JN5" s="1">
        <f>Table15678910[[#This Row],[Total_Cost_MUSD]]*Table15678910[[#This Row],[prob10-failure_rating8]]/10</f>
        <v>7.7230611732673639E-10</v>
      </c>
      <c r="JO5" s="1">
        <f>Table15678910[[#This Row],[Total_Cost_MUSD]]*Table15678910[[#This Row],[prob10-failure_rating9]]/10</f>
        <v>4.8269132332921027E-10</v>
      </c>
      <c r="JP5" s="1">
        <f>Table15678910[[#This Row],[FailureCost_Rating1]]</f>
        <v>3.4110186848597531E-5</v>
      </c>
      <c r="JQ5" s="1">
        <f>Table15678910[[#This Row],[FailureCost_Rating2]]</f>
        <v>3.4110186848597531E-5</v>
      </c>
      <c r="JR5" s="1">
        <f>(Table15678910[[#This Row],[failurecost500_rating2]]+Table15678910[[#This Row],[failurecost100_rating2]]+Table15678910[[#This Row],[failurecost50_rating2]]+Table15678910[[#This Row],[failurecost10_rating2]])</f>
        <v>3.4110186848597531E-5</v>
      </c>
      <c r="JS5" s="1">
        <f>(Table15678910[[#This Row],[failurecost500_rating3]]+Table15678910[[#This Row],[failurecost100_rating3]]+Table15678910[[#This Row],[failurecost50_rating3]]+Table15678910[[#This Row],[failurecost10_rating3]])</f>
        <v>5.6700140780404572E-6</v>
      </c>
      <c r="JT5" s="1">
        <f>(Table15678910[[#This Row],[failurecost500_rating4]]+Table15678910[[#This Row],[failurecost100_rating4]]+Table15678910[[#This Row],[failurecost50_rating4]]+Table15678910[[#This Row],[failurecost10_rating4]])</f>
        <v>1.7151631688964608E-6</v>
      </c>
      <c r="JU5" s="1">
        <f>(Table15678910[[#This Row],[failurecost500_rating5]]+Table15678910[[#This Row],[failurecost100_rating5]]+Table15678910[[#This Row],[failurecost50_rating5]]+Table15678910[[#This Row],[failurecost10_rating5]])</f>
        <v>4.0031200414769171E-7</v>
      </c>
      <c r="JV5" s="1">
        <f>(Table15678910[[#This Row],[failurecost500_rating6]]+Table15678910[[#This Row],[failurecost100_rating6]]+Table15678910[[#This Row],[failurecost50_rating6]]+Table15678910[[#This Row],[failurecost10_rating6]])</f>
        <v>8.7077514728589542E-8</v>
      </c>
      <c r="JW5" s="1">
        <f>(Table15678910[[#This Row],[failurecost500_rating7]]+Table15678910[[#This Row],[failurecost100_rating7]]+Table15678910[[#This Row],[failurecost50_rating7]]+Table15678910[[#This Row],[failurecost10_rating7]])</f>
        <v>6.19775659154706E-8</v>
      </c>
      <c r="JX5" s="1">
        <f>(Table15678910[[#This Row],[failurecost500_rating8]]+Table15678910[[#This Row],[failurecost100_rating8]]+Table15678910[[#This Row],[failurecost50_rating8]]+Table15678910[[#This Row],[failurecost10_rating8]])</f>
        <v>9.8726465331601139E-9</v>
      </c>
      <c r="JY5" s="1">
        <f>(Table15678910[[#This Row],[failurecost500_rating9]]+Table15678910[[#This Row],[failurecost100_rating9]]+Table15678910[[#This Row],[failurecost50_rating9]]+Table15678910[[#This Row],[failurecost10_rating9]])</f>
        <v>9.3320322510313974E-10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Table15678910[[#This Row],[Depth10_Soil_vol]]*(9.353+9.027)+(Table15678910[[#This Row],[Depth10_Soil_vol]]/2.5)*20*1.053+(PI()*Table15678910[[#This Row],[Depth10_Scour]])*Table15678910[[#This Row],[DECK_WIDTH_MT_052]]*1.062</f>
        <v>16919.4190908581</v>
      </c>
      <c r="AR6" s="1">
        <f>Table15678910[[#This Row],[Depth50_Soil_vol]]*(9.353+9.027)+(Table15678910[[#This Row],[Depth50_Soil_vol]]/2.5)*20*1.053+(PI()*Table15678910[[#This Row],[Depth50_Scour]])*Table15678910[[#This Row],[DECK_WIDTH_MT_052]]*1.062</f>
        <v>18202.748839783562</v>
      </c>
      <c r="AS6" s="1">
        <f>Table15678910[[#This Row],[Depth100_Soil_vol]]*(9.353+9.027)+(Table15678910[[#This Row],[Depth100_Soil_vol]]/2.5)*20*1.053+(PI()*Table15678910[[#This Row],[Depth100_Scour]])*Table15678910[[#This Row],[DECK_WIDTH_MT_052]]*1.062</f>
        <v>18769.361851972091</v>
      </c>
      <c r="AT6" s="1">
        <f>Table15678910[[#This Row],[Depth500_Soil_vol]]*(9.353+9.027)+(Table15678910[[#This Row],[Depth500_Soil_vol]]/2.5)*20*1.053+(PI()*Table15678910[[#This Row],[Depth500_Scour]])*Table15678910[[#This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6" s="1">
        <v>0.29429190424682322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Sheet4!Q36*$GF$2</f>
        <v>3.085542068101222E-4</v>
      </c>
      <c r="GM6" s="1">
        <f>Sheet4!R36*$GF$2</f>
        <v>1.7356174133069377E-4</v>
      </c>
      <c r="GN6" s="1">
        <f>Sheet4!S36*$GF$2</f>
        <v>1.11079514451644E-4</v>
      </c>
      <c r="GO6" s="1">
        <f>Sheet4!T36*$GF$2</f>
        <v>7.7138551702530549E-5</v>
      </c>
      <c r="GP6" s="1">
        <f>Sheet4!U36*$GF$2</f>
        <v>5.667322165900205E-5</v>
      </c>
      <c r="GQ6" s="1">
        <f>Sheet4!V36*$GF$2</f>
        <v>4.3390435332673443E-5</v>
      </c>
      <c r="GR6" s="1">
        <f>Sheet4!W36*$GF$2</f>
        <v>3.4283800756680246E-5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1</v>
      </c>
      <c r="HF6" s="1">
        <v>0.01</v>
      </c>
      <c r="HG6" s="1">
        <v>1.25E-3</v>
      </c>
      <c r="HH6" s="1">
        <v>2.7500000000000002E-4</v>
      </c>
      <c r="HI6" s="1">
        <v>1E-4</v>
      </c>
      <c r="HJ6" s="1">
        <v>1.7499999999999998E-5</v>
      </c>
      <c r="HK6" s="1">
        <v>4.5000000000000001E-6</v>
      </c>
      <c r="HL6" s="1">
        <v>4.5000000000000001E-6</v>
      </c>
      <c r="HM6" s="1">
        <v>9.9999999999999995E-8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Table15678910[[#This Row],[Total_Cost_MUSD]]*Table15678910[[#This Row],[prob500-failure_rating1]]/500</f>
        <v>5.8858380849364654E-6</v>
      </c>
      <c r="IG6" s="1">
        <f>Table15678910[[#This Row],[Total_Cost_MUSD]]*Table15678910[[#This Row],[prob500-failure_rating2]]/500</f>
        <v>2.9429190424682327E-6</v>
      </c>
      <c r="IH6" s="1">
        <f>Table15678910[[#This Row],[Total_Cost_MUSD]]*Table15678910[[#This Row],[prob500-failure_rating3]]/500</f>
        <v>6.4744218934301116E-7</v>
      </c>
      <c r="II6" s="1">
        <f>Table15678910[[#This Row],[Total_Cost_MUSD]]*Table15678910[[#This Row],[prob500-failure_rating4]]/500</f>
        <v>2.354335233974586E-7</v>
      </c>
      <c r="IJ6" s="1">
        <f>Table15678910[[#This Row],[Total_Cost_MUSD]]*Table15678910[[#This Row],[prob500-failure_rating5]]/500</f>
        <v>4.1200866594555246E-8</v>
      </c>
      <c r="IK6" s="1">
        <f>Table15678910[[#This Row],[Total_Cost_MUSD]]*Table15678910[[#This Row],[prob500-failure_rating6]]/500</f>
        <v>1.0594508552885637E-8</v>
      </c>
      <c r="IL6" s="1">
        <f>Table15678910[[#This Row],[Total_Cost_MUSD]]*Table15678910[[#This Row],[prob500-failure_rating7]]/500</f>
        <v>1.0594508552885637E-8</v>
      </c>
      <c r="IM6" s="1">
        <f>Table15678910[[#This Row],[Total_Cost_MUSD]]*Table15678910[[#This Row],[prob500-failure_rating8]]/500</f>
        <v>2.3543352339745856E-10</v>
      </c>
      <c r="IN6" s="1">
        <f>Table15678910[[#This Row],[Total_Cost_MUSD]]*Table15678910[[#This Row],[prob500-failure_rating9]]/500</f>
        <v>1.4714595212341162E-10</v>
      </c>
      <c r="IO6" s="1">
        <f>Table15678910[[#This Row],[Total_Cost_MUSD]]*Table15678910[[#This Row],[prob100-failure_rating1]]/100</f>
        <v>2.9429190424682321E-3</v>
      </c>
      <c r="IP6" s="1">
        <f>Table15678910[[#This Row],[Total_Cost_MUSD]]*Table15678910[[#This Row],[prob100-failure_rating2]]/100</f>
        <v>2.9429190424682325E-5</v>
      </c>
      <c r="IQ6" s="1">
        <f>Table15678910[[#This Row],[Total_Cost_MUSD]]*Table15678910[[#This Row],[prob100-failure_rating3]]/100</f>
        <v>3.6786488030852906E-6</v>
      </c>
      <c r="IR6" s="1">
        <f>Table15678910[[#This Row],[Total_Cost_MUSD]]*Table15678910[[#This Row],[prob100-failure_rating4]]/100</f>
        <v>8.0930273667876392E-7</v>
      </c>
      <c r="IS6" s="1">
        <f>Table15678910[[#This Row],[Total_Cost_MUSD]]*Table15678910[[#This Row],[prob100-failure_rating5]]/100</f>
        <v>2.9429190424682323E-7</v>
      </c>
      <c r="IT6" s="1">
        <f>Table15678910[[#This Row],[Total_Cost_MUSD]]*Table15678910[[#This Row],[prob100-failure_rating6]]/100</f>
        <v>5.150108324319406E-8</v>
      </c>
      <c r="IU6" s="1">
        <f>Table15678910[[#This Row],[Total_Cost_MUSD]]*Table15678910[[#This Row],[prob100-failure_rating7]]/100</f>
        <v>1.3243135691107046E-8</v>
      </c>
      <c r="IV6" s="1">
        <f>Table15678910[[#This Row],[Total_Cost_MUSD]]*Table15678910[[#This Row],[prob100-failure_rating8]]/100</f>
        <v>1.3243135691107046E-8</v>
      </c>
      <c r="IW6" s="1">
        <f>Table15678910[[#This Row],[Total_Cost_MUSD]]*Table15678910[[#This Row],[prob100-failure_rating9]]/100</f>
        <v>2.9429190424682324E-10</v>
      </c>
      <c r="IX6" s="1">
        <f>Table15678910[[#This Row],[Total_Cost_MUSD]]*Table15678910[[#This Row],[prob50-failure_rating1]]/50</f>
        <v>5.885838084936465E-5</v>
      </c>
      <c r="IY6" s="1">
        <f>Table15678910[[#This Row],[Total_Cost_MUSD]]*Table15678910[[#This Row],[prob50-failure_rating2]]/50</f>
        <v>4.9048650707803875E-6</v>
      </c>
      <c r="IZ6" s="1">
        <f>Table15678910[[#This Row],[Total_Cost_MUSD]]*Table15678910[[#This Row],[prob50-failure_rating3]]/50</f>
        <v>1.0790703155716852E-6</v>
      </c>
      <c r="JA6" s="1">
        <f>Table15678910[[#This Row],[Total_Cost_MUSD]]*Table15678910[[#This Row],[prob50-failure_rating4]]/50</f>
        <v>3.9238920566243102E-7</v>
      </c>
      <c r="JB6" s="1">
        <f>Table15678910[[#This Row],[Total_Cost_MUSD]]*Table15678910[[#This Row],[prob50-failure_rating5]]/50</f>
        <v>6.8668110990925414E-8</v>
      </c>
      <c r="JC6" s="1">
        <f>Table15678910[[#This Row],[Total_Cost_MUSD]]*Table15678910[[#This Row],[prob50-failure_rating6]]/50</f>
        <v>1.7657514254809393E-8</v>
      </c>
      <c r="JD6" s="1">
        <f>Table15678910[[#This Row],[Total_Cost_MUSD]]*Table15678910[[#This Row],[prob50-failure_rating7]]/50</f>
        <v>1.7657514254809393E-8</v>
      </c>
      <c r="JE6" s="1">
        <f>Table15678910[[#This Row],[Total_Cost_MUSD]]*Table15678910[[#This Row],[prob50-failure_rating8]]/50</f>
        <v>3.92389205662431E-10</v>
      </c>
      <c r="JF6" s="1">
        <f>Table15678910[[#This Row],[Total_Cost_MUSD]]*Table15678910[[#This Row],[prob50-failure_rating9]]/50</f>
        <v>2.4524325353901933E-10</v>
      </c>
      <c r="JG6" s="1">
        <f>Table15678910[[#This Row],[Total_Cost_MUSD]]*Table15678910[[#This Row],[prob10-failure_rating1]]/10</f>
        <v>2.9429190424682327E-4</v>
      </c>
      <c r="JH6" s="1">
        <f>Table15678910[[#This Row],[Total_Cost_MUSD]]*Table15678910[[#This Row],[prob10-failure_rating2]]/10</f>
        <v>1.4714595212341161E-5</v>
      </c>
      <c r="JI6" s="1">
        <f>Table15678910[[#This Row],[Total_Cost_MUSD]]*Table15678910[[#This Row],[prob10-failure_rating3]]/10</f>
        <v>3.2372109467150557E-6</v>
      </c>
      <c r="JJ6" s="1">
        <f>Table15678910[[#This Row],[Total_Cost_MUSD]]*Table15678910[[#This Row],[prob10-failure_rating4]]/10</f>
        <v>1.1771676169872929E-6</v>
      </c>
      <c r="JK6" s="1">
        <f>Table15678910[[#This Row],[Total_Cost_MUSD]]*Table15678910[[#This Row],[prob10-failure_rating5]]/10</f>
        <v>2.0600433297277624E-7</v>
      </c>
      <c r="JL6" s="1">
        <f>Table15678910[[#This Row],[Total_Cost_MUSD]]*Table15678910[[#This Row],[prob10-failure_rating6]]/10</f>
        <v>5.2972542764428183E-8</v>
      </c>
      <c r="JM6" s="1">
        <f>Table15678910[[#This Row],[Total_Cost_MUSD]]*Table15678910[[#This Row],[prob10-failure_rating7]]/10</f>
        <v>5.2972542764428183E-8</v>
      </c>
      <c r="JN6" s="1">
        <f>Table15678910[[#This Row],[Total_Cost_MUSD]]*Table15678910[[#This Row],[prob10-failure_rating8]]/10</f>
        <v>1.1771676169872929E-9</v>
      </c>
      <c r="JO6" s="1">
        <f>Table15678910[[#This Row],[Total_Cost_MUSD]]*Table15678910[[#This Row],[prob10-failure_rating9]]/10</f>
        <v>7.3572976061705799E-10</v>
      </c>
      <c r="JP6" s="1">
        <f>Table15678910[[#This Row],[FailureCost_Rating1]]</f>
        <v>5.1991569750272105E-5</v>
      </c>
      <c r="JQ6" s="1">
        <f>Table15678910[[#This Row],[FailureCost_Rating2]]</f>
        <v>5.1991569750272105E-5</v>
      </c>
      <c r="JR6" s="1">
        <f>(Table15678910[[#This Row],[failurecost500_rating2]]+Table15678910[[#This Row],[failurecost100_rating2]]+Table15678910[[#This Row],[failurecost50_rating2]]+Table15678910[[#This Row],[failurecost10_rating2]])</f>
        <v>5.1991569750272105E-5</v>
      </c>
      <c r="JS6" s="1">
        <f>(Table15678910[[#This Row],[failurecost500_rating3]]+Table15678910[[#This Row],[failurecost100_rating3]]+Table15678910[[#This Row],[failurecost50_rating3]]+Table15678910[[#This Row],[failurecost10_rating3]])</f>
        <v>8.6423722547150423E-6</v>
      </c>
      <c r="JT6" s="1">
        <f>(Table15678910[[#This Row],[failurecost500_rating4]]+Table15678910[[#This Row],[failurecost100_rating4]]+Table15678910[[#This Row],[failurecost50_rating4]]+Table15678910[[#This Row],[failurecost10_rating4]])</f>
        <v>2.6142930827259464E-6</v>
      </c>
      <c r="JU6" s="1">
        <f>(Table15678910[[#This Row],[failurecost500_rating5]]+Table15678910[[#This Row],[failurecost100_rating5]]+Table15678910[[#This Row],[failurecost50_rating5]]+Table15678910[[#This Row],[failurecost10_rating5]])</f>
        <v>6.1016521480508006E-7</v>
      </c>
      <c r="JV6" s="1">
        <f>(Table15678910[[#This Row],[failurecost500_rating6]]+Table15678910[[#This Row],[failurecost100_rating6]]+Table15678910[[#This Row],[failurecost50_rating6]]+Table15678910[[#This Row],[failurecost10_rating6]])</f>
        <v>1.3272564881531727E-7</v>
      </c>
      <c r="JW6" s="1">
        <f>(Table15678910[[#This Row],[failurecost500_rating7]]+Table15678910[[#This Row],[failurecost100_rating7]]+Table15678910[[#This Row],[failurecost50_rating7]]+Table15678910[[#This Row],[failurecost10_rating7]])</f>
        <v>9.4467701263230255E-8</v>
      </c>
      <c r="JX6" s="1">
        <f>(Table15678910[[#This Row],[failurecost500_rating8]]+Table15678910[[#This Row],[failurecost100_rating8]]+Table15678910[[#This Row],[failurecost50_rating8]]+Table15678910[[#This Row],[failurecost10_rating8]])</f>
        <v>1.5048126037154227E-8</v>
      </c>
      <c r="JY6" s="1">
        <f>(Table15678910[[#This Row],[failurecost500_rating9]]+Table15678910[[#This Row],[failurecost100_rating9]]+Table15678910[[#This Row],[failurecost50_rating9]]+Table15678910[[#This Row],[failurecost10_rating9]])</f>
        <v>1.4224108705263121E-9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Table15678910[[#This Row],[Depth10_Soil_vol]]*(9.353+9.027)+(Table15678910[[#This Row],[Depth10_Soil_vol]]/2.5)*20*1.053+(PI()*Table15678910[[#This Row],[Depth10_Scour]])*Table15678910[[#This Row],[DECK_WIDTH_MT_052]]*1.062</f>
        <v>11407.250817613454</v>
      </c>
      <c r="AR7" s="1">
        <f>Table15678910[[#This Row],[Depth50_Soil_vol]]*(9.353+9.027)+(Table15678910[[#This Row],[Depth50_Soil_vol]]/2.5)*20*1.053+(PI()*Table15678910[[#This Row],[Depth50_Scour]])*Table15678910[[#This Row],[DECK_WIDTH_MT_052]]*1.062</f>
        <v>12369.739122689782</v>
      </c>
      <c r="AS7" s="1">
        <f>Table15678910[[#This Row],[Depth100_Soil_vol]]*(9.353+9.027)+(Table15678910[[#This Row],[Depth100_Soil_vol]]/2.5)*20*1.053+(PI()*Table15678910[[#This Row],[Depth100_Scour]])*Table15678910[[#This Row],[DECK_WIDTH_MT_052]]*1.062</f>
        <v>14750.148906789464</v>
      </c>
      <c r="AT7" s="1">
        <f>Table15678910[[#This Row],[Depth500_Soil_vol]]*(9.353+9.027)+(Table15678910[[#This Row],[Depth500_Soil_vol]]/2.5)*20*1.053+(PI()*Table15678910[[#This Row],[Depth500_Scour]])*Table15678910[[#This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0.39600000000000002</v>
      </c>
      <c r="GF7" s="1">
        <v>0.11065577197722588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Sheet4!Q37*$GF$2</f>
        <v>3.0855420681012225E-4</v>
      </c>
      <c r="GM7" s="1">
        <f>Sheet4!R37*$GF$2</f>
        <v>1.7356174133069375E-4</v>
      </c>
      <c r="GN7" s="1">
        <f>Sheet4!S37*$GF$2</f>
        <v>1.11079514451644E-4</v>
      </c>
      <c r="GO7" s="1">
        <f>Sheet4!T37*$GF$2</f>
        <v>7.7138551702530563E-5</v>
      </c>
      <c r="GP7" s="1">
        <f>Sheet4!U37*$GF$2</f>
        <v>5.667322165900205E-5</v>
      </c>
      <c r="GQ7" s="1">
        <f>Sheet4!V37*$GF$2</f>
        <v>4.3390435332673436E-5</v>
      </c>
      <c r="GR7" s="1">
        <f>Sheet4!W37*$GF$2</f>
        <v>3.4283800756680246E-5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1</v>
      </c>
      <c r="HF7" s="1">
        <v>0.01</v>
      </c>
      <c r="HG7" s="1">
        <v>1.25E-3</v>
      </c>
      <c r="HH7" s="1">
        <v>2.7500000000000002E-4</v>
      </c>
      <c r="HI7" s="1">
        <v>1E-4</v>
      </c>
      <c r="HJ7" s="1">
        <v>1.7499999999999998E-5</v>
      </c>
      <c r="HK7" s="1">
        <v>4.5000000000000001E-6</v>
      </c>
      <c r="HL7" s="1">
        <v>4.5000000000000001E-6</v>
      </c>
      <c r="HM7" s="1">
        <v>9.9999999999999995E-8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Table15678910[[#This Row],[Total_Cost_MUSD]]*Table15678910[[#This Row],[prob500-failure_rating1]]/500</f>
        <v>2.2131154395445179E-6</v>
      </c>
      <c r="IG7" s="1">
        <f>Table15678910[[#This Row],[Total_Cost_MUSD]]*Table15678910[[#This Row],[prob500-failure_rating2]]/500</f>
        <v>1.106557719772259E-6</v>
      </c>
      <c r="IH7" s="1">
        <f>Table15678910[[#This Row],[Total_Cost_MUSD]]*Table15678910[[#This Row],[prob500-failure_rating3]]/500</f>
        <v>2.4344269834989698E-7</v>
      </c>
      <c r="II7" s="1">
        <f>Table15678910[[#This Row],[Total_Cost_MUSD]]*Table15678910[[#This Row],[prob500-failure_rating4]]/500</f>
        <v>8.8524617581780709E-8</v>
      </c>
      <c r="IJ7" s="1">
        <f>Table15678910[[#This Row],[Total_Cost_MUSD]]*Table15678910[[#This Row],[prob500-failure_rating5]]/500</f>
        <v>1.5491808076811623E-8</v>
      </c>
      <c r="IK7" s="1">
        <f>Table15678910[[#This Row],[Total_Cost_MUSD]]*Table15678910[[#This Row],[prob500-failure_rating6]]/500</f>
        <v>3.9836077911801323E-9</v>
      </c>
      <c r="IL7" s="1">
        <f>Table15678910[[#This Row],[Total_Cost_MUSD]]*Table15678910[[#This Row],[prob500-failure_rating7]]/500</f>
        <v>3.9836077911801323E-9</v>
      </c>
      <c r="IM7" s="1">
        <f>Table15678910[[#This Row],[Total_Cost_MUSD]]*Table15678910[[#This Row],[prob500-failure_rating8]]/500</f>
        <v>8.8524617581780712E-11</v>
      </c>
      <c r="IN7" s="1">
        <f>Table15678910[[#This Row],[Total_Cost_MUSD]]*Table15678910[[#This Row],[prob500-failure_rating9]]/500</f>
        <v>5.532788598861294E-11</v>
      </c>
      <c r="IO7" s="1">
        <f>Table15678910[[#This Row],[Total_Cost_MUSD]]*Table15678910[[#This Row],[prob100-failure_rating1]]/100</f>
        <v>1.1065577197722589E-3</v>
      </c>
      <c r="IP7" s="1">
        <f>Table15678910[[#This Row],[Total_Cost_MUSD]]*Table15678910[[#This Row],[prob100-failure_rating2]]/100</f>
        <v>1.1065577197722589E-5</v>
      </c>
      <c r="IQ7" s="1">
        <f>Table15678910[[#This Row],[Total_Cost_MUSD]]*Table15678910[[#This Row],[prob100-failure_rating3]]/100</f>
        <v>1.3831971497153236E-6</v>
      </c>
      <c r="IR7" s="1">
        <f>Table15678910[[#This Row],[Total_Cost_MUSD]]*Table15678910[[#This Row],[prob100-failure_rating4]]/100</f>
        <v>3.0430337293737123E-7</v>
      </c>
      <c r="IS7" s="1">
        <f>Table15678910[[#This Row],[Total_Cost_MUSD]]*Table15678910[[#This Row],[prob100-failure_rating5]]/100</f>
        <v>1.1065577197722589E-7</v>
      </c>
      <c r="IT7" s="1">
        <f>Table15678910[[#This Row],[Total_Cost_MUSD]]*Table15678910[[#This Row],[prob100-failure_rating6]]/100</f>
        <v>1.9364760096014528E-8</v>
      </c>
      <c r="IU7" s="1">
        <f>Table15678910[[#This Row],[Total_Cost_MUSD]]*Table15678910[[#This Row],[prob100-failure_rating7]]/100</f>
        <v>4.9795097389751654E-9</v>
      </c>
      <c r="IV7" s="1">
        <f>Table15678910[[#This Row],[Total_Cost_MUSD]]*Table15678910[[#This Row],[prob100-failure_rating8]]/100</f>
        <v>4.9795097389751654E-9</v>
      </c>
      <c r="IW7" s="1">
        <f>Table15678910[[#This Row],[Total_Cost_MUSD]]*Table15678910[[#This Row],[prob100-failure_rating9]]/100</f>
        <v>1.1065577197722588E-10</v>
      </c>
      <c r="IX7" s="1">
        <f>Table15678910[[#This Row],[Total_Cost_MUSD]]*Table15678910[[#This Row],[prob50-failure_rating1]]/50</f>
        <v>2.2131154395445178E-5</v>
      </c>
      <c r="IY7" s="1">
        <f>Table15678910[[#This Row],[Total_Cost_MUSD]]*Table15678910[[#This Row],[prob50-failure_rating2]]/50</f>
        <v>1.8442628662870983E-6</v>
      </c>
      <c r="IZ7" s="1">
        <f>Table15678910[[#This Row],[Total_Cost_MUSD]]*Table15678910[[#This Row],[prob50-failure_rating3]]/50</f>
        <v>4.0573783058316159E-7</v>
      </c>
      <c r="JA7" s="1">
        <f>Table15678910[[#This Row],[Total_Cost_MUSD]]*Table15678910[[#This Row],[prob50-failure_rating4]]/50</f>
        <v>1.4754102930296784E-7</v>
      </c>
      <c r="JB7" s="1">
        <f>Table15678910[[#This Row],[Total_Cost_MUSD]]*Table15678910[[#This Row],[prob50-failure_rating5]]/50</f>
        <v>2.5819680128019375E-8</v>
      </c>
      <c r="JC7" s="1">
        <f>Table15678910[[#This Row],[Total_Cost_MUSD]]*Table15678910[[#This Row],[prob50-failure_rating6]]/50</f>
        <v>6.639346318633553E-9</v>
      </c>
      <c r="JD7" s="1">
        <f>Table15678910[[#This Row],[Total_Cost_MUSD]]*Table15678910[[#This Row],[prob50-failure_rating7]]/50</f>
        <v>6.639346318633553E-9</v>
      </c>
      <c r="JE7" s="1">
        <f>Table15678910[[#This Row],[Total_Cost_MUSD]]*Table15678910[[#This Row],[prob50-failure_rating8]]/50</f>
        <v>1.4754102930296783E-10</v>
      </c>
      <c r="JF7" s="1">
        <f>Table15678910[[#This Row],[Total_Cost_MUSD]]*Table15678910[[#This Row],[prob50-failure_rating9]]/50</f>
        <v>9.2213143314354905E-11</v>
      </c>
      <c r="JG7" s="1">
        <f>Table15678910[[#This Row],[Total_Cost_MUSD]]*Table15678910[[#This Row],[prob10-failure_rating1]]/10</f>
        <v>1.1065577197722589E-4</v>
      </c>
      <c r="JH7" s="1">
        <f>Table15678910[[#This Row],[Total_Cost_MUSD]]*Table15678910[[#This Row],[prob10-failure_rating2]]/10</f>
        <v>5.5327885988612937E-6</v>
      </c>
      <c r="JI7" s="1">
        <f>Table15678910[[#This Row],[Total_Cost_MUSD]]*Table15678910[[#This Row],[prob10-failure_rating3]]/10</f>
        <v>1.2172134917494847E-6</v>
      </c>
      <c r="JJ7" s="1">
        <f>Table15678910[[#This Row],[Total_Cost_MUSD]]*Table15678910[[#This Row],[prob10-failure_rating4]]/10</f>
        <v>4.4262308790890357E-7</v>
      </c>
      <c r="JK7" s="1">
        <f>Table15678910[[#This Row],[Total_Cost_MUSD]]*Table15678910[[#This Row],[prob10-failure_rating5]]/10</f>
        <v>7.7459040384058111E-8</v>
      </c>
      <c r="JL7" s="1">
        <f>Table15678910[[#This Row],[Total_Cost_MUSD]]*Table15678910[[#This Row],[prob10-failure_rating6]]/10</f>
        <v>1.9918038955900662E-8</v>
      </c>
      <c r="JM7" s="1">
        <f>Table15678910[[#This Row],[Total_Cost_MUSD]]*Table15678910[[#This Row],[prob10-failure_rating7]]/10</f>
        <v>1.9918038955900662E-8</v>
      </c>
      <c r="JN7" s="1">
        <f>Table15678910[[#This Row],[Total_Cost_MUSD]]*Table15678910[[#This Row],[prob10-failure_rating8]]/10</f>
        <v>4.4262308790890357E-10</v>
      </c>
      <c r="JO7" s="1">
        <f>Table15678910[[#This Row],[Total_Cost_MUSD]]*Table15678910[[#This Row],[prob10-failure_rating9]]/10</f>
        <v>2.7663942994306473E-10</v>
      </c>
      <c r="JP7" s="1">
        <f>Table15678910[[#This Row],[FailureCost_Rating1]]</f>
        <v>1.9549186382643238E-5</v>
      </c>
      <c r="JQ7" s="1">
        <f>Table15678910[[#This Row],[FailureCost_Rating2]]</f>
        <v>1.9549186382643238E-5</v>
      </c>
      <c r="JR7" s="1">
        <f>(Table15678910[[#This Row],[failurecost500_rating2]]+Table15678910[[#This Row],[failurecost100_rating2]]+Table15678910[[#This Row],[failurecost50_rating2]]+Table15678910[[#This Row],[failurecost10_rating2]])</f>
        <v>1.9549186382643238E-5</v>
      </c>
      <c r="JS7" s="1">
        <f>(Table15678910[[#This Row],[failurecost500_rating3]]+Table15678910[[#This Row],[failurecost100_rating3]]+Table15678910[[#This Row],[failurecost50_rating3]]+Table15678910[[#This Row],[failurecost10_rating3]])</f>
        <v>3.2495911703978668E-6</v>
      </c>
      <c r="JT7" s="1">
        <f>(Table15678910[[#This Row],[failurecost500_rating4]]+Table15678910[[#This Row],[failurecost100_rating4]]+Table15678910[[#This Row],[failurecost50_rating4]]+Table15678910[[#This Row],[failurecost10_rating4]])</f>
        <v>9.8299210773102332E-7</v>
      </c>
      <c r="JU7" s="1">
        <f>(Table15678910[[#This Row],[failurecost500_rating5]]+Table15678910[[#This Row],[failurecost100_rating5]]+Table15678910[[#This Row],[failurecost50_rating5]]+Table15678910[[#This Row],[failurecost10_rating5]])</f>
        <v>2.2942630056611498E-7</v>
      </c>
      <c r="JV7" s="1">
        <f>(Table15678910[[#This Row],[failurecost500_rating6]]+Table15678910[[#This Row],[failurecost100_rating6]]+Table15678910[[#This Row],[failurecost50_rating6]]+Table15678910[[#This Row],[failurecost10_rating6]])</f>
        <v>4.9905753161728872E-8</v>
      </c>
      <c r="JW7" s="1">
        <f>(Table15678910[[#This Row],[failurecost500_rating7]]+Table15678910[[#This Row],[failurecost100_rating7]]+Table15678910[[#This Row],[failurecost50_rating7]]+Table15678910[[#This Row],[failurecost10_rating7]])</f>
        <v>3.5520502804689516E-8</v>
      </c>
      <c r="JX7" s="1">
        <f>(Table15678910[[#This Row],[failurecost500_rating8]]+Table15678910[[#This Row],[failurecost100_rating8]]+Table15678910[[#This Row],[failurecost50_rating8]]+Table15678910[[#This Row],[failurecost10_rating8]])</f>
        <v>5.658198473768817E-9</v>
      </c>
      <c r="JY7" s="1">
        <f>(Table15678910[[#This Row],[failurecost500_rating9]]+Table15678910[[#This Row],[failurecost100_rating9]]+Table15678910[[#This Row],[failurecost50_rating9]]+Table15678910[[#This Row],[failurecost10_rating9]])</f>
        <v>5.3483623122325841E-10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Table15678910[[#This Row],[Depth10_Soil_vol]]*(9.353+9.027)+(Table15678910[[#This Row],[Depth10_Soil_vol]]/2.5)*20*1.053+(PI()*Table15678910[[#This Row],[Depth10_Scour]])*Table15678910[[#This Row],[DECK_WIDTH_MT_052]]*1.062</f>
        <v>16463.256386162553</v>
      </c>
      <c r="AR8" s="1">
        <f>Table15678910[[#This Row],[Depth50_Soil_vol]]*(9.353+9.027)+(Table15678910[[#This Row],[Depth50_Soil_vol]]/2.5)*20*1.053+(PI()*Table15678910[[#This Row],[Depth50_Scour]])*Table15678910[[#This Row],[DECK_WIDTH_MT_052]]*1.062</f>
        <v>18935.802677782114</v>
      </c>
      <c r="AS8" s="1">
        <f>Table15678910[[#This Row],[Depth100_Soil_vol]]*(9.353+9.027)+(Table15678910[[#This Row],[Depth100_Soil_vol]]/2.5)*20*1.053+(PI()*Table15678910[[#This Row],[Depth100_Scour]])*Table15678910[[#This Row],[DECK_WIDTH_MT_052]]*1.062</f>
        <v>19959.892643325038</v>
      </c>
      <c r="AT8" s="1">
        <f>Table15678910[[#This Row],[Depth500_Soil_vol]]*(9.353+9.027)+(Table15678910[[#This Row],[Depth500_Soil_vol]]/2.5)*20*1.053+(PI()*Table15678910[[#This Row],[Depth500_Scour]])*Table15678910[[#This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0.52800000000000002</v>
      </c>
      <c r="GF8" s="1">
        <v>0.57395434798181266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Sheet4!Q38*$GF$2</f>
        <v>3.0855420681012225E-4</v>
      </c>
      <c r="GM8" s="1">
        <f>Sheet4!R38*$GF$2</f>
        <v>1.7356174133069377E-4</v>
      </c>
      <c r="GN8" s="1">
        <f>Sheet4!S38*$GF$2</f>
        <v>1.11079514451644E-4</v>
      </c>
      <c r="GO8" s="1">
        <f>Sheet4!T38*$GF$2</f>
        <v>7.7138551702530563E-5</v>
      </c>
      <c r="GP8" s="1">
        <f>Sheet4!U38*$GF$2</f>
        <v>5.667322165900205E-5</v>
      </c>
      <c r="GQ8" s="1">
        <f>Sheet4!V38*$GF$2</f>
        <v>4.3390435332673443E-5</v>
      </c>
      <c r="GR8" s="1">
        <f>Sheet4!W38*$GF$2</f>
        <v>3.4283800756680253E-5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1</v>
      </c>
      <c r="HF8" s="1">
        <v>0.01</v>
      </c>
      <c r="HG8" s="1">
        <v>1.25E-3</v>
      </c>
      <c r="HH8" s="1">
        <v>2.7500000000000002E-4</v>
      </c>
      <c r="HI8" s="1">
        <v>1E-4</v>
      </c>
      <c r="HJ8" s="1">
        <v>1.7499999999999998E-5</v>
      </c>
      <c r="HK8" s="1">
        <v>4.5000000000000001E-6</v>
      </c>
      <c r="HL8" s="1">
        <v>4.5000000000000001E-6</v>
      </c>
      <c r="HM8" s="1">
        <v>9.9999999999999995E-8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Table15678910[[#This Row],[Total_Cost_MUSD]]*Table15678910[[#This Row],[prob500-failure_rating1]]/500</f>
        <v>1.1479086959636254E-5</v>
      </c>
      <c r="IG8" s="1">
        <f>Table15678910[[#This Row],[Total_Cost_MUSD]]*Table15678910[[#This Row],[prob500-failure_rating2]]/500</f>
        <v>5.7395434798181268E-6</v>
      </c>
      <c r="IH8" s="1">
        <f>Table15678910[[#This Row],[Total_Cost_MUSD]]*Table15678910[[#This Row],[prob500-failure_rating3]]/500</f>
        <v>1.2626995655599879E-6</v>
      </c>
      <c r="II8" s="1">
        <f>Table15678910[[#This Row],[Total_Cost_MUSD]]*Table15678910[[#This Row],[prob500-failure_rating4]]/500</f>
        <v>4.5916347838545013E-7</v>
      </c>
      <c r="IJ8" s="1">
        <f>Table15678910[[#This Row],[Total_Cost_MUSD]]*Table15678910[[#This Row],[prob500-failure_rating5]]/500</f>
        <v>8.0353608717453768E-8</v>
      </c>
      <c r="IK8" s="1">
        <f>Table15678910[[#This Row],[Total_Cost_MUSD]]*Table15678910[[#This Row],[prob500-failure_rating6]]/500</f>
        <v>2.0662356527345257E-8</v>
      </c>
      <c r="IL8" s="1">
        <f>Table15678910[[#This Row],[Total_Cost_MUSD]]*Table15678910[[#This Row],[prob500-failure_rating7]]/500</f>
        <v>2.0662356527345257E-8</v>
      </c>
      <c r="IM8" s="1">
        <f>Table15678910[[#This Row],[Total_Cost_MUSD]]*Table15678910[[#This Row],[prob500-failure_rating8]]/500</f>
        <v>4.5916347838545014E-10</v>
      </c>
      <c r="IN8" s="1">
        <f>Table15678910[[#This Row],[Total_Cost_MUSD]]*Table15678910[[#This Row],[prob500-failure_rating9]]/500</f>
        <v>2.869771739909063E-10</v>
      </c>
      <c r="IO8" s="1">
        <f>Table15678910[[#This Row],[Total_Cost_MUSD]]*Table15678910[[#This Row],[prob100-failure_rating1]]/100</f>
        <v>5.7395434798181268E-3</v>
      </c>
      <c r="IP8" s="1">
        <f>Table15678910[[#This Row],[Total_Cost_MUSD]]*Table15678910[[#This Row],[prob100-failure_rating2]]/100</f>
        <v>5.7395434798181266E-5</v>
      </c>
      <c r="IQ8" s="1">
        <f>Table15678910[[#This Row],[Total_Cost_MUSD]]*Table15678910[[#This Row],[prob100-failure_rating3]]/100</f>
        <v>7.1744293497726583E-6</v>
      </c>
      <c r="IR8" s="1">
        <f>Table15678910[[#This Row],[Total_Cost_MUSD]]*Table15678910[[#This Row],[prob100-failure_rating4]]/100</f>
        <v>1.5783744569499848E-6</v>
      </c>
      <c r="IS8" s="1">
        <f>Table15678910[[#This Row],[Total_Cost_MUSD]]*Table15678910[[#This Row],[prob100-failure_rating5]]/100</f>
        <v>5.7395434798181264E-7</v>
      </c>
      <c r="IT8" s="1">
        <f>Table15678910[[#This Row],[Total_Cost_MUSD]]*Table15678910[[#This Row],[prob100-failure_rating6]]/100</f>
        <v>1.0044201089681721E-7</v>
      </c>
      <c r="IU8" s="1">
        <f>Table15678910[[#This Row],[Total_Cost_MUSD]]*Table15678910[[#This Row],[prob100-failure_rating7]]/100</f>
        <v>2.5827945659181571E-8</v>
      </c>
      <c r="IV8" s="1">
        <f>Table15678910[[#This Row],[Total_Cost_MUSD]]*Table15678910[[#This Row],[prob100-failure_rating8]]/100</f>
        <v>2.5827945659181571E-8</v>
      </c>
      <c r="IW8" s="1">
        <f>Table15678910[[#This Row],[Total_Cost_MUSD]]*Table15678910[[#This Row],[prob100-failure_rating9]]/100</f>
        <v>5.739543479818127E-10</v>
      </c>
      <c r="IX8" s="1">
        <f>Table15678910[[#This Row],[Total_Cost_MUSD]]*Table15678910[[#This Row],[prob50-failure_rating1]]/50</f>
        <v>1.1479086959636253E-4</v>
      </c>
      <c r="IY8" s="1">
        <f>Table15678910[[#This Row],[Total_Cost_MUSD]]*Table15678910[[#This Row],[prob50-failure_rating2]]/50</f>
        <v>9.5659057996968783E-6</v>
      </c>
      <c r="IZ8" s="1">
        <f>Table15678910[[#This Row],[Total_Cost_MUSD]]*Table15678910[[#This Row],[prob50-failure_rating3]]/50</f>
        <v>2.1044992759333129E-6</v>
      </c>
      <c r="JA8" s="1">
        <f>Table15678910[[#This Row],[Total_Cost_MUSD]]*Table15678910[[#This Row],[prob50-failure_rating4]]/50</f>
        <v>7.6527246397575025E-7</v>
      </c>
      <c r="JB8" s="1">
        <f>Table15678910[[#This Row],[Total_Cost_MUSD]]*Table15678910[[#This Row],[prob50-failure_rating5]]/50</f>
        <v>1.3392268119575628E-7</v>
      </c>
      <c r="JC8" s="1">
        <f>Table15678910[[#This Row],[Total_Cost_MUSD]]*Table15678910[[#This Row],[prob50-failure_rating6]]/50</f>
        <v>3.4437260878908765E-8</v>
      </c>
      <c r="JD8" s="1">
        <f>Table15678910[[#This Row],[Total_Cost_MUSD]]*Table15678910[[#This Row],[prob50-failure_rating7]]/50</f>
        <v>3.4437260878908765E-8</v>
      </c>
      <c r="JE8" s="1">
        <f>Table15678910[[#This Row],[Total_Cost_MUSD]]*Table15678910[[#This Row],[prob50-failure_rating8]]/50</f>
        <v>7.6527246397575013E-10</v>
      </c>
      <c r="JF8" s="1">
        <f>Table15678910[[#This Row],[Total_Cost_MUSD]]*Table15678910[[#This Row],[prob50-failure_rating9]]/50</f>
        <v>4.7829528998484388E-10</v>
      </c>
      <c r="JG8" s="1">
        <f>Table15678910[[#This Row],[Total_Cost_MUSD]]*Table15678910[[#This Row],[prob10-failure_rating1]]/10</f>
        <v>5.7395434798181264E-4</v>
      </c>
      <c r="JH8" s="1">
        <f>Table15678910[[#This Row],[Total_Cost_MUSD]]*Table15678910[[#This Row],[prob10-failure_rating2]]/10</f>
        <v>2.8697717399090633E-5</v>
      </c>
      <c r="JI8" s="1">
        <f>Table15678910[[#This Row],[Total_Cost_MUSD]]*Table15678910[[#This Row],[prob10-failure_rating3]]/10</f>
        <v>6.3134978277999392E-6</v>
      </c>
      <c r="JJ8" s="1">
        <f>Table15678910[[#This Row],[Total_Cost_MUSD]]*Table15678910[[#This Row],[prob10-failure_rating4]]/10</f>
        <v>2.2958173919272506E-6</v>
      </c>
      <c r="JK8" s="1">
        <f>Table15678910[[#This Row],[Total_Cost_MUSD]]*Table15678910[[#This Row],[prob10-failure_rating5]]/10</f>
        <v>4.0176804358726877E-7</v>
      </c>
      <c r="JL8" s="1">
        <f>Table15678910[[#This Row],[Total_Cost_MUSD]]*Table15678910[[#This Row],[prob10-failure_rating6]]/10</f>
        <v>1.0331178263672628E-7</v>
      </c>
      <c r="JM8" s="1">
        <f>Table15678910[[#This Row],[Total_Cost_MUSD]]*Table15678910[[#This Row],[prob10-failure_rating7]]/10</f>
        <v>1.0331178263672628E-7</v>
      </c>
      <c r="JN8" s="1">
        <f>Table15678910[[#This Row],[Total_Cost_MUSD]]*Table15678910[[#This Row],[prob10-failure_rating8]]/10</f>
        <v>2.2958173919272508E-9</v>
      </c>
      <c r="JO8" s="1">
        <f>Table15678910[[#This Row],[Total_Cost_MUSD]]*Table15678910[[#This Row],[prob10-failure_rating9]]/10</f>
        <v>1.4348858699545317E-9</v>
      </c>
      <c r="JP8" s="1">
        <f>Table15678910[[#This Row],[FailureCost_Rating1]]</f>
        <v>1.0139860147678691E-4</v>
      </c>
      <c r="JQ8" s="1">
        <f>Table15678910[[#This Row],[FailureCost_Rating2]]</f>
        <v>1.0139860147678691E-4</v>
      </c>
      <c r="JR8" s="1">
        <f>(Table15678910[[#This Row],[failurecost500_rating2]]+Table15678910[[#This Row],[failurecost100_rating2]]+Table15678910[[#This Row],[failurecost50_rating2]]+Table15678910[[#This Row],[failurecost10_rating2]])</f>
        <v>1.0139860147678691E-4</v>
      </c>
      <c r="JS8" s="1">
        <f>(Table15678910[[#This Row],[failurecost500_rating3]]+Table15678910[[#This Row],[failurecost100_rating3]]+Table15678910[[#This Row],[failurecost50_rating3]]+Table15678910[[#This Row],[failurecost10_rating3]])</f>
        <v>1.6855126019065897E-5</v>
      </c>
      <c r="JT8" s="1">
        <f>(Table15678910[[#This Row],[failurecost500_rating4]]+Table15678910[[#This Row],[failurecost100_rating4]]+Table15678910[[#This Row],[failurecost50_rating4]]+Table15678910[[#This Row],[failurecost10_rating4]])</f>
        <v>5.0986277912384359E-6</v>
      </c>
      <c r="JU8" s="1">
        <f>(Table15678910[[#This Row],[failurecost500_rating5]]+Table15678910[[#This Row],[failurecost100_rating5]]+Table15678910[[#This Row],[failurecost50_rating5]]+Table15678910[[#This Row],[failurecost10_rating5]])</f>
        <v>1.1899986814822915E-6</v>
      </c>
      <c r="JV8" s="1">
        <f>(Table15678910[[#This Row],[failurecost500_rating6]]+Table15678910[[#This Row],[failurecost100_rating6]]+Table15678910[[#This Row],[failurecost50_rating6]]+Table15678910[[#This Row],[failurecost10_rating6]])</f>
        <v>2.5885341093979751E-7</v>
      </c>
      <c r="JW8" s="1">
        <f>(Table15678910[[#This Row],[failurecost500_rating7]]+Table15678910[[#This Row],[failurecost100_rating7]]+Table15678910[[#This Row],[failurecost50_rating7]]+Table15678910[[#This Row],[failurecost10_rating7]])</f>
        <v>1.8423934570216188E-7</v>
      </c>
      <c r="JX8" s="1">
        <f>(Table15678910[[#This Row],[failurecost500_rating8]]+Table15678910[[#This Row],[failurecost100_rating8]]+Table15678910[[#This Row],[failurecost50_rating8]]+Table15678910[[#This Row],[failurecost10_rating8]])</f>
        <v>2.9348198993470024E-8</v>
      </c>
      <c r="JY8" s="1">
        <f>(Table15678910[[#This Row],[failurecost500_rating9]]+Table15678910[[#This Row],[failurecost100_rating9]]+Table15678910[[#This Row],[failurecost50_rating9]]+Table15678910[[#This Row],[failurecost10_rating9]])</f>
        <v>2.7741126819120946E-9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Table15678910[[#This Row],[Depth10_Soil_vol]]*(9.353+9.027)+(Table15678910[[#This Row],[Depth10_Soil_vol]]/2.5)*20*1.053+(PI()*Table15678910[[#This Row],[Depth10_Scour]])*Table15678910[[#This Row],[DECK_WIDTH_MT_052]]*1.062</f>
        <v>6829.712539120831</v>
      </c>
      <c r="AR9" s="1">
        <f>Table15678910[[#This Row],[Depth50_Soil_vol]]*(9.353+9.027)+(Table15678910[[#This Row],[Depth50_Soil_vol]]/2.5)*20*1.053+(PI()*Table15678910[[#This Row],[Depth50_Scour]])*Table15678910[[#This Row],[DECK_WIDTH_MT_052]]*1.062</f>
        <v>7284.9335218547822</v>
      </c>
      <c r="AS9" s="1">
        <f>Table15678910[[#This Row],[Depth100_Soil_vol]]*(9.353+9.027)+(Table15678910[[#This Row],[Depth100_Soil_vol]]/2.5)*20*1.053+(PI()*Table15678910[[#This Row],[Depth100_Scour]])*Table15678910[[#This Row],[DECK_WIDTH_MT_052]]*1.062</f>
        <v>7678.6049905512346</v>
      </c>
      <c r="AT9" s="1">
        <f>Table15678910[[#This Row],[Depth500_Soil_vol]]*(9.353+9.027)+(Table15678910[[#This Row],[Depth500_Soil_vol]]/2.5)*20*1.053+(PI()*Table15678910[[#This Row],[Depth500_Scour]])*Table15678910[[#This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9" s="1">
        <v>0.5116623993427073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Sheet4!Q39*$GF$2</f>
        <v>3.0855420681012225E-4</v>
      </c>
      <c r="GM9" s="1">
        <f>Sheet4!R39*$GF$2</f>
        <v>1.7356174133069377E-4</v>
      </c>
      <c r="GN9" s="1">
        <f>Sheet4!S39*$GF$2</f>
        <v>1.1107951445164404E-4</v>
      </c>
      <c r="GO9" s="1">
        <f>Sheet4!T39*$GF$2</f>
        <v>7.7138551702530563E-5</v>
      </c>
      <c r="GP9" s="1">
        <f>Sheet4!U39*$GF$2</f>
        <v>5.667322165900205E-5</v>
      </c>
      <c r="GQ9" s="1">
        <f>Sheet4!V39*$GF$2</f>
        <v>4.3390435332673443E-5</v>
      </c>
      <c r="GR9" s="1">
        <f>Sheet4!W39*$GF$2</f>
        <v>3.4283800756680253E-5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1</v>
      </c>
      <c r="HF9" s="1">
        <v>0.01</v>
      </c>
      <c r="HG9" s="1">
        <v>1.25E-3</v>
      </c>
      <c r="HH9" s="1">
        <v>2.7500000000000002E-4</v>
      </c>
      <c r="HI9" s="1">
        <v>1E-4</v>
      </c>
      <c r="HJ9" s="1">
        <v>1.7499999999999998E-5</v>
      </c>
      <c r="HK9" s="1">
        <v>4.5000000000000001E-6</v>
      </c>
      <c r="HL9" s="1">
        <v>4.5000000000000001E-6</v>
      </c>
      <c r="HM9" s="1">
        <v>9.9999999999999995E-8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Table15678910[[#This Row],[Total_Cost_MUSD]]*Table15678910[[#This Row],[prob500-failure_rating1]]/500</f>
        <v>1.0233247986854145E-5</v>
      </c>
      <c r="IG9" s="1">
        <f>Table15678910[[#This Row],[Total_Cost_MUSD]]*Table15678910[[#This Row],[prob500-failure_rating2]]/500</f>
        <v>5.1166239934270727E-6</v>
      </c>
      <c r="IH9" s="1">
        <f>Table15678910[[#This Row],[Total_Cost_MUSD]]*Table15678910[[#This Row],[prob500-failure_rating3]]/500</f>
        <v>1.1256572785539561E-6</v>
      </c>
      <c r="II9" s="1">
        <f>Table15678910[[#This Row],[Total_Cost_MUSD]]*Table15678910[[#This Row],[prob500-failure_rating4]]/500</f>
        <v>4.0932991947416586E-7</v>
      </c>
      <c r="IJ9" s="1">
        <f>Table15678910[[#This Row],[Total_Cost_MUSD]]*Table15678910[[#This Row],[prob500-failure_rating5]]/500</f>
        <v>7.1632735907979014E-8</v>
      </c>
      <c r="IK9" s="1">
        <f>Table15678910[[#This Row],[Total_Cost_MUSD]]*Table15678910[[#This Row],[prob500-failure_rating6]]/500</f>
        <v>1.8419846376337462E-8</v>
      </c>
      <c r="IL9" s="1">
        <f>Table15678910[[#This Row],[Total_Cost_MUSD]]*Table15678910[[#This Row],[prob500-failure_rating7]]/500</f>
        <v>1.8419846376337462E-8</v>
      </c>
      <c r="IM9" s="1">
        <f>Table15678910[[#This Row],[Total_Cost_MUSD]]*Table15678910[[#This Row],[prob500-failure_rating8]]/500</f>
        <v>4.0932991947416581E-10</v>
      </c>
      <c r="IN9" s="1">
        <f>Table15678910[[#This Row],[Total_Cost_MUSD]]*Table15678910[[#This Row],[prob500-failure_rating9]]/500</f>
        <v>2.5583119967135365E-10</v>
      </c>
      <c r="IO9" s="1">
        <f>Table15678910[[#This Row],[Total_Cost_MUSD]]*Table15678910[[#This Row],[prob100-failure_rating1]]/100</f>
        <v>5.1166239934270731E-3</v>
      </c>
      <c r="IP9" s="1">
        <f>Table15678910[[#This Row],[Total_Cost_MUSD]]*Table15678910[[#This Row],[prob100-failure_rating2]]/100</f>
        <v>5.1166239934270732E-5</v>
      </c>
      <c r="IQ9" s="1">
        <f>Table15678910[[#This Row],[Total_Cost_MUSD]]*Table15678910[[#This Row],[prob100-failure_rating3]]/100</f>
        <v>6.3957799917838415E-6</v>
      </c>
      <c r="IR9" s="1">
        <f>Table15678910[[#This Row],[Total_Cost_MUSD]]*Table15678910[[#This Row],[prob100-failure_rating4]]/100</f>
        <v>1.4070715981924452E-6</v>
      </c>
      <c r="IS9" s="1">
        <f>Table15678910[[#This Row],[Total_Cost_MUSD]]*Table15678910[[#This Row],[prob100-failure_rating5]]/100</f>
        <v>5.1166239934270729E-7</v>
      </c>
      <c r="IT9" s="1">
        <f>Table15678910[[#This Row],[Total_Cost_MUSD]]*Table15678910[[#This Row],[prob100-failure_rating6]]/100</f>
        <v>8.9540919884973768E-8</v>
      </c>
      <c r="IU9" s="1">
        <f>Table15678910[[#This Row],[Total_Cost_MUSD]]*Table15678910[[#This Row],[prob100-failure_rating7]]/100</f>
        <v>2.3024807970421829E-8</v>
      </c>
      <c r="IV9" s="1">
        <f>Table15678910[[#This Row],[Total_Cost_MUSD]]*Table15678910[[#This Row],[prob100-failure_rating8]]/100</f>
        <v>2.3024807970421829E-8</v>
      </c>
      <c r="IW9" s="1">
        <f>Table15678910[[#This Row],[Total_Cost_MUSD]]*Table15678910[[#This Row],[prob100-failure_rating9]]/100</f>
        <v>5.116623993427073E-10</v>
      </c>
      <c r="IX9" s="1">
        <f>Table15678910[[#This Row],[Total_Cost_MUSD]]*Table15678910[[#This Row],[prob50-failure_rating1]]/50</f>
        <v>1.0233247986854146E-4</v>
      </c>
      <c r="IY9" s="1">
        <f>Table15678910[[#This Row],[Total_Cost_MUSD]]*Table15678910[[#This Row],[prob50-failure_rating2]]/50</f>
        <v>8.5277066557117887E-6</v>
      </c>
      <c r="IZ9" s="1">
        <f>Table15678910[[#This Row],[Total_Cost_MUSD]]*Table15678910[[#This Row],[prob50-failure_rating3]]/50</f>
        <v>1.8760954642565934E-6</v>
      </c>
      <c r="JA9" s="1">
        <f>Table15678910[[#This Row],[Total_Cost_MUSD]]*Table15678910[[#This Row],[prob50-failure_rating4]]/50</f>
        <v>6.8221653245694309E-7</v>
      </c>
      <c r="JB9" s="1">
        <f>Table15678910[[#This Row],[Total_Cost_MUSD]]*Table15678910[[#This Row],[prob50-failure_rating5]]/50</f>
        <v>1.1938789317996503E-7</v>
      </c>
      <c r="JC9" s="1">
        <f>Table15678910[[#This Row],[Total_Cost_MUSD]]*Table15678910[[#This Row],[prob50-failure_rating6]]/50</f>
        <v>3.0699743960562439E-8</v>
      </c>
      <c r="JD9" s="1">
        <f>Table15678910[[#This Row],[Total_Cost_MUSD]]*Table15678910[[#This Row],[prob50-failure_rating7]]/50</f>
        <v>3.0699743960562439E-8</v>
      </c>
      <c r="JE9" s="1">
        <f>Table15678910[[#This Row],[Total_Cost_MUSD]]*Table15678910[[#This Row],[prob50-failure_rating8]]/50</f>
        <v>6.8221653245694303E-10</v>
      </c>
      <c r="JF9" s="1">
        <f>Table15678910[[#This Row],[Total_Cost_MUSD]]*Table15678910[[#This Row],[prob50-failure_rating9]]/50</f>
        <v>4.2638533278558938E-10</v>
      </c>
      <c r="JG9" s="1">
        <f>Table15678910[[#This Row],[Total_Cost_MUSD]]*Table15678910[[#This Row],[prob10-failure_rating1]]/10</f>
        <v>5.1166239934270731E-4</v>
      </c>
      <c r="JH9" s="1">
        <f>Table15678910[[#This Row],[Total_Cost_MUSD]]*Table15678910[[#This Row],[prob10-failure_rating2]]/10</f>
        <v>2.5583119967135366E-5</v>
      </c>
      <c r="JI9" s="1">
        <f>Table15678910[[#This Row],[Total_Cost_MUSD]]*Table15678910[[#This Row],[prob10-failure_rating3]]/10</f>
        <v>5.6282863927697807E-6</v>
      </c>
      <c r="JJ9" s="1">
        <f>Table15678910[[#This Row],[Total_Cost_MUSD]]*Table15678910[[#This Row],[prob10-failure_rating4]]/10</f>
        <v>2.0466495973708296E-6</v>
      </c>
      <c r="JK9" s="1">
        <f>Table15678910[[#This Row],[Total_Cost_MUSD]]*Table15678910[[#This Row],[prob10-failure_rating5]]/10</f>
        <v>3.5816367953989507E-7</v>
      </c>
      <c r="JL9" s="1">
        <f>Table15678910[[#This Row],[Total_Cost_MUSD]]*Table15678910[[#This Row],[prob10-failure_rating6]]/10</f>
        <v>9.2099231881687316E-8</v>
      </c>
      <c r="JM9" s="1">
        <f>Table15678910[[#This Row],[Total_Cost_MUSD]]*Table15678910[[#This Row],[prob10-failure_rating7]]/10</f>
        <v>9.2099231881687316E-8</v>
      </c>
      <c r="JN9" s="1">
        <f>Table15678910[[#This Row],[Total_Cost_MUSD]]*Table15678910[[#This Row],[prob10-failure_rating8]]/10</f>
        <v>2.0466495973708292E-9</v>
      </c>
      <c r="JO9" s="1">
        <f>Table15678910[[#This Row],[Total_Cost_MUSD]]*Table15678910[[#This Row],[prob10-failure_rating9]]/10</f>
        <v>1.2791559983567682E-9</v>
      </c>
      <c r="JP9" s="1">
        <f>Table15678910[[#This Row],[FailureCost_Rating1]]</f>
        <v>9.0393690550544955E-5</v>
      </c>
      <c r="JQ9" s="1">
        <f>Table15678910[[#This Row],[FailureCost_Rating2]]</f>
        <v>9.0393690550544955E-5</v>
      </c>
      <c r="JR9" s="1">
        <f>(Table15678910[[#This Row],[failurecost500_rating2]]+Table15678910[[#This Row],[failurecost100_rating2]]+Table15678910[[#This Row],[failurecost50_rating2]]+Table15678910[[#This Row],[failurecost10_rating2]])</f>
        <v>9.0393690550544955E-5</v>
      </c>
      <c r="JS9" s="1">
        <f>(Table15678910[[#This Row],[failurecost500_rating3]]+Table15678910[[#This Row],[failurecost100_rating3]]+Table15678910[[#This Row],[failurecost50_rating3]]+Table15678910[[#This Row],[failurecost10_rating3]])</f>
        <v>1.5025819127364171E-5</v>
      </c>
      <c r="JT9" s="1">
        <f>(Table15678910[[#This Row],[failurecost500_rating4]]+Table15678910[[#This Row],[failurecost100_rating4]]+Table15678910[[#This Row],[failurecost50_rating4]]+Table15678910[[#This Row],[failurecost10_rating4]])</f>
        <v>4.5452676474943839E-6</v>
      </c>
      <c r="JU9" s="1">
        <f>(Table15678910[[#This Row],[failurecost500_rating5]]+Table15678910[[#This Row],[failurecost100_rating5]]+Table15678910[[#This Row],[failurecost50_rating5]]+Table15678910[[#This Row],[failurecost10_rating5]])</f>
        <v>1.0608467079705464E-6</v>
      </c>
      <c r="JV9" s="1">
        <f>(Table15678910[[#This Row],[failurecost500_rating6]]+Table15678910[[#This Row],[failurecost100_rating6]]+Table15678910[[#This Row],[failurecost50_rating6]]+Table15678910[[#This Row],[failurecost10_rating6]])</f>
        <v>2.3075974210356097E-7</v>
      </c>
      <c r="JW9" s="1">
        <f>(Table15678910[[#This Row],[failurecost500_rating7]]+Table15678910[[#This Row],[failurecost100_rating7]]+Table15678910[[#This Row],[failurecost50_rating7]]+Table15678910[[#This Row],[failurecost10_rating7]])</f>
        <v>1.6424363018900903E-7</v>
      </c>
      <c r="JX9" s="1">
        <f>(Table15678910[[#This Row],[failurecost500_rating8]]+Table15678910[[#This Row],[failurecost100_rating8]]+Table15678910[[#This Row],[failurecost50_rating8]]+Table15678910[[#This Row],[failurecost10_rating8]])</f>
        <v>2.6163004019723766E-8</v>
      </c>
      <c r="JY9" s="1">
        <f>(Table15678910[[#This Row],[failurecost500_rating9]]+Table15678910[[#This Row],[failurecost100_rating9]]+Table15678910[[#This Row],[failurecost50_rating9]]+Table15678910[[#This Row],[failurecost10_rating9]])</f>
        <v>2.4730349301564185E-9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Table15678910[[#This Row],[Depth10_Soil_vol]]*(9.353+9.027)+(Table15678910[[#This Row],[Depth10_Soil_vol]]/2.5)*20*1.053+(PI()*Table15678910[[#This Row],[Depth10_Scour]])*Table15678910[[#This Row],[DECK_WIDTH_MT_052]]*1.062</f>
        <v>2767.3671308174216</v>
      </c>
      <c r="AR10" s="1">
        <f>Table15678910[[#This Row],[Depth50_Soil_vol]]*(9.353+9.027)+(Table15678910[[#This Row],[Depth50_Soil_vol]]/2.5)*20*1.053+(PI()*Table15678910[[#This Row],[Depth50_Scour]])*Table15678910[[#This Row],[DECK_WIDTH_MT_052]]*1.062</f>
        <v>2942.0444801705157</v>
      </c>
      <c r="AS10" s="1">
        <f>Table15678910[[#This Row],[Depth100_Soil_vol]]*(9.353+9.027)+(Table15678910[[#This Row],[Depth100_Soil_vol]]/2.5)*20*1.053+(PI()*Table15678910[[#This Row],[Depth100_Scour]])*Table15678910[[#This Row],[DECK_WIDTH_MT_052]]*1.062</f>
        <v>3019.9468768096358</v>
      </c>
      <c r="AT10" s="1">
        <f>Table15678910[[#This Row],[Depth500_Soil_vol]]*(9.353+9.027)+(Table15678910[[#This Row],[Depth500_Soil_vol]]/2.5)*20*1.053+(PI()*Table15678910[[#This Row],[Depth500_Scour]])*Table15678910[[#This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10" s="1">
        <v>0.21414284191906768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Sheet4!Q40*$GF$2</f>
        <v>3.0855420681012225E-4</v>
      </c>
      <c r="GM10" s="1">
        <f>Sheet4!R40*$GF$2</f>
        <v>1.7356174133069377E-4</v>
      </c>
      <c r="GN10" s="1">
        <f>Sheet4!S40*$GF$2</f>
        <v>1.1107951445164404E-4</v>
      </c>
      <c r="GO10" s="1">
        <f>Sheet4!T40*$GF$2</f>
        <v>7.7138551702530563E-5</v>
      </c>
      <c r="GP10" s="1">
        <f>Sheet4!U40*$GF$2</f>
        <v>5.667322165900205E-5</v>
      </c>
      <c r="GQ10" s="1">
        <f>Sheet4!V40*$GF$2</f>
        <v>4.3390435332673443E-5</v>
      </c>
      <c r="GR10" s="1">
        <f>Sheet4!W40*$GF$2</f>
        <v>3.4283800756680246E-5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1</v>
      </c>
      <c r="HF10" s="1">
        <v>0.01</v>
      </c>
      <c r="HG10" s="1">
        <v>1.25E-3</v>
      </c>
      <c r="HH10" s="1">
        <v>2.7500000000000002E-4</v>
      </c>
      <c r="HI10" s="1">
        <v>1E-4</v>
      </c>
      <c r="HJ10" s="1">
        <v>1.7499999999999998E-5</v>
      </c>
      <c r="HK10" s="1">
        <v>4.5000000000000001E-6</v>
      </c>
      <c r="HL10" s="1">
        <v>4.5000000000000001E-6</v>
      </c>
      <c r="HM10" s="1">
        <v>9.9999999999999995E-8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Table15678910[[#This Row],[Total_Cost_MUSD]]*Table15678910[[#This Row],[prob500-failure_rating1]]/500</f>
        <v>4.2828568383813533E-6</v>
      </c>
      <c r="IG10" s="1">
        <f>Table15678910[[#This Row],[Total_Cost_MUSD]]*Table15678910[[#This Row],[prob500-failure_rating2]]/500</f>
        <v>2.1414284191906767E-6</v>
      </c>
      <c r="IH10" s="1">
        <f>Table15678910[[#This Row],[Total_Cost_MUSD]]*Table15678910[[#This Row],[prob500-failure_rating3]]/500</f>
        <v>4.711142522219489E-7</v>
      </c>
      <c r="II10" s="1">
        <f>Table15678910[[#This Row],[Total_Cost_MUSD]]*Table15678910[[#This Row],[prob500-failure_rating4]]/500</f>
        <v>1.7131427353525415E-7</v>
      </c>
      <c r="IJ10" s="1">
        <f>Table15678910[[#This Row],[Total_Cost_MUSD]]*Table15678910[[#This Row],[prob500-failure_rating5]]/500</f>
        <v>2.9979997868669474E-8</v>
      </c>
      <c r="IK10" s="1">
        <f>Table15678910[[#This Row],[Total_Cost_MUSD]]*Table15678910[[#This Row],[prob500-failure_rating6]]/500</f>
        <v>7.7091423090864355E-9</v>
      </c>
      <c r="IL10" s="1">
        <f>Table15678910[[#This Row],[Total_Cost_MUSD]]*Table15678910[[#This Row],[prob500-failure_rating7]]/500</f>
        <v>7.7091423090864355E-9</v>
      </c>
      <c r="IM10" s="1">
        <f>Table15678910[[#This Row],[Total_Cost_MUSD]]*Table15678910[[#This Row],[prob500-failure_rating8]]/500</f>
        <v>1.7131427353525413E-10</v>
      </c>
      <c r="IN10" s="1">
        <f>Table15678910[[#This Row],[Total_Cost_MUSD]]*Table15678910[[#This Row],[prob500-failure_rating9]]/500</f>
        <v>1.0707142095953383E-10</v>
      </c>
      <c r="IO10" s="1">
        <f>Table15678910[[#This Row],[Total_Cost_MUSD]]*Table15678910[[#This Row],[prob100-failure_rating1]]/100</f>
        <v>2.1414284191906769E-3</v>
      </c>
      <c r="IP10" s="1">
        <f>Table15678910[[#This Row],[Total_Cost_MUSD]]*Table15678910[[#This Row],[prob100-failure_rating2]]/100</f>
        <v>2.1414284191906768E-5</v>
      </c>
      <c r="IQ10" s="1">
        <f>Table15678910[[#This Row],[Total_Cost_MUSD]]*Table15678910[[#This Row],[prob100-failure_rating3]]/100</f>
        <v>2.676785523988346E-6</v>
      </c>
      <c r="IR10" s="1">
        <f>Table15678910[[#This Row],[Total_Cost_MUSD]]*Table15678910[[#This Row],[prob100-failure_rating4]]/100</f>
        <v>5.8889281527743619E-7</v>
      </c>
      <c r="IS10" s="1">
        <f>Table15678910[[#This Row],[Total_Cost_MUSD]]*Table15678910[[#This Row],[prob100-failure_rating5]]/100</f>
        <v>2.1414284191906769E-7</v>
      </c>
      <c r="IT10" s="1">
        <f>Table15678910[[#This Row],[Total_Cost_MUSD]]*Table15678910[[#This Row],[prob100-failure_rating6]]/100</f>
        <v>3.7474997335836836E-8</v>
      </c>
      <c r="IU10" s="1">
        <f>Table15678910[[#This Row],[Total_Cost_MUSD]]*Table15678910[[#This Row],[prob100-failure_rating7]]/100</f>
        <v>9.6364278863580448E-9</v>
      </c>
      <c r="IV10" s="1">
        <f>Table15678910[[#This Row],[Total_Cost_MUSD]]*Table15678910[[#This Row],[prob100-failure_rating8]]/100</f>
        <v>9.6364278863580448E-9</v>
      </c>
      <c r="IW10" s="1">
        <f>Table15678910[[#This Row],[Total_Cost_MUSD]]*Table15678910[[#This Row],[prob100-failure_rating9]]/100</f>
        <v>2.1414284191906766E-10</v>
      </c>
      <c r="IX10" s="1">
        <f>Table15678910[[#This Row],[Total_Cost_MUSD]]*Table15678910[[#This Row],[prob50-failure_rating1]]/50</f>
        <v>4.2828568383813537E-5</v>
      </c>
      <c r="IY10" s="1">
        <f>Table15678910[[#This Row],[Total_Cost_MUSD]]*Table15678910[[#This Row],[prob50-failure_rating2]]/50</f>
        <v>3.5690473653177947E-6</v>
      </c>
      <c r="IZ10" s="1">
        <f>Table15678910[[#This Row],[Total_Cost_MUSD]]*Table15678910[[#This Row],[prob50-failure_rating3]]/50</f>
        <v>7.8519042036991485E-7</v>
      </c>
      <c r="JA10" s="1">
        <f>Table15678910[[#This Row],[Total_Cost_MUSD]]*Table15678910[[#This Row],[prob50-failure_rating4]]/50</f>
        <v>2.8552378922542359E-7</v>
      </c>
      <c r="JB10" s="1">
        <f>Table15678910[[#This Row],[Total_Cost_MUSD]]*Table15678910[[#This Row],[prob50-failure_rating5]]/50</f>
        <v>4.9966663114449128E-8</v>
      </c>
      <c r="JC10" s="1">
        <f>Table15678910[[#This Row],[Total_Cost_MUSD]]*Table15678910[[#This Row],[prob50-failure_rating6]]/50</f>
        <v>1.2848570515144063E-8</v>
      </c>
      <c r="JD10" s="1">
        <f>Table15678910[[#This Row],[Total_Cost_MUSD]]*Table15678910[[#This Row],[prob50-failure_rating7]]/50</f>
        <v>1.2848570515144063E-8</v>
      </c>
      <c r="JE10" s="1">
        <f>Table15678910[[#This Row],[Total_Cost_MUSD]]*Table15678910[[#This Row],[prob50-failure_rating8]]/50</f>
        <v>2.8552378922542357E-10</v>
      </c>
      <c r="JF10" s="1">
        <f>Table15678910[[#This Row],[Total_Cost_MUSD]]*Table15678910[[#This Row],[prob50-failure_rating9]]/50</f>
        <v>1.7845236826588972E-10</v>
      </c>
      <c r="JG10" s="1">
        <f>Table15678910[[#This Row],[Total_Cost_MUSD]]*Table15678910[[#This Row],[prob10-failure_rating1]]/10</f>
        <v>2.1414284191906768E-4</v>
      </c>
      <c r="JH10" s="1">
        <f>Table15678910[[#This Row],[Total_Cost_MUSD]]*Table15678910[[#This Row],[prob10-failure_rating2]]/10</f>
        <v>1.0707142095953384E-5</v>
      </c>
      <c r="JI10" s="1">
        <f>Table15678910[[#This Row],[Total_Cost_MUSD]]*Table15678910[[#This Row],[prob10-failure_rating3]]/10</f>
        <v>2.3555712611097447E-6</v>
      </c>
      <c r="JJ10" s="1">
        <f>Table15678910[[#This Row],[Total_Cost_MUSD]]*Table15678910[[#This Row],[prob10-failure_rating4]]/10</f>
        <v>8.5657136767627088E-7</v>
      </c>
      <c r="JK10" s="1">
        <f>Table15678910[[#This Row],[Total_Cost_MUSD]]*Table15678910[[#This Row],[prob10-failure_rating5]]/10</f>
        <v>1.4989998934334737E-7</v>
      </c>
      <c r="JL10" s="1">
        <f>Table15678910[[#This Row],[Total_Cost_MUSD]]*Table15678910[[#This Row],[prob10-failure_rating6]]/10</f>
        <v>3.8545711545432186E-8</v>
      </c>
      <c r="JM10" s="1">
        <f>Table15678910[[#This Row],[Total_Cost_MUSD]]*Table15678910[[#This Row],[prob10-failure_rating7]]/10</f>
        <v>3.8545711545432186E-8</v>
      </c>
      <c r="JN10" s="1">
        <f>Table15678910[[#This Row],[Total_Cost_MUSD]]*Table15678910[[#This Row],[prob10-failure_rating8]]/10</f>
        <v>8.5657136767627065E-10</v>
      </c>
      <c r="JO10" s="1">
        <f>Table15678910[[#This Row],[Total_Cost_MUSD]]*Table15678910[[#This Row],[prob10-failure_rating9]]/10</f>
        <v>5.3535710479766917E-10</v>
      </c>
      <c r="JP10" s="1">
        <f>Table15678910[[#This Row],[FailureCost_Rating1]]</f>
        <v>3.7831902072368623E-5</v>
      </c>
      <c r="JQ10" s="1">
        <f>Table15678910[[#This Row],[FailureCost_Rating2]]</f>
        <v>3.7831902072368623E-5</v>
      </c>
      <c r="JR10" s="1">
        <f>(Table15678910[[#This Row],[failurecost500_rating2]]+Table15678910[[#This Row],[failurecost100_rating2]]+Table15678910[[#This Row],[failurecost50_rating2]]+Table15678910[[#This Row],[failurecost10_rating2]])</f>
        <v>3.7831902072368623E-5</v>
      </c>
      <c r="JS10" s="1">
        <f>(Table15678910[[#This Row],[failurecost500_rating3]]+Table15678910[[#This Row],[failurecost100_rating3]]+Table15678910[[#This Row],[failurecost50_rating3]]+Table15678910[[#This Row],[failurecost10_rating3]])</f>
        <v>6.2886614576899548E-6</v>
      </c>
      <c r="JT10" s="1">
        <f>(Table15678910[[#This Row],[failurecost500_rating4]]+Table15678910[[#This Row],[failurecost100_rating4]]+Table15678910[[#This Row],[failurecost50_rating4]]+Table15678910[[#This Row],[failurecost10_rating4]])</f>
        <v>1.9023022457143848E-6</v>
      </c>
      <c r="JU10" s="1">
        <f>(Table15678910[[#This Row],[failurecost500_rating5]]+Table15678910[[#This Row],[failurecost100_rating5]]+Table15678910[[#This Row],[failurecost50_rating5]]+Table15678910[[#This Row],[failurecost10_rating5]])</f>
        <v>4.4398949224553368E-7</v>
      </c>
      <c r="JV10" s="1">
        <f>(Table15678910[[#This Row],[failurecost500_rating6]]+Table15678910[[#This Row],[failurecost100_rating6]]+Table15678910[[#This Row],[failurecost50_rating6]]+Table15678910[[#This Row],[failurecost10_rating6]])</f>
        <v>9.6578421705499524E-8</v>
      </c>
      <c r="JW10" s="1">
        <f>(Table15678910[[#This Row],[failurecost500_rating7]]+Table15678910[[#This Row],[failurecost100_rating7]]+Table15678910[[#This Row],[failurecost50_rating7]]+Table15678910[[#This Row],[failurecost10_rating7]])</f>
        <v>6.8739852256020722E-8</v>
      </c>
      <c r="JX10" s="1">
        <f>(Table15678910[[#This Row],[failurecost500_rating8]]+Table15678910[[#This Row],[failurecost100_rating8]]+Table15678910[[#This Row],[failurecost50_rating8]]+Table15678910[[#This Row],[failurecost10_rating8]])</f>
        <v>1.0949837316794994E-8</v>
      </c>
      <c r="JY10" s="1">
        <f>(Table15678910[[#This Row],[failurecost500_rating9]]+Table15678910[[#This Row],[failurecost100_rating9]]+Table15678910[[#This Row],[failurecost50_rating9]]+Table15678910[[#This Row],[failurecost10_rating9]])</f>
        <v>1.0350237359421604E-9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Table15678910[[#This Row],[Depth10_Soil_vol]]*(9.353+9.027)+(Table15678910[[#This Row],[Depth10_Soil_vol]]/2.5)*20*1.053+(PI()*Table15678910[[#This Row],[Depth10_Scour]])*Table15678910[[#This Row],[DECK_WIDTH_MT_052]]*1.062</f>
        <v>12912.070383440046</v>
      </c>
      <c r="AR11" s="1">
        <f>Table15678910[[#This Row],[Depth50_Soil_vol]]*(9.353+9.027)+(Table15678910[[#This Row],[Depth50_Soil_vol]]/2.5)*20*1.053+(PI()*Table15678910[[#This Row],[Depth50_Scour]])*Table15678910[[#This Row],[DECK_WIDTH_MT_052]]*1.062</f>
        <v>13809.829327894035</v>
      </c>
      <c r="AS11" s="1">
        <f>Table15678910[[#This Row],[Depth100_Soil_vol]]*(9.353+9.027)+(Table15678910[[#This Row],[Depth100_Soil_vol]]/2.5)*20*1.053+(PI()*Table15678910[[#This Row],[Depth100_Scour]])*Table15678910[[#This Row],[DECK_WIDTH_MT_052]]*1.062</f>
        <v>14209.20261771438</v>
      </c>
      <c r="AT11" s="1">
        <f>Table15678910[[#This Row],[Depth500_Soil_vol]]*(9.353+9.027)+(Table15678910[[#This Row],[Depth500_Soil_vol]]/2.5)*20*1.053+(PI()*Table15678910[[#This Row],[Depth500_Scour]])*Table15678910[[#This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11" s="1">
        <v>0.7415102688261348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Sheet4!Q41*$GF$2</f>
        <v>3.085542068101222E-4</v>
      </c>
      <c r="GM11" s="1">
        <f>Sheet4!R41*$GF$2</f>
        <v>1.7356174133069377E-4</v>
      </c>
      <c r="GN11" s="1">
        <f>Sheet4!S41*$GF$2</f>
        <v>1.1107951445164402E-4</v>
      </c>
      <c r="GO11" s="1">
        <f>Sheet4!T41*$GF$2</f>
        <v>7.7138551702530549E-5</v>
      </c>
      <c r="GP11" s="1">
        <f>Sheet4!U41*$GF$2</f>
        <v>5.667322165900205E-5</v>
      </c>
      <c r="GQ11" s="1">
        <f>Sheet4!V41*$GF$2</f>
        <v>4.3390435332673443E-5</v>
      </c>
      <c r="GR11" s="1">
        <f>Sheet4!W41*$GF$2</f>
        <v>3.4283800756680246E-5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1</v>
      </c>
      <c r="HF11" s="1">
        <v>0.01</v>
      </c>
      <c r="HG11" s="1">
        <v>1.25E-3</v>
      </c>
      <c r="HH11" s="1">
        <v>2.7500000000000002E-4</v>
      </c>
      <c r="HI11" s="1">
        <v>1E-4</v>
      </c>
      <c r="HJ11" s="1">
        <v>1.7499999999999998E-5</v>
      </c>
      <c r="HK11" s="1">
        <v>4.5000000000000001E-6</v>
      </c>
      <c r="HL11" s="1">
        <v>4.5000000000000001E-6</v>
      </c>
      <c r="HM11" s="1">
        <v>9.9999999999999995E-8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Table15678910[[#This Row],[Total_Cost_MUSD]]*Table15678910[[#This Row],[prob500-failure_rating1]]/500</f>
        <v>1.4830205376522695E-5</v>
      </c>
      <c r="IG11" s="1">
        <f>Table15678910[[#This Row],[Total_Cost_MUSD]]*Table15678910[[#This Row],[prob500-failure_rating2]]/500</f>
        <v>7.4151026882613477E-6</v>
      </c>
      <c r="IH11" s="1">
        <f>Table15678910[[#This Row],[Total_Cost_MUSD]]*Table15678910[[#This Row],[prob500-failure_rating3]]/500</f>
        <v>1.6313225914174967E-6</v>
      </c>
      <c r="II11" s="1">
        <f>Table15678910[[#This Row],[Total_Cost_MUSD]]*Table15678910[[#This Row],[prob500-failure_rating4]]/500</f>
        <v>5.9320821506090785E-7</v>
      </c>
      <c r="IJ11" s="1">
        <f>Table15678910[[#This Row],[Total_Cost_MUSD]]*Table15678910[[#This Row],[prob500-failure_rating5]]/500</f>
        <v>1.0381143763565885E-7</v>
      </c>
      <c r="IK11" s="1">
        <f>Table15678910[[#This Row],[Total_Cost_MUSD]]*Table15678910[[#This Row],[prob500-failure_rating6]]/500</f>
        <v>2.6694369677740855E-8</v>
      </c>
      <c r="IL11" s="1">
        <f>Table15678910[[#This Row],[Total_Cost_MUSD]]*Table15678910[[#This Row],[prob500-failure_rating7]]/500</f>
        <v>2.6694369677740855E-8</v>
      </c>
      <c r="IM11" s="1">
        <f>Table15678910[[#This Row],[Total_Cost_MUSD]]*Table15678910[[#This Row],[prob500-failure_rating8]]/500</f>
        <v>5.9320821506090786E-10</v>
      </c>
      <c r="IN11" s="1">
        <f>Table15678910[[#This Row],[Total_Cost_MUSD]]*Table15678910[[#This Row],[prob500-failure_rating9]]/500</f>
        <v>3.7075513441306739E-10</v>
      </c>
      <c r="IO11" s="1">
        <f>Table15678910[[#This Row],[Total_Cost_MUSD]]*Table15678910[[#This Row],[prob100-failure_rating1]]/100</f>
        <v>7.4151026882613479E-3</v>
      </c>
      <c r="IP11" s="1">
        <f>Table15678910[[#This Row],[Total_Cost_MUSD]]*Table15678910[[#This Row],[prob100-failure_rating2]]/100</f>
        <v>7.4151026882613474E-5</v>
      </c>
      <c r="IQ11" s="1">
        <f>Table15678910[[#This Row],[Total_Cost_MUSD]]*Table15678910[[#This Row],[prob100-failure_rating3]]/100</f>
        <v>9.2688783603266843E-6</v>
      </c>
      <c r="IR11" s="1">
        <f>Table15678910[[#This Row],[Total_Cost_MUSD]]*Table15678910[[#This Row],[prob100-failure_rating4]]/100</f>
        <v>2.0391532392718711E-6</v>
      </c>
      <c r="IS11" s="1">
        <f>Table15678910[[#This Row],[Total_Cost_MUSD]]*Table15678910[[#This Row],[prob100-failure_rating5]]/100</f>
        <v>7.4151026882613484E-7</v>
      </c>
      <c r="IT11" s="1">
        <f>Table15678910[[#This Row],[Total_Cost_MUSD]]*Table15678910[[#This Row],[prob100-failure_rating6]]/100</f>
        <v>1.2976429704457356E-7</v>
      </c>
      <c r="IU11" s="1">
        <f>Table15678910[[#This Row],[Total_Cost_MUSD]]*Table15678910[[#This Row],[prob100-failure_rating7]]/100</f>
        <v>3.3367962097176066E-8</v>
      </c>
      <c r="IV11" s="1">
        <f>Table15678910[[#This Row],[Total_Cost_MUSD]]*Table15678910[[#This Row],[prob100-failure_rating8]]/100</f>
        <v>3.3367962097176066E-8</v>
      </c>
      <c r="IW11" s="1">
        <f>Table15678910[[#This Row],[Total_Cost_MUSD]]*Table15678910[[#This Row],[prob100-failure_rating9]]/100</f>
        <v>7.4151026882613478E-10</v>
      </c>
      <c r="IX11" s="1">
        <f>Table15678910[[#This Row],[Total_Cost_MUSD]]*Table15678910[[#This Row],[prob50-failure_rating1]]/50</f>
        <v>1.4830205376522695E-4</v>
      </c>
      <c r="IY11" s="1">
        <f>Table15678910[[#This Row],[Total_Cost_MUSD]]*Table15678910[[#This Row],[prob50-failure_rating2]]/50</f>
        <v>1.2358504480435581E-5</v>
      </c>
      <c r="IZ11" s="1">
        <f>Table15678910[[#This Row],[Total_Cost_MUSD]]*Table15678910[[#This Row],[prob50-failure_rating3]]/50</f>
        <v>2.7188709856958278E-6</v>
      </c>
      <c r="JA11" s="1">
        <f>Table15678910[[#This Row],[Total_Cost_MUSD]]*Table15678910[[#This Row],[prob50-failure_rating4]]/50</f>
        <v>9.8868035843484645E-7</v>
      </c>
      <c r="JB11" s="1">
        <f>Table15678910[[#This Row],[Total_Cost_MUSD]]*Table15678910[[#This Row],[prob50-failure_rating5]]/50</f>
        <v>1.7301906272609809E-7</v>
      </c>
      <c r="JC11" s="1">
        <f>Table15678910[[#This Row],[Total_Cost_MUSD]]*Table15678910[[#This Row],[prob50-failure_rating6]]/50</f>
        <v>4.449061612956809E-8</v>
      </c>
      <c r="JD11" s="1">
        <f>Table15678910[[#This Row],[Total_Cost_MUSD]]*Table15678910[[#This Row],[prob50-failure_rating7]]/50</f>
        <v>4.449061612956809E-8</v>
      </c>
      <c r="JE11" s="1">
        <f>Table15678910[[#This Row],[Total_Cost_MUSD]]*Table15678910[[#This Row],[prob50-failure_rating8]]/50</f>
        <v>9.8868035843484637E-10</v>
      </c>
      <c r="JF11" s="1">
        <f>Table15678910[[#This Row],[Total_Cost_MUSD]]*Table15678910[[#This Row],[prob50-failure_rating9]]/50</f>
        <v>6.1792522402177888E-10</v>
      </c>
      <c r="JG11" s="1">
        <f>Table15678910[[#This Row],[Total_Cost_MUSD]]*Table15678910[[#This Row],[prob10-failure_rating1]]/10</f>
        <v>7.4151026882613477E-4</v>
      </c>
      <c r="JH11" s="1">
        <f>Table15678910[[#This Row],[Total_Cost_MUSD]]*Table15678910[[#This Row],[prob10-failure_rating2]]/10</f>
        <v>3.7075513441306737E-5</v>
      </c>
      <c r="JI11" s="1">
        <f>Table15678910[[#This Row],[Total_Cost_MUSD]]*Table15678910[[#This Row],[prob10-failure_rating3]]/10</f>
        <v>8.1566129570874827E-6</v>
      </c>
      <c r="JJ11" s="1">
        <f>Table15678910[[#This Row],[Total_Cost_MUSD]]*Table15678910[[#This Row],[prob10-failure_rating4]]/10</f>
        <v>2.9660410753045394E-6</v>
      </c>
      <c r="JK11" s="1">
        <f>Table15678910[[#This Row],[Total_Cost_MUSD]]*Table15678910[[#This Row],[prob10-failure_rating5]]/10</f>
        <v>5.1905718817829425E-7</v>
      </c>
      <c r="JL11" s="1">
        <f>Table15678910[[#This Row],[Total_Cost_MUSD]]*Table15678910[[#This Row],[prob10-failure_rating6]]/10</f>
        <v>1.3347184838870426E-7</v>
      </c>
      <c r="JM11" s="1">
        <f>Table15678910[[#This Row],[Total_Cost_MUSD]]*Table15678910[[#This Row],[prob10-failure_rating7]]/10</f>
        <v>1.3347184838870426E-7</v>
      </c>
      <c r="JN11" s="1">
        <f>Table15678910[[#This Row],[Total_Cost_MUSD]]*Table15678910[[#This Row],[prob10-failure_rating8]]/10</f>
        <v>2.9660410753045391E-9</v>
      </c>
      <c r="JO11" s="1">
        <f>Table15678910[[#This Row],[Total_Cost_MUSD]]*Table15678910[[#This Row],[prob10-failure_rating9]]/10</f>
        <v>1.8537756720653369E-9</v>
      </c>
      <c r="JP11" s="1">
        <f>Table15678910[[#This Row],[FailureCost_Rating1]]</f>
        <v>1.3100014749261715E-4</v>
      </c>
      <c r="JQ11" s="1">
        <f>Table15678910[[#This Row],[FailureCost_Rating2]]</f>
        <v>1.3100014749261715E-4</v>
      </c>
      <c r="JR11" s="1">
        <f>(Table15678910[[#This Row],[failurecost500_rating2]]+Table15678910[[#This Row],[failurecost100_rating2]]+Table15678910[[#This Row],[failurecost50_rating2]]+Table15678910[[#This Row],[failurecost10_rating2]])</f>
        <v>1.3100014749261715E-4</v>
      </c>
      <c r="JS11" s="1">
        <f>(Table15678910[[#This Row],[failurecost500_rating3]]+Table15678910[[#This Row],[failurecost100_rating3]]+Table15678910[[#This Row],[failurecost50_rating3]]+Table15678910[[#This Row],[failurecost10_rating3]])</f>
        <v>2.1775684894527493E-5</v>
      </c>
      <c r="JT11" s="1">
        <f>(Table15678910[[#This Row],[failurecost500_rating4]]+Table15678910[[#This Row],[failurecost100_rating4]]+Table15678910[[#This Row],[failurecost50_rating4]]+Table15678910[[#This Row],[failurecost10_rating4]])</f>
        <v>6.5870828880721653E-6</v>
      </c>
      <c r="JU11" s="1">
        <f>(Table15678910[[#This Row],[failurecost500_rating5]]+Table15678910[[#This Row],[failurecost100_rating5]]+Table15678910[[#This Row],[failurecost50_rating5]]+Table15678910[[#This Row],[failurecost10_rating5]])</f>
        <v>1.5373979573661861E-6</v>
      </c>
      <c r="JV11" s="1">
        <f>(Table15678910[[#This Row],[failurecost500_rating6]]+Table15678910[[#This Row],[failurecost100_rating6]]+Table15678910[[#This Row],[failurecost50_rating6]]+Table15678910[[#This Row],[failurecost10_rating6]])</f>
        <v>3.3442113124058682E-7</v>
      </c>
      <c r="JW11" s="1">
        <f>(Table15678910[[#This Row],[failurecost500_rating7]]+Table15678910[[#This Row],[failurecost100_rating7]]+Table15678910[[#This Row],[failurecost50_rating7]]+Table15678910[[#This Row],[failurecost10_rating7]])</f>
        <v>2.3802479629318927E-7</v>
      </c>
      <c r="JX11" s="1">
        <f>(Table15678910[[#This Row],[failurecost500_rating8]]+Table15678910[[#This Row],[failurecost100_rating8]]+Table15678910[[#This Row],[failurecost50_rating8]]+Table15678910[[#This Row],[failurecost10_rating8]])</f>
        <v>3.7915891745976366E-8</v>
      </c>
      <c r="JY11" s="1">
        <f>(Table15678910[[#This Row],[failurecost500_rating9]]+Table15678910[[#This Row],[failurecost100_rating9]]+Table15678910[[#This Row],[failurecost50_rating9]]+Table15678910[[#This Row],[failurecost10_rating9]])</f>
        <v>3.5839662993263181E-9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Table15678910[[#This Row],[Depth10_Soil_vol]]*(9.353+9.027)+(Table15678910[[#This Row],[Depth10_Soil_vol]]/2.5)*20*1.053+(PI()*Table15678910[[#This Row],[Depth10_Scour]])*Table15678910[[#This Row],[DECK_WIDTH_MT_052]]*1.062</f>
        <v>6737.4062355001524</v>
      </c>
      <c r="AR12" s="1">
        <f>Table15678910[[#This Row],[Depth50_Soil_vol]]*(9.353+9.027)+(Table15678910[[#This Row],[Depth50_Soil_vol]]/2.5)*20*1.053+(PI()*Table15678910[[#This Row],[Depth50_Scour]])*Table15678910[[#This Row],[DECK_WIDTH_MT_052]]*1.062</f>
        <v>7415.8873465101096</v>
      </c>
      <c r="AS12" s="1">
        <f>Table15678910[[#This Row],[Depth100_Soil_vol]]*(9.353+9.027)+(Table15678910[[#This Row],[Depth100_Soil_vol]]/2.5)*20*1.053+(PI()*Table15678910[[#This Row],[Depth100_Scour]])*Table15678910[[#This Row],[DECK_WIDTH_MT_052]]*1.062</f>
        <v>7705.9386938101106</v>
      </c>
      <c r="AT12" s="1">
        <f>Table15678910[[#This Row],[Depth500_Soil_vol]]*(9.353+9.027)+(Table15678910[[#This Row],[Depth500_Soil_vol]]/2.5)*20*1.053+(PI()*Table15678910[[#This Row],[Depth500_Scour]])*Table15678910[[#This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12" s="1">
        <v>0.14725942087890762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Sheet4!Q42*$GF$2</f>
        <v>3.085542068101222E-4</v>
      </c>
      <c r="GM12" s="1">
        <f>Sheet4!R42*$GF$2</f>
        <v>1.7356174133069377E-4</v>
      </c>
      <c r="GN12" s="1">
        <f>Sheet4!S42*$GF$2</f>
        <v>1.11079514451644E-4</v>
      </c>
      <c r="GO12" s="1">
        <f>Sheet4!T42*$GF$2</f>
        <v>7.7138551702530549E-5</v>
      </c>
      <c r="GP12" s="1">
        <f>Sheet4!U42*$GF$2</f>
        <v>5.6673221659002037E-5</v>
      </c>
      <c r="GQ12" s="1">
        <f>Sheet4!V42*$GF$2</f>
        <v>4.3390435332673443E-5</v>
      </c>
      <c r="GR12" s="1">
        <f>Sheet4!W42*$GF$2</f>
        <v>3.4283800756680246E-5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1</v>
      </c>
      <c r="HF12" s="1">
        <v>0.01</v>
      </c>
      <c r="HG12" s="1">
        <v>1.25E-3</v>
      </c>
      <c r="HH12" s="1">
        <v>2.7500000000000002E-4</v>
      </c>
      <c r="HI12" s="1">
        <v>1E-4</v>
      </c>
      <c r="HJ12" s="1">
        <v>1.7499999999999998E-5</v>
      </c>
      <c r="HK12" s="1">
        <v>4.5000000000000001E-6</v>
      </c>
      <c r="HL12" s="1">
        <v>4.5000000000000001E-6</v>
      </c>
      <c r="HM12" s="1">
        <v>9.9999999999999995E-8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Table15678910[[#This Row],[Total_Cost_MUSD]]*Table15678910[[#This Row],[prob500-failure_rating1]]/500</f>
        <v>2.9451884175781521E-6</v>
      </c>
      <c r="IG12" s="1">
        <f>Table15678910[[#This Row],[Total_Cost_MUSD]]*Table15678910[[#This Row],[prob500-failure_rating2]]/500</f>
        <v>1.472594208789076E-6</v>
      </c>
      <c r="IH12" s="1">
        <f>Table15678910[[#This Row],[Total_Cost_MUSD]]*Table15678910[[#This Row],[prob500-failure_rating3]]/500</f>
        <v>3.2397072593359679E-7</v>
      </c>
      <c r="II12" s="1">
        <f>Table15678910[[#This Row],[Total_Cost_MUSD]]*Table15678910[[#This Row],[prob500-failure_rating4]]/500</f>
        <v>1.1780753670312609E-7</v>
      </c>
      <c r="IJ12" s="1">
        <f>Table15678910[[#This Row],[Total_Cost_MUSD]]*Table15678910[[#This Row],[prob500-failure_rating5]]/500</f>
        <v>2.0616318923047063E-8</v>
      </c>
      <c r="IK12" s="1">
        <f>Table15678910[[#This Row],[Total_Cost_MUSD]]*Table15678910[[#This Row],[prob500-failure_rating6]]/500</f>
        <v>5.3013391516406742E-9</v>
      </c>
      <c r="IL12" s="1">
        <f>Table15678910[[#This Row],[Total_Cost_MUSD]]*Table15678910[[#This Row],[prob500-failure_rating7]]/500</f>
        <v>5.3013391516406742E-9</v>
      </c>
      <c r="IM12" s="1">
        <f>Table15678910[[#This Row],[Total_Cost_MUSD]]*Table15678910[[#This Row],[prob500-failure_rating8]]/500</f>
        <v>1.1780753670312609E-10</v>
      </c>
      <c r="IN12" s="1">
        <f>Table15678910[[#This Row],[Total_Cost_MUSD]]*Table15678910[[#This Row],[prob500-failure_rating9]]/500</f>
        <v>7.362971043945381E-11</v>
      </c>
      <c r="IO12" s="1">
        <f>Table15678910[[#This Row],[Total_Cost_MUSD]]*Table15678910[[#This Row],[prob100-failure_rating1]]/100</f>
        <v>1.4725942087890761E-3</v>
      </c>
      <c r="IP12" s="1">
        <f>Table15678910[[#This Row],[Total_Cost_MUSD]]*Table15678910[[#This Row],[prob100-failure_rating2]]/100</f>
        <v>1.4725942087890762E-5</v>
      </c>
      <c r="IQ12" s="1">
        <f>Table15678910[[#This Row],[Total_Cost_MUSD]]*Table15678910[[#This Row],[prob100-failure_rating3]]/100</f>
        <v>1.8407427609863452E-6</v>
      </c>
      <c r="IR12" s="1">
        <f>Table15678910[[#This Row],[Total_Cost_MUSD]]*Table15678910[[#This Row],[prob100-failure_rating4]]/100</f>
        <v>4.0496340741699598E-7</v>
      </c>
      <c r="IS12" s="1">
        <f>Table15678910[[#This Row],[Total_Cost_MUSD]]*Table15678910[[#This Row],[prob100-failure_rating5]]/100</f>
        <v>1.4725942087890761E-7</v>
      </c>
      <c r="IT12" s="1">
        <f>Table15678910[[#This Row],[Total_Cost_MUSD]]*Table15678910[[#This Row],[prob100-failure_rating6]]/100</f>
        <v>2.577039865380883E-8</v>
      </c>
      <c r="IU12" s="1">
        <f>Table15678910[[#This Row],[Total_Cost_MUSD]]*Table15678910[[#This Row],[prob100-failure_rating7]]/100</f>
        <v>6.6266739395508426E-9</v>
      </c>
      <c r="IV12" s="1">
        <f>Table15678910[[#This Row],[Total_Cost_MUSD]]*Table15678910[[#This Row],[prob100-failure_rating8]]/100</f>
        <v>6.6266739395508426E-9</v>
      </c>
      <c r="IW12" s="1">
        <f>Table15678910[[#This Row],[Total_Cost_MUSD]]*Table15678910[[#This Row],[prob100-failure_rating9]]/100</f>
        <v>1.4725942087890762E-10</v>
      </c>
      <c r="IX12" s="1">
        <f>Table15678910[[#This Row],[Total_Cost_MUSD]]*Table15678910[[#This Row],[prob50-failure_rating1]]/50</f>
        <v>2.9451884175781523E-5</v>
      </c>
      <c r="IY12" s="1">
        <f>Table15678910[[#This Row],[Total_Cost_MUSD]]*Table15678910[[#This Row],[prob50-failure_rating2]]/50</f>
        <v>2.4543236813151269E-6</v>
      </c>
      <c r="IZ12" s="1">
        <f>Table15678910[[#This Row],[Total_Cost_MUSD]]*Table15678910[[#This Row],[prob50-failure_rating3]]/50</f>
        <v>5.399512098893279E-7</v>
      </c>
      <c r="JA12" s="1">
        <f>Table15678910[[#This Row],[Total_Cost_MUSD]]*Table15678910[[#This Row],[prob50-failure_rating4]]/50</f>
        <v>1.9634589450521014E-7</v>
      </c>
      <c r="JB12" s="1">
        <f>Table15678910[[#This Row],[Total_Cost_MUSD]]*Table15678910[[#This Row],[prob50-failure_rating5]]/50</f>
        <v>3.4360531538411773E-8</v>
      </c>
      <c r="JC12" s="1">
        <f>Table15678910[[#This Row],[Total_Cost_MUSD]]*Table15678910[[#This Row],[prob50-failure_rating6]]/50</f>
        <v>8.8355652527344573E-9</v>
      </c>
      <c r="JD12" s="1">
        <f>Table15678910[[#This Row],[Total_Cost_MUSD]]*Table15678910[[#This Row],[prob50-failure_rating7]]/50</f>
        <v>8.8355652527344573E-9</v>
      </c>
      <c r="JE12" s="1">
        <f>Table15678910[[#This Row],[Total_Cost_MUSD]]*Table15678910[[#This Row],[prob50-failure_rating8]]/50</f>
        <v>1.9634589450521017E-10</v>
      </c>
      <c r="JF12" s="1">
        <f>Table15678910[[#This Row],[Total_Cost_MUSD]]*Table15678910[[#This Row],[prob50-failure_rating9]]/50</f>
        <v>1.2271618406575635E-10</v>
      </c>
      <c r="JG12" s="1">
        <f>Table15678910[[#This Row],[Total_Cost_MUSD]]*Table15678910[[#This Row],[prob10-failure_rating1]]/10</f>
        <v>1.4725942087890761E-4</v>
      </c>
      <c r="JH12" s="1">
        <f>Table15678910[[#This Row],[Total_Cost_MUSD]]*Table15678910[[#This Row],[prob10-failure_rating2]]/10</f>
        <v>7.36297104394538E-6</v>
      </c>
      <c r="JI12" s="1">
        <f>Table15678910[[#This Row],[Total_Cost_MUSD]]*Table15678910[[#This Row],[prob10-failure_rating3]]/10</f>
        <v>1.6198536296679839E-6</v>
      </c>
      <c r="JJ12" s="1">
        <f>Table15678910[[#This Row],[Total_Cost_MUSD]]*Table15678910[[#This Row],[prob10-failure_rating4]]/10</f>
        <v>5.8903768351563046E-7</v>
      </c>
      <c r="JK12" s="1">
        <f>Table15678910[[#This Row],[Total_Cost_MUSD]]*Table15678910[[#This Row],[prob10-failure_rating5]]/10</f>
        <v>1.0308159461523532E-7</v>
      </c>
      <c r="JL12" s="1">
        <f>Table15678910[[#This Row],[Total_Cost_MUSD]]*Table15678910[[#This Row],[prob10-failure_rating6]]/10</f>
        <v>2.650669575820337E-8</v>
      </c>
      <c r="JM12" s="1">
        <f>Table15678910[[#This Row],[Total_Cost_MUSD]]*Table15678910[[#This Row],[prob10-failure_rating7]]/10</f>
        <v>2.650669575820337E-8</v>
      </c>
      <c r="JN12" s="1">
        <f>Table15678910[[#This Row],[Total_Cost_MUSD]]*Table15678910[[#This Row],[prob10-failure_rating8]]/10</f>
        <v>5.8903768351563048E-10</v>
      </c>
      <c r="JO12" s="1">
        <f>Table15678910[[#This Row],[Total_Cost_MUSD]]*Table15678910[[#This Row],[prob10-failure_rating9]]/10</f>
        <v>3.6814855219726904E-10</v>
      </c>
      <c r="JP12" s="1">
        <f>Table15678910[[#This Row],[FailureCost_Rating1]]</f>
        <v>2.6015831021940343E-5</v>
      </c>
      <c r="JQ12" s="1">
        <f>Table15678910[[#This Row],[FailureCost_Rating2]]</f>
        <v>2.6015831021940343E-5</v>
      </c>
      <c r="JR12" s="1">
        <f>(Table15678910[[#This Row],[failurecost500_rating2]]+Table15678910[[#This Row],[failurecost100_rating2]]+Table15678910[[#This Row],[failurecost50_rating2]]+Table15678910[[#This Row],[failurecost10_rating2]])</f>
        <v>2.6015831021940343E-5</v>
      </c>
      <c r="JS12" s="1">
        <f>(Table15678910[[#This Row],[failurecost500_rating3]]+Table15678910[[#This Row],[failurecost100_rating3]]+Table15678910[[#This Row],[failurecost50_rating3]]+Table15678910[[#This Row],[failurecost10_rating3]])</f>
        <v>4.3245183264772536E-6</v>
      </c>
      <c r="JT12" s="1">
        <f>(Table15678910[[#This Row],[failurecost500_rating4]]+Table15678910[[#This Row],[failurecost100_rating4]]+Table15678910[[#This Row],[failurecost50_rating4]]+Table15678910[[#This Row],[failurecost10_rating4]])</f>
        <v>1.3081545221409626E-6</v>
      </c>
      <c r="JU12" s="1">
        <f>(Table15678910[[#This Row],[failurecost500_rating5]]+Table15678910[[#This Row],[failurecost100_rating5]]+Table15678910[[#This Row],[failurecost50_rating5]]+Table15678910[[#This Row],[failurecost10_rating5]])</f>
        <v>3.0531786595560179E-7</v>
      </c>
      <c r="JV12" s="1">
        <f>(Table15678910[[#This Row],[failurecost500_rating6]]+Table15678910[[#This Row],[failurecost100_rating6]]+Table15678910[[#This Row],[failurecost50_rating6]]+Table15678910[[#This Row],[failurecost10_rating6]])</f>
        <v>6.6413998816387343E-8</v>
      </c>
      <c r="JW12" s="1">
        <f>(Table15678910[[#This Row],[failurecost500_rating7]]+Table15678910[[#This Row],[failurecost100_rating7]]+Table15678910[[#This Row],[failurecost50_rating7]]+Table15678910[[#This Row],[failurecost10_rating7]])</f>
        <v>4.7270274102129344E-8</v>
      </c>
      <c r="JX12" s="1">
        <f>(Table15678910[[#This Row],[failurecost500_rating8]]+Table15678910[[#This Row],[failurecost100_rating8]]+Table15678910[[#This Row],[failurecost50_rating8]]+Table15678910[[#This Row],[failurecost10_rating8]])</f>
        <v>7.5298650542748093E-9</v>
      </c>
      <c r="JY12" s="1">
        <f>(Table15678910[[#This Row],[failurecost500_rating9]]+Table15678910[[#This Row],[failurecost100_rating9]]+Table15678910[[#This Row],[failurecost50_rating9]]+Table15678910[[#This Row],[failurecost10_rating9]])</f>
        <v>7.1175386758138678E-10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Table15678910[[#This Row],[Depth10_Soil_vol]]*(9.353+9.027)+(Table15678910[[#This Row],[Depth10_Soil_vol]]/2.5)*20*1.053+(PI()*Table15678910[[#This Row],[Depth10_Scour]])*Table15678910[[#This Row],[DECK_WIDTH_MT_052]]*1.062</f>
        <v>6992.666213599131</v>
      </c>
      <c r="AR13" s="1">
        <f>Table15678910[[#This Row],[Depth50_Soil_vol]]*(9.353+9.027)+(Table15678910[[#This Row],[Depth50_Soil_vol]]/2.5)*20*1.053+(PI()*Table15678910[[#This Row],[Depth50_Scour]])*Table15678910[[#This Row],[DECK_WIDTH_MT_052]]*1.062</f>
        <v>8975.9969727162606</v>
      </c>
      <c r="AS13" s="1">
        <f>Table15678910[[#This Row],[Depth100_Soil_vol]]*(9.353+9.027)+(Table15678910[[#This Row],[Depth100_Soil_vol]]/2.5)*20*1.053+(PI()*Table15678910[[#This Row],[Depth100_Scour]])*Table15678910[[#This Row],[DECK_WIDTH_MT_052]]*1.062</f>
        <v>9724.0394899581861</v>
      </c>
      <c r="AT13" s="1">
        <f>Table15678910[[#This Row],[Depth500_Soil_vol]]*(9.353+9.027)+(Table15678910[[#This Row],[Depth500_Soil_vol]]/2.5)*20*1.053+(PI()*Table15678910[[#This Row],[Depth500_Scour]])*Table15678910[[#This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</v>
      </c>
      <c r="GF13" s="1">
        <v>0.30823946562341908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Sheet4!Q43*$GF$2</f>
        <v>3.085542068101222E-4</v>
      </c>
      <c r="GM13" s="1">
        <f>Sheet4!R43*$GF$2</f>
        <v>1.7356174133069377E-4</v>
      </c>
      <c r="GN13" s="1">
        <f>Sheet4!S43*$GF$2</f>
        <v>1.1107951445164404E-4</v>
      </c>
      <c r="GO13" s="1">
        <f>Sheet4!T43*$GF$2</f>
        <v>7.7138551702530549E-5</v>
      </c>
      <c r="GP13" s="1">
        <f>Sheet4!U43*$GF$2</f>
        <v>5.6673221659002057E-5</v>
      </c>
      <c r="GQ13" s="1">
        <f>Sheet4!V43*$GF$2</f>
        <v>4.3390435332673443E-5</v>
      </c>
      <c r="GR13" s="1">
        <f>Sheet4!W43*$GF$2</f>
        <v>3.4283800756680246E-5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1</v>
      </c>
      <c r="HF13" s="1">
        <v>0.01</v>
      </c>
      <c r="HG13" s="1">
        <v>1.25E-3</v>
      </c>
      <c r="HH13" s="1">
        <v>2.7500000000000002E-4</v>
      </c>
      <c r="HI13" s="1">
        <v>1E-4</v>
      </c>
      <c r="HJ13" s="1">
        <v>1.7499999999999998E-5</v>
      </c>
      <c r="HK13" s="1">
        <v>4.5000000000000001E-6</v>
      </c>
      <c r="HL13" s="1">
        <v>4.5000000000000001E-6</v>
      </c>
      <c r="HM13" s="1">
        <v>9.9999999999999995E-8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Table15678910[[#This Row],[Total_Cost_MUSD]]*Table15678910[[#This Row],[prob500-failure_rating1]]/500</f>
        <v>6.1647893124683813E-6</v>
      </c>
      <c r="IG13" s="1">
        <f>Table15678910[[#This Row],[Total_Cost_MUSD]]*Table15678910[[#This Row],[prob500-failure_rating2]]/500</f>
        <v>3.0823946562341906E-6</v>
      </c>
      <c r="IH13" s="1">
        <f>Table15678910[[#This Row],[Total_Cost_MUSD]]*Table15678910[[#This Row],[prob500-failure_rating3]]/500</f>
        <v>6.7812682437152201E-7</v>
      </c>
      <c r="II13" s="1">
        <f>Table15678910[[#This Row],[Total_Cost_MUSD]]*Table15678910[[#This Row],[prob500-failure_rating4]]/500</f>
        <v>2.4659157249873525E-7</v>
      </c>
      <c r="IJ13" s="1">
        <f>Table15678910[[#This Row],[Total_Cost_MUSD]]*Table15678910[[#This Row],[prob500-failure_rating5]]/500</f>
        <v>4.3153525187278668E-8</v>
      </c>
      <c r="IK13" s="1">
        <f>Table15678910[[#This Row],[Total_Cost_MUSD]]*Table15678910[[#This Row],[prob500-failure_rating6]]/500</f>
        <v>1.1096620762443087E-8</v>
      </c>
      <c r="IL13" s="1">
        <f>Table15678910[[#This Row],[Total_Cost_MUSD]]*Table15678910[[#This Row],[prob500-failure_rating7]]/500</f>
        <v>1.1096620762443087E-8</v>
      </c>
      <c r="IM13" s="1">
        <f>Table15678910[[#This Row],[Total_Cost_MUSD]]*Table15678910[[#This Row],[prob500-failure_rating8]]/500</f>
        <v>2.4659157249873524E-10</v>
      </c>
      <c r="IN13" s="1">
        <f>Table15678910[[#This Row],[Total_Cost_MUSD]]*Table15678910[[#This Row],[prob500-failure_rating9]]/500</f>
        <v>1.5411973281170955E-10</v>
      </c>
      <c r="IO13" s="1">
        <f>Table15678910[[#This Row],[Total_Cost_MUSD]]*Table15678910[[#This Row],[prob100-failure_rating1]]/100</f>
        <v>3.0823946562341907E-3</v>
      </c>
      <c r="IP13" s="1">
        <f>Table15678910[[#This Row],[Total_Cost_MUSD]]*Table15678910[[#This Row],[prob100-failure_rating2]]/100</f>
        <v>3.0823946562341908E-5</v>
      </c>
      <c r="IQ13" s="1">
        <f>Table15678910[[#This Row],[Total_Cost_MUSD]]*Table15678910[[#This Row],[prob100-failure_rating3]]/100</f>
        <v>3.8529933202927385E-6</v>
      </c>
      <c r="IR13" s="1">
        <f>Table15678910[[#This Row],[Total_Cost_MUSD]]*Table15678910[[#This Row],[prob100-failure_rating4]]/100</f>
        <v>8.4765853046440251E-7</v>
      </c>
      <c r="IS13" s="1">
        <f>Table15678910[[#This Row],[Total_Cost_MUSD]]*Table15678910[[#This Row],[prob100-failure_rating5]]/100</f>
        <v>3.0823946562341909E-7</v>
      </c>
      <c r="IT13" s="1">
        <f>Table15678910[[#This Row],[Total_Cost_MUSD]]*Table15678910[[#This Row],[prob100-failure_rating6]]/100</f>
        <v>5.3941906484098332E-8</v>
      </c>
      <c r="IU13" s="1">
        <f>Table15678910[[#This Row],[Total_Cost_MUSD]]*Table15678910[[#This Row],[prob100-failure_rating7]]/100</f>
        <v>1.3870775953053858E-8</v>
      </c>
      <c r="IV13" s="1">
        <f>Table15678910[[#This Row],[Total_Cost_MUSD]]*Table15678910[[#This Row],[prob100-failure_rating8]]/100</f>
        <v>1.3870775953053858E-8</v>
      </c>
      <c r="IW13" s="1">
        <f>Table15678910[[#This Row],[Total_Cost_MUSD]]*Table15678910[[#This Row],[prob100-failure_rating9]]/100</f>
        <v>3.0823946562341905E-10</v>
      </c>
      <c r="IX13" s="1">
        <f>Table15678910[[#This Row],[Total_Cost_MUSD]]*Table15678910[[#This Row],[prob50-failure_rating1]]/50</f>
        <v>6.1647893124683816E-5</v>
      </c>
      <c r="IY13" s="1">
        <f>Table15678910[[#This Row],[Total_Cost_MUSD]]*Table15678910[[#This Row],[prob50-failure_rating2]]/50</f>
        <v>5.1373244270569855E-6</v>
      </c>
      <c r="IZ13" s="1">
        <f>Table15678910[[#This Row],[Total_Cost_MUSD]]*Table15678910[[#This Row],[prob50-failure_rating3]]/50</f>
        <v>1.1302113739525367E-6</v>
      </c>
      <c r="JA13" s="1">
        <f>Table15678910[[#This Row],[Total_Cost_MUSD]]*Table15678910[[#This Row],[prob50-failure_rating4]]/50</f>
        <v>4.109859541645588E-7</v>
      </c>
      <c r="JB13" s="1">
        <f>Table15678910[[#This Row],[Total_Cost_MUSD]]*Table15678910[[#This Row],[prob50-failure_rating5]]/50</f>
        <v>7.1922541978797794E-8</v>
      </c>
      <c r="JC13" s="1">
        <f>Table15678910[[#This Row],[Total_Cost_MUSD]]*Table15678910[[#This Row],[prob50-failure_rating6]]/50</f>
        <v>1.8494367937405144E-8</v>
      </c>
      <c r="JD13" s="1">
        <f>Table15678910[[#This Row],[Total_Cost_MUSD]]*Table15678910[[#This Row],[prob50-failure_rating7]]/50</f>
        <v>1.8494367937405144E-8</v>
      </c>
      <c r="JE13" s="1">
        <f>Table15678910[[#This Row],[Total_Cost_MUSD]]*Table15678910[[#This Row],[prob50-failure_rating8]]/50</f>
        <v>4.1098595416455882E-10</v>
      </c>
      <c r="JF13" s="1">
        <f>Table15678910[[#This Row],[Total_Cost_MUSD]]*Table15678910[[#This Row],[prob50-failure_rating9]]/50</f>
        <v>2.5686622135284922E-10</v>
      </c>
      <c r="JG13" s="1">
        <f>Table15678910[[#This Row],[Total_Cost_MUSD]]*Table15678910[[#This Row],[prob10-failure_rating1]]/10</f>
        <v>3.0823946562341908E-4</v>
      </c>
      <c r="JH13" s="1">
        <f>Table15678910[[#This Row],[Total_Cost_MUSD]]*Table15678910[[#This Row],[prob10-failure_rating2]]/10</f>
        <v>1.5411973281170954E-5</v>
      </c>
      <c r="JI13" s="1">
        <f>Table15678910[[#This Row],[Total_Cost_MUSD]]*Table15678910[[#This Row],[prob10-failure_rating3]]/10</f>
        <v>3.3906341218576105E-6</v>
      </c>
      <c r="JJ13" s="1">
        <f>Table15678910[[#This Row],[Total_Cost_MUSD]]*Table15678910[[#This Row],[prob10-failure_rating4]]/10</f>
        <v>1.2329578624936763E-6</v>
      </c>
      <c r="JK13" s="1">
        <f>Table15678910[[#This Row],[Total_Cost_MUSD]]*Table15678910[[#This Row],[prob10-failure_rating5]]/10</f>
        <v>2.1576762593639333E-7</v>
      </c>
      <c r="JL13" s="1">
        <f>Table15678910[[#This Row],[Total_Cost_MUSD]]*Table15678910[[#This Row],[prob10-failure_rating6]]/10</f>
        <v>5.5483103812215444E-8</v>
      </c>
      <c r="JM13" s="1">
        <f>Table15678910[[#This Row],[Total_Cost_MUSD]]*Table15678910[[#This Row],[prob10-failure_rating7]]/10</f>
        <v>5.5483103812215444E-8</v>
      </c>
      <c r="JN13" s="1">
        <f>Table15678910[[#This Row],[Total_Cost_MUSD]]*Table15678910[[#This Row],[prob10-failure_rating8]]/10</f>
        <v>1.2329578624936764E-9</v>
      </c>
      <c r="JO13" s="1">
        <f>Table15678910[[#This Row],[Total_Cost_MUSD]]*Table15678910[[#This Row],[prob10-failure_rating9]]/10</f>
        <v>7.7059866405854765E-10</v>
      </c>
      <c r="JP13" s="1">
        <f>Table15678910[[#This Row],[FailureCost_Rating1]]</f>
        <v>5.4455638926804035E-5</v>
      </c>
      <c r="JQ13" s="1">
        <f>Table15678910[[#This Row],[FailureCost_Rating2]]</f>
        <v>5.4455638926804035E-5</v>
      </c>
      <c r="JR13" s="1">
        <f>(Table15678910[[#This Row],[failurecost500_rating2]]+Table15678910[[#This Row],[failurecost100_rating2]]+Table15678910[[#This Row],[failurecost50_rating2]]+Table15678910[[#This Row],[failurecost10_rating2]])</f>
        <v>5.4455638926804035E-5</v>
      </c>
      <c r="JS13" s="1">
        <f>(Table15678910[[#This Row],[failurecost500_rating3]]+Table15678910[[#This Row],[failurecost100_rating3]]+Table15678910[[#This Row],[failurecost50_rating3]]+Table15678910[[#This Row],[failurecost10_rating3]])</f>
        <v>9.0519656404744068E-6</v>
      </c>
      <c r="JT13" s="1">
        <f>(Table15678910[[#This Row],[failurecost500_rating4]]+Table15678910[[#This Row],[failurecost100_rating4]]+Table15678910[[#This Row],[failurecost50_rating4]]+Table15678910[[#This Row],[failurecost10_rating4]])</f>
        <v>2.7381939196213732E-6</v>
      </c>
      <c r="JU13" s="1">
        <f>(Table15678910[[#This Row],[failurecost500_rating5]]+Table15678910[[#This Row],[failurecost100_rating5]]+Table15678910[[#This Row],[failurecost50_rating5]]+Table15678910[[#This Row],[failurecost10_rating5]])</f>
        <v>6.3908315872588886E-7</v>
      </c>
      <c r="JV13" s="1">
        <f>(Table15678910[[#This Row],[failurecost500_rating6]]+Table15678910[[#This Row],[failurecost100_rating6]]+Table15678910[[#This Row],[failurecost50_rating6]]+Table15678910[[#This Row],[failurecost10_rating6]])</f>
        <v>1.3901599899616202E-7</v>
      </c>
      <c r="JW13" s="1">
        <f>(Table15678910[[#This Row],[failurecost500_rating7]]+Table15678910[[#This Row],[failurecost100_rating7]]+Table15678910[[#This Row],[failurecost50_rating7]]+Table15678910[[#This Row],[failurecost10_rating7]])</f>
        <v>9.8944868465117532E-8</v>
      </c>
      <c r="JX13" s="1">
        <f>(Table15678910[[#This Row],[failurecost500_rating8]]+Table15678910[[#This Row],[failurecost100_rating8]]+Table15678910[[#This Row],[failurecost50_rating8]]+Table15678910[[#This Row],[failurecost10_rating8]])</f>
        <v>1.5761311342210828E-8</v>
      </c>
      <c r="JY13" s="1">
        <f>(Table15678910[[#This Row],[failurecost500_rating9]]+Table15678910[[#This Row],[failurecost100_rating9]]+Table15678910[[#This Row],[failurecost50_rating9]]+Table15678910[[#This Row],[failurecost10_rating9]])</f>
        <v>1.4898240838465254E-9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Table15678910[[#This Row],[Depth10_Soil_vol]]*(9.353+9.027)+(Table15678910[[#This Row],[Depth10_Soil_vol]]/2.5)*20*1.053+(PI()*Table15678910[[#This Row],[Depth10_Scour]])*Table15678910[[#This Row],[DECK_WIDTH_MT_052]]*1.062</f>
        <v>13653.389769605932</v>
      </c>
      <c r="AR14" s="1">
        <f>Table15678910[[#This Row],[Depth50_Soil_vol]]*(9.353+9.027)+(Table15678910[[#This Row],[Depth50_Soil_vol]]/2.5)*20*1.053+(PI()*Table15678910[[#This Row],[Depth50_Scour]])*Table15678910[[#This Row],[DECK_WIDTH_MT_052]]*1.062</f>
        <v>14501.430182908143</v>
      </c>
      <c r="AS14" s="1">
        <f>Table15678910[[#This Row],[Depth100_Soil_vol]]*(9.353+9.027)+(Table15678910[[#This Row],[Depth100_Soil_vol]]/2.5)*20*1.053+(PI()*Table15678910[[#This Row],[Depth100_Scour]])*Table15678910[[#This Row],[DECK_WIDTH_MT_052]]*1.062</f>
        <v>14880.875971506524</v>
      </c>
      <c r="AT14" s="1">
        <f>Table15678910[[#This Row],[Depth500_Soil_vol]]*(9.353+9.027)+(Table15678910[[#This Row],[Depth500_Soil_vol]]/2.5)*20*1.053+(PI()*Table15678910[[#This Row],[Depth500_Scour]])*Table15678910[[#This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0.52800000000000002</v>
      </c>
      <c r="GF14" s="1">
        <v>1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Sheet4!Q44*$GF$2</f>
        <v>3.085542068101222E-4</v>
      </c>
      <c r="GM14" s="1">
        <f>Sheet4!R44*$GF$2</f>
        <v>1.735617413306938E-4</v>
      </c>
      <c r="GN14" s="1">
        <f>Sheet4!S44*$GF$2</f>
        <v>1.1107951445164402E-4</v>
      </c>
      <c r="GO14" s="1">
        <f>Sheet4!T44*$GF$2</f>
        <v>7.7138551702530549E-5</v>
      </c>
      <c r="GP14" s="1">
        <f>Sheet4!U44*$GF$2</f>
        <v>5.667322165900205E-5</v>
      </c>
      <c r="GQ14" s="1">
        <f>Sheet4!V44*$GF$2</f>
        <v>4.339043533267345E-5</v>
      </c>
      <c r="GR14" s="1">
        <f>Sheet4!W44*$GF$2</f>
        <v>3.4283800756680246E-5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1</v>
      </c>
      <c r="HF14" s="1">
        <v>0.01</v>
      </c>
      <c r="HG14" s="1">
        <v>1.25E-3</v>
      </c>
      <c r="HH14" s="1">
        <v>2.7500000000000002E-4</v>
      </c>
      <c r="HI14" s="1">
        <v>1E-4</v>
      </c>
      <c r="HJ14" s="1">
        <v>1.7499999999999998E-5</v>
      </c>
      <c r="HK14" s="1">
        <v>4.5000000000000001E-6</v>
      </c>
      <c r="HL14" s="1">
        <v>4.5000000000000001E-6</v>
      </c>
      <c r="HM14" s="1">
        <v>9.9999999999999995E-8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Table15678910[[#This Row],[Total_Cost_MUSD]]*Table15678910[[#This Row],[prob500-failure_rating1]]/500</f>
        <v>2.0000000000000002E-5</v>
      </c>
      <c r="IG14" s="1">
        <f>Table15678910[[#This Row],[Total_Cost_MUSD]]*Table15678910[[#This Row],[prob500-failure_rating2]]/500</f>
        <v>1.0000000000000001E-5</v>
      </c>
      <c r="IH14" s="1">
        <f>Table15678910[[#This Row],[Total_Cost_MUSD]]*Table15678910[[#This Row],[prob500-failure_rating3]]/500</f>
        <v>2.2000000000000001E-6</v>
      </c>
      <c r="II14" s="1">
        <f>Table15678910[[#This Row],[Total_Cost_MUSD]]*Table15678910[[#This Row],[prob500-failure_rating4]]/500</f>
        <v>8.0000000000000007E-7</v>
      </c>
      <c r="IJ14" s="1">
        <f>Table15678910[[#This Row],[Total_Cost_MUSD]]*Table15678910[[#This Row],[prob500-failure_rating5]]/500</f>
        <v>1.3999999999999998E-7</v>
      </c>
      <c r="IK14" s="1">
        <f>Table15678910[[#This Row],[Total_Cost_MUSD]]*Table15678910[[#This Row],[prob500-failure_rating6]]/500</f>
        <v>3.5999999999999998E-8</v>
      </c>
      <c r="IL14" s="1">
        <f>Table15678910[[#This Row],[Total_Cost_MUSD]]*Table15678910[[#This Row],[prob500-failure_rating7]]/500</f>
        <v>3.5999999999999998E-8</v>
      </c>
      <c r="IM14" s="1">
        <f>Table15678910[[#This Row],[Total_Cost_MUSD]]*Table15678910[[#This Row],[prob500-failure_rating8]]/500</f>
        <v>7.9999999999999993E-10</v>
      </c>
      <c r="IN14" s="1">
        <f>Table15678910[[#This Row],[Total_Cost_MUSD]]*Table15678910[[#This Row],[prob500-failure_rating9]]/500</f>
        <v>4.9999999999999993E-10</v>
      </c>
      <c r="IO14" s="1">
        <f>Table15678910[[#This Row],[Total_Cost_MUSD]]*Table15678910[[#This Row],[prob100-failure_rating1]]/100</f>
        <v>0.01</v>
      </c>
      <c r="IP14" s="1">
        <f>Table15678910[[#This Row],[Total_Cost_MUSD]]*Table15678910[[#This Row],[prob100-failure_rating2]]/100</f>
        <v>1E-4</v>
      </c>
      <c r="IQ14" s="1">
        <f>Table15678910[[#This Row],[Total_Cost_MUSD]]*Table15678910[[#This Row],[prob100-failure_rating3]]/100</f>
        <v>1.2500000000000001E-5</v>
      </c>
      <c r="IR14" s="1">
        <f>Table15678910[[#This Row],[Total_Cost_MUSD]]*Table15678910[[#This Row],[prob100-failure_rating4]]/100</f>
        <v>2.7500000000000004E-6</v>
      </c>
      <c r="IS14" s="1">
        <f>Table15678910[[#This Row],[Total_Cost_MUSD]]*Table15678910[[#This Row],[prob100-failure_rating5]]/100</f>
        <v>9.9999999999999995E-7</v>
      </c>
      <c r="IT14" s="1">
        <f>Table15678910[[#This Row],[Total_Cost_MUSD]]*Table15678910[[#This Row],[prob100-failure_rating6]]/100</f>
        <v>1.7499999999999999E-7</v>
      </c>
      <c r="IU14" s="1">
        <f>Table15678910[[#This Row],[Total_Cost_MUSD]]*Table15678910[[#This Row],[prob100-failure_rating7]]/100</f>
        <v>4.4999999999999999E-8</v>
      </c>
      <c r="IV14" s="1">
        <f>Table15678910[[#This Row],[Total_Cost_MUSD]]*Table15678910[[#This Row],[prob100-failure_rating8]]/100</f>
        <v>4.4999999999999999E-8</v>
      </c>
      <c r="IW14" s="1">
        <f>Table15678910[[#This Row],[Total_Cost_MUSD]]*Table15678910[[#This Row],[prob100-failure_rating9]]/100</f>
        <v>9.9999999999999986E-10</v>
      </c>
      <c r="IX14" s="1">
        <f>Table15678910[[#This Row],[Total_Cost_MUSD]]*Table15678910[[#This Row],[prob50-failure_rating1]]/50</f>
        <v>2.0000000000000001E-4</v>
      </c>
      <c r="IY14" s="1">
        <f>Table15678910[[#This Row],[Total_Cost_MUSD]]*Table15678910[[#This Row],[prob50-failure_rating2]]/50</f>
        <v>1.6666666666666667E-5</v>
      </c>
      <c r="IZ14" s="1">
        <f>Table15678910[[#This Row],[Total_Cost_MUSD]]*Table15678910[[#This Row],[prob50-failure_rating3]]/50</f>
        <v>3.6666666666666666E-6</v>
      </c>
      <c r="JA14" s="1">
        <f>Table15678910[[#This Row],[Total_Cost_MUSD]]*Table15678910[[#This Row],[prob50-failure_rating4]]/50</f>
        <v>1.3333333333333334E-6</v>
      </c>
      <c r="JB14" s="1">
        <f>Table15678910[[#This Row],[Total_Cost_MUSD]]*Table15678910[[#This Row],[prob50-failure_rating5]]/50</f>
        <v>2.3333333333333333E-7</v>
      </c>
      <c r="JC14" s="1">
        <f>Table15678910[[#This Row],[Total_Cost_MUSD]]*Table15678910[[#This Row],[prob50-failure_rating6]]/50</f>
        <v>6.0000000000000008E-8</v>
      </c>
      <c r="JD14" s="1">
        <f>Table15678910[[#This Row],[Total_Cost_MUSD]]*Table15678910[[#This Row],[prob50-failure_rating7]]/50</f>
        <v>6.0000000000000008E-8</v>
      </c>
      <c r="JE14" s="1">
        <f>Table15678910[[#This Row],[Total_Cost_MUSD]]*Table15678910[[#This Row],[prob50-failure_rating8]]/50</f>
        <v>1.3333333333333333E-9</v>
      </c>
      <c r="JF14" s="1">
        <f>Table15678910[[#This Row],[Total_Cost_MUSD]]*Table15678910[[#This Row],[prob50-failure_rating9]]/50</f>
        <v>8.3333333333333325E-10</v>
      </c>
      <c r="JG14" s="1">
        <f>Table15678910[[#This Row],[Total_Cost_MUSD]]*Table15678910[[#This Row],[prob10-failure_rating1]]/10</f>
        <v>1E-3</v>
      </c>
      <c r="JH14" s="1">
        <f>Table15678910[[#This Row],[Total_Cost_MUSD]]*Table15678910[[#This Row],[prob10-failure_rating2]]/10</f>
        <v>5.0000000000000002E-5</v>
      </c>
      <c r="JI14" s="1">
        <f>Table15678910[[#This Row],[Total_Cost_MUSD]]*Table15678910[[#This Row],[prob10-failure_rating3]]/10</f>
        <v>1.1E-5</v>
      </c>
      <c r="JJ14" s="1">
        <f>Table15678910[[#This Row],[Total_Cost_MUSD]]*Table15678910[[#This Row],[prob10-failure_rating4]]/10</f>
        <v>4.0000000000000007E-6</v>
      </c>
      <c r="JK14" s="1">
        <f>Table15678910[[#This Row],[Total_Cost_MUSD]]*Table15678910[[#This Row],[prob10-failure_rating5]]/10</f>
        <v>6.9999999999999986E-7</v>
      </c>
      <c r="JL14" s="1">
        <f>Table15678910[[#This Row],[Total_Cost_MUSD]]*Table15678910[[#This Row],[prob10-failure_rating6]]/10</f>
        <v>1.8000000000000002E-7</v>
      </c>
      <c r="JM14" s="1">
        <f>Table15678910[[#This Row],[Total_Cost_MUSD]]*Table15678910[[#This Row],[prob10-failure_rating7]]/10</f>
        <v>1.8000000000000002E-7</v>
      </c>
      <c r="JN14" s="1">
        <f>Table15678910[[#This Row],[Total_Cost_MUSD]]*Table15678910[[#This Row],[prob10-failure_rating8]]/10</f>
        <v>4.0000000000000002E-9</v>
      </c>
      <c r="JO14" s="1">
        <f>Table15678910[[#This Row],[Total_Cost_MUSD]]*Table15678910[[#This Row],[prob10-failure_rating9]]/10</f>
        <v>2.5000000000000001E-9</v>
      </c>
      <c r="JP14" s="1">
        <f>Table15678910[[#This Row],[FailureCost_Rating1]]</f>
        <v>1.7666666666666666E-4</v>
      </c>
      <c r="JQ14" s="1">
        <f>Table15678910[[#This Row],[FailureCost_Rating2]]</f>
        <v>1.7666666666666666E-4</v>
      </c>
      <c r="JR14" s="1">
        <f>(Table15678910[[#This Row],[failurecost500_rating2]]+Table15678910[[#This Row],[failurecost100_rating2]]+Table15678910[[#This Row],[failurecost50_rating2]]+Table15678910[[#This Row],[failurecost10_rating2]])</f>
        <v>1.7666666666666666E-4</v>
      </c>
      <c r="JS14" s="1">
        <f>(Table15678910[[#This Row],[failurecost500_rating3]]+Table15678910[[#This Row],[failurecost100_rating3]]+Table15678910[[#This Row],[failurecost50_rating3]]+Table15678910[[#This Row],[failurecost10_rating3]])</f>
        <v>2.9366666666666668E-5</v>
      </c>
      <c r="JT14" s="1">
        <f>(Table15678910[[#This Row],[failurecost500_rating4]]+Table15678910[[#This Row],[failurecost100_rating4]]+Table15678910[[#This Row],[failurecost50_rating4]]+Table15678910[[#This Row],[failurecost10_rating4]])</f>
        <v>8.8833333333333335E-6</v>
      </c>
      <c r="JU14" s="1">
        <f>(Table15678910[[#This Row],[failurecost500_rating5]]+Table15678910[[#This Row],[failurecost100_rating5]]+Table15678910[[#This Row],[failurecost50_rating5]]+Table15678910[[#This Row],[failurecost10_rating5]])</f>
        <v>2.0733333333333331E-6</v>
      </c>
      <c r="JV14" s="1">
        <f>(Table15678910[[#This Row],[failurecost500_rating6]]+Table15678910[[#This Row],[failurecost100_rating6]]+Table15678910[[#This Row],[failurecost50_rating6]]+Table15678910[[#This Row],[failurecost10_rating6]])</f>
        <v>4.5100000000000005E-7</v>
      </c>
      <c r="JW14" s="1">
        <f>(Table15678910[[#This Row],[failurecost500_rating7]]+Table15678910[[#This Row],[failurecost100_rating7]]+Table15678910[[#This Row],[failurecost50_rating7]]+Table15678910[[#This Row],[failurecost10_rating7]])</f>
        <v>3.2100000000000003E-7</v>
      </c>
      <c r="JX14" s="1">
        <f>(Table15678910[[#This Row],[failurecost500_rating8]]+Table15678910[[#This Row],[failurecost100_rating8]]+Table15678910[[#This Row],[failurecost50_rating8]]+Table15678910[[#This Row],[failurecost10_rating8]])</f>
        <v>5.1133333333333335E-8</v>
      </c>
      <c r="JY14" s="1">
        <f>(Table15678910[[#This Row],[failurecost500_rating9]]+Table15678910[[#This Row],[failurecost100_rating9]]+Table15678910[[#This Row],[failurecost50_rating9]]+Table15678910[[#This Row],[failurecost10_rating9]])</f>
        <v>4.8333333333333336E-9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Table15678910[[#This Row],[Depth10_Soil_vol]]*(9.353+9.027)+(Table15678910[[#This Row],[Depth10_Soil_vol]]/2.5)*20*1.053+(PI()*Table15678910[[#This Row],[Depth10_Scour]])*Table15678910[[#This Row],[DECK_WIDTH_MT_052]]*1.062</f>
        <v>9589.4503766877388</v>
      </c>
      <c r="AR15" s="1">
        <f>Table15678910[[#This Row],[Depth50_Soil_vol]]*(9.353+9.027)+(Table15678910[[#This Row],[Depth50_Soil_vol]]/2.5)*20*1.053+(PI()*Table15678910[[#This Row],[Depth50_Scour]])*Table15678910[[#This Row],[DECK_WIDTH_MT_052]]*1.062</f>
        <v>10089.839206196759</v>
      </c>
      <c r="AS15" s="1">
        <f>Table15678910[[#This Row],[Depth100_Soil_vol]]*(9.353+9.027)+(Table15678910[[#This Row],[Depth100_Soil_vol]]/2.5)*20*1.053+(PI()*Table15678910[[#This Row],[Depth100_Scour]])*Table15678910[[#This Row],[DECK_WIDTH_MT_052]]*1.062</f>
        <v>10312.30726316059</v>
      </c>
      <c r="AT15" s="1">
        <f>Table15678910[[#This Row],[Depth500_Soil_vol]]*(9.353+9.027)+(Table15678910[[#This Row],[Depth500_Soil_vol]]/2.5)*20*1.053+(PI()*Table15678910[[#This Row],[Depth500_Scour]])*Table15678910[[#This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0.66</v>
      </c>
      <c r="GF15" s="1">
        <v>0.61328448247989853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Sheet4!Q45*$GF$2</f>
        <v>3.0855420681012225E-4</v>
      </c>
      <c r="GM15" s="1">
        <f>Sheet4!R45*$GF$2</f>
        <v>1.7356174133069375E-4</v>
      </c>
      <c r="GN15" s="1">
        <f>Sheet4!S45*$GF$2</f>
        <v>1.1107951445164402E-4</v>
      </c>
      <c r="GO15" s="1">
        <f>Sheet4!T45*$GF$2</f>
        <v>7.7138551702530563E-5</v>
      </c>
      <c r="GP15" s="1">
        <f>Sheet4!U45*$GF$2</f>
        <v>5.667322165900205E-5</v>
      </c>
      <c r="GQ15" s="1">
        <f>Sheet4!V45*$GF$2</f>
        <v>4.3390435332673436E-5</v>
      </c>
      <c r="GR15" s="1">
        <f>Sheet4!W45*$GF$2</f>
        <v>3.4283800756680246E-5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1</v>
      </c>
      <c r="HF15" s="1">
        <v>0.01</v>
      </c>
      <c r="HG15" s="1">
        <v>1.25E-3</v>
      </c>
      <c r="HH15" s="1">
        <v>2.7500000000000002E-4</v>
      </c>
      <c r="HI15" s="1">
        <v>1E-4</v>
      </c>
      <c r="HJ15" s="1">
        <v>1.7499999999999998E-5</v>
      </c>
      <c r="HK15" s="1">
        <v>4.5000000000000001E-6</v>
      </c>
      <c r="HL15" s="1">
        <v>4.5000000000000001E-6</v>
      </c>
      <c r="HM15" s="1">
        <v>9.9999999999999995E-8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Table15678910[[#This Row],[Total_Cost_MUSD]]*Table15678910[[#This Row],[prob500-failure_rating1]]/500</f>
        <v>1.226568964959797E-5</v>
      </c>
      <c r="IG15" s="1">
        <f>Table15678910[[#This Row],[Total_Cost_MUSD]]*Table15678910[[#This Row],[prob500-failure_rating2]]/500</f>
        <v>6.1328448247989849E-6</v>
      </c>
      <c r="IH15" s="1">
        <f>Table15678910[[#This Row],[Total_Cost_MUSD]]*Table15678910[[#This Row],[prob500-failure_rating3]]/500</f>
        <v>1.3492258614557768E-6</v>
      </c>
      <c r="II15" s="1">
        <f>Table15678910[[#This Row],[Total_Cost_MUSD]]*Table15678910[[#This Row],[prob500-failure_rating4]]/500</f>
        <v>4.9062758598391879E-7</v>
      </c>
      <c r="IJ15" s="1">
        <f>Table15678910[[#This Row],[Total_Cost_MUSD]]*Table15678910[[#This Row],[prob500-failure_rating5]]/500</f>
        <v>8.5859827547185782E-8</v>
      </c>
      <c r="IK15" s="1">
        <f>Table15678910[[#This Row],[Total_Cost_MUSD]]*Table15678910[[#This Row],[prob500-failure_rating6]]/500</f>
        <v>2.2078241369276347E-8</v>
      </c>
      <c r="IL15" s="1">
        <f>Table15678910[[#This Row],[Total_Cost_MUSD]]*Table15678910[[#This Row],[prob500-failure_rating7]]/500</f>
        <v>2.2078241369276347E-8</v>
      </c>
      <c r="IM15" s="1">
        <f>Table15678910[[#This Row],[Total_Cost_MUSD]]*Table15678910[[#This Row],[prob500-failure_rating8]]/500</f>
        <v>4.9062758598391881E-10</v>
      </c>
      <c r="IN15" s="1">
        <f>Table15678910[[#This Row],[Total_Cost_MUSD]]*Table15678910[[#This Row],[prob500-failure_rating9]]/500</f>
        <v>3.0664224123994926E-10</v>
      </c>
      <c r="IO15" s="1">
        <f>Table15678910[[#This Row],[Total_Cost_MUSD]]*Table15678910[[#This Row],[prob100-failure_rating1]]/100</f>
        <v>6.1328448247989853E-3</v>
      </c>
      <c r="IP15" s="1">
        <f>Table15678910[[#This Row],[Total_Cost_MUSD]]*Table15678910[[#This Row],[prob100-failure_rating2]]/100</f>
        <v>6.1328448247989853E-5</v>
      </c>
      <c r="IQ15" s="1">
        <f>Table15678910[[#This Row],[Total_Cost_MUSD]]*Table15678910[[#This Row],[prob100-failure_rating3]]/100</f>
        <v>7.6660560309987316E-6</v>
      </c>
      <c r="IR15" s="1">
        <f>Table15678910[[#This Row],[Total_Cost_MUSD]]*Table15678910[[#This Row],[prob100-failure_rating4]]/100</f>
        <v>1.686532326819721E-6</v>
      </c>
      <c r="IS15" s="1">
        <f>Table15678910[[#This Row],[Total_Cost_MUSD]]*Table15678910[[#This Row],[prob100-failure_rating5]]/100</f>
        <v>6.1328448247989854E-7</v>
      </c>
      <c r="IT15" s="1">
        <f>Table15678910[[#This Row],[Total_Cost_MUSD]]*Table15678910[[#This Row],[prob100-failure_rating6]]/100</f>
        <v>1.0732478443398223E-7</v>
      </c>
      <c r="IU15" s="1">
        <f>Table15678910[[#This Row],[Total_Cost_MUSD]]*Table15678910[[#This Row],[prob100-failure_rating7]]/100</f>
        <v>2.7597801711595432E-8</v>
      </c>
      <c r="IV15" s="1">
        <f>Table15678910[[#This Row],[Total_Cost_MUSD]]*Table15678910[[#This Row],[prob100-failure_rating8]]/100</f>
        <v>2.7597801711595432E-8</v>
      </c>
      <c r="IW15" s="1">
        <f>Table15678910[[#This Row],[Total_Cost_MUSD]]*Table15678910[[#This Row],[prob100-failure_rating9]]/100</f>
        <v>6.1328448247989852E-10</v>
      </c>
      <c r="IX15" s="1">
        <f>Table15678910[[#This Row],[Total_Cost_MUSD]]*Table15678910[[#This Row],[prob50-failure_rating1]]/50</f>
        <v>1.2265689649597971E-4</v>
      </c>
      <c r="IY15" s="1">
        <f>Table15678910[[#This Row],[Total_Cost_MUSD]]*Table15678910[[#This Row],[prob50-failure_rating2]]/50</f>
        <v>1.0221408041331642E-5</v>
      </c>
      <c r="IZ15" s="1">
        <f>Table15678910[[#This Row],[Total_Cost_MUSD]]*Table15678910[[#This Row],[prob50-failure_rating3]]/50</f>
        <v>2.2487097690929614E-6</v>
      </c>
      <c r="JA15" s="1">
        <f>Table15678910[[#This Row],[Total_Cost_MUSD]]*Table15678910[[#This Row],[prob50-failure_rating4]]/50</f>
        <v>8.1771264330653142E-7</v>
      </c>
      <c r="JB15" s="1">
        <f>Table15678910[[#This Row],[Total_Cost_MUSD]]*Table15678910[[#This Row],[prob50-failure_rating5]]/50</f>
        <v>1.4309971257864298E-7</v>
      </c>
      <c r="JC15" s="1">
        <f>Table15678910[[#This Row],[Total_Cost_MUSD]]*Table15678910[[#This Row],[prob50-failure_rating6]]/50</f>
        <v>3.6797068948793914E-8</v>
      </c>
      <c r="JD15" s="1">
        <f>Table15678910[[#This Row],[Total_Cost_MUSD]]*Table15678910[[#This Row],[prob50-failure_rating7]]/50</f>
        <v>3.6797068948793914E-8</v>
      </c>
      <c r="JE15" s="1">
        <f>Table15678910[[#This Row],[Total_Cost_MUSD]]*Table15678910[[#This Row],[prob50-failure_rating8]]/50</f>
        <v>8.1771264330653149E-10</v>
      </c>
      <c r="JF15" s="1">
        <f>Table15678910[[#This Row],[Total_Cost_MUSD]]*Table15678910[[#This Row],[prob50-failure_rating9]]/50</f>
        <v>5.1107040206658203E-10</v>
      </c>
      <c r="JG15" s="1">
        <f>Table15678910[[#This Row],[Total_Cost_MUSD]]*Table15678910[[#This Row],[prob10-failure_rating1]]/10</f>
        <v>6.1328448247989855E-4</v>
      </c>
      <c r="JH15" s="1">
        <f>Table15678910[[#This Row],[Total_Cost_MUSD]]*Table15678910[[#This Row],[prob10-failure_rating2]]/10</f>
        <v>3.0664224123994926E-5</v>
      </c>
      <c r="JI15" s="1">
        <f>Table15678910[[#This Row],[Total_Cost_MUSD]]*Table15678910[[#This Row],[prob10-failure_rating3]]/10</f>
        <v>6.7461293072788841E-6</v>
      </c>
      <c r="JJ15" s="1">
        <f>Table15678910[[#This Row],[Total_Cost_MUSD]]*Table15678910[[#This Row],[prob10-failure_rating4]]/10</f>
        <v>2.4531379299195941E-6</v>
      </c>
      <c r="JK15" s="1">
        <f>Table15678910[[#This Row],[Total_Cost_MUSD]]*Table15678910[[#This Row],[prob10-failure_rating5]]/10</f>
        <v>4.2929913773592891E-7</v>
      </c>
      <c r="JL15" s="1">
        <f>Table15678910[[#This Row],[Total_Cost_MUSD]]*Table15678910[[#This Row],[prob10-failure_rating6]]/10</f>
        <v>1.1039120684638176E-7</v>
      </c>
      <c r="JM15" s="1">
        <f>Table15678910[[#This Row],[Total_Cost_MUSD]]*Table15678910[[#This Row],[prob10-failure_rating7]]/10</f>
        <v>1.1039120684638176E-7</v>
      </c>
      <c r="JN15" s="1">
        <f>Table15678910[[#This Row],[Total_Cost_MUSD]]*Table15678910[[#This Row],[prob10-failure_rating8]]/10</f>
        <v>2.4531379299195941E-9</v>
      </c>
      <c r="JO15" s="1">
        <f>Table15678910[[#This Row],[Total_Cost_MUSD]]*Table15678910[[#This Row],[prob10-failure_rating9]]/10</f>
        <v>1.5332112061997463E-9</v>
      </c>
      <c r="JP15" s="1">
        <f>Table15678910[[#This Row],[FailureCost_Rating1]]</f>
        <v>1.0834692523811542E-4</v>
      </c>
      <c r="JQ15" s="1">
        <f>Table15678910[[#This Row],[FailureCost_Rating2]]</f>
        <v>1.0834692523811542E-4</v>
      </c>
      <c r="JR15" s="1">
        <f>(Table15678910[[#This Row],[failurecost500_rating2]]+Table15678910[[#This Row],[failurecost100_rating2]]+Table15678910[[#This Row],[failurecost50_rating2]]+Table15678910[[#This Row],[failurecost10_rating2]])</f>
        <v>1.0834692523811542E-4</v>
      </c>
      <c r="JS15" s="1">
        <f>(Table15678910[[#This Row],[failurecost500_rating3]]+Table15678910[[#This Row],[failurecost100_rating3]]+Table15678910[[#This Row],[failurecost50_rating3]]+Table15678910[[#This Row],[failurecost10_rating3]])</f>
        <v>1.8010120968826355E-5</v>
      </c>
      <c r="JT15" s="1">
        <f>(Table15678910[[#This Row],[failurecost500_rating4]]+Table15678910[[#This Row],[failurecost100_rating4]]+Table15678910[[#This Row],[failurecost50_rating4]]+Table15678910[[#This Row],[failurecost10_rating4]])</f>
        <v>5.4480104860297651E-6</v>
      </c>
      <c r="JU15" s="1">
        <f>(Table15678910[[#This Row],[failurecost500_rating5]]+Table15678910[[#This Row],[failurecost100_rating5]]+Table15678910[[#This Row],[failurecost50_rating5]]+Table15678910[[#This Row],[failurecost10_rating5]])</f>
        <v>1.2715431603416561E-6</v>
      </c>
      <c r="JV15" s="1">
        <f>(Table15678910[[#This Row],[failurecost500_rating6]]+Table15678910[[#This Row],[failurecost100_rating6]]+Table15678910[[#This Row],[failurecost50_rating6]]+Table15678910[[#This Row],[failurecost10_rating6]])</f>
        <v>2.7659130159843425E-7</v>
      </c>
      <c r="JW15" s="1">
        <f>(Table15678910[[#This Row],[failurecost500_rating7]]+Table15678910[[#This Row],[failurecost100_rating7]]+Table15678910[[#This Row],[failurecost50_rating7]]+Table15678910[[#This Row],[failurecost10_rating7]])</f>
        <v>1.9686431887604745E-7</v>
      </c>
      <c r="JX15" s="1">
        <f>(Table15678910[[#This Row],[failurecost500_rating8]]+Table15678910[[#This Row],[failurecost100_rating8]]+Table15678910[[#This Row],[failurecost50_rating8]]+Table15678910[[#This Row],[failurecost10_rating8]])</f>
        <v>3.1359279870805472E-8</v>
      </c>
      <c r="JY15" s="1">
        <f>(Table15678910[[#This Row],[failurecost500_rating9]]+Table15678910[[#This Row],[failurecost100_rating9]]+Table15678910[[#This Row],[failurecost50_rating9]]+Table15678910[[#This Row],[failurecost10_rating9]])</f>
        <v>2.9642083319861763E-9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Table15678910[[#This Row],[Depth10_Soil_vol]]*(9.353+9.027)+(Table15678910[[#This Row],[Depth10_Soil_vol]]/2.5)*20*1.053+(PI()*Table15678910[[#This Row],[Depth10_Scour]])*Table15678910[[#This Row],[DECK_WIDTH_MT_052]]*1.062</f>
        <v>6758.7093437956364</v>
      </c>
      <c r="AR16" s="1">
        <f>Table15678910[[#This Row],[Depth50_Soil_vol]]*(9.353+9.027)+(Table15678910[[#This Row],[Depth50_Soil_vol]]/2.5)*20*1.053+(PI()*Table15678910[[#This Row],[Depth50_Scour]])*Table15678910[[#This Row],[DECK_WIDTH_MT_052]]*1.062</f>
        <v>7157.860599196707</v>
      </c>
      <c r="AS16" s="1">
        <f>Table15678910[[#This Row],[Depth100_Soil_vol]]*(9.353+9.027)+(Table15678910[[#This Row],[Depth100_Soil_vol]]/2.5)*20*1.053+(PI()*Table15678910[[#This Row],[Depth100_Scour]])*Table15678910[[#This Row],[DECK_WIDTH_MT_052]]*1.062</f>
        <v>7335.7235370312192</v>
      </c>
      <c r="AT16" s="1">
        <f>Table15678910[[#This Row],[Depth500_Soil_vol]]*(9.353+9.027)+(Table15678910[[#This Row],[Depth500_Soil_vol]]/2.5)*20*1.053+(PI()*Table15678910[[#This Row],[Depth500_Scour]])*Table15678910[[#This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0.66</v>
      </c>
      <c r="GF16" s="1">
        <v>0.88568085520561302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Sheet4!Q46*$GF$2</f>
        <v>3.0855420681012225E-4</v>
      </c>
      <c r="GM16" s="1">
        <f>Sheet4!R46*$GF$2</f>
        <v>1.7356174133069375E-4</v>
      </c>
      <c r="GN16" s="1">
        <f>Sheet4!S46*$GF$2</f>
        <v>1.11079514451644E-4</v>
      </c>
      <c r="GO16" s="1">
        <f>Sheet4!T46*$GF$2</f>
        <v>7.7138551702530563E-5</v>
      </c>
      <c r="GP16" s="1">
        <f>Sheet4!U46*$GF$2</f>
        <v>5.667322165900205E-5</v>
      </c>
      <c r="GQ16" s="1">
        <f>Sheet4!V46*$GF$2</f>
        <v>4.3390435332673436E-5</v>
      </c>
      <c r="GR16" s="1">
        <f>Sheet4!W46*$GF$2</f>
        <v>3.4283800756680246E-5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1</v>
      </c>
      <c r="HF16" s="1">
        <v>0.01</v>
      </c>
      <c r="HG16" s="1">
        <v>1.25E-3</v>
      </c>
      <c r="HH16" s="1">
        <v>2.7500000000000002E-4</v>
      </c>
      <c r="HI16" s="1">
        <v>1E-4</v>
      </c>
      <c r="HJ16" s="1">
        <v>1.7499999999999998E-5</v>
      </c>
      <c r="HK16" s="1">
        <v>4.5000000000000001E-6</v>
      </c>
      <c r="HL16" s="1">
        <v>4.5000000000000001E-6</v>
      </c>
      <c r="HM16" s="1">
        <v>9.9999999999999995E-8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Table15678910[[#This Row],[Total_Cost_MUSD]]*Table15678910[[#This Row],[prob500-failure_rating1]]/500</f>
        <v>1.7713617104112261E-5</v>
      </c>
      <c r="IG16" s="1">
        <f>Table15678910[[#This Row],[Total_Cost_MUSD]]*Table15678910[[#This Row],[prob500-failure_rating2]]/500</f>
        <v>8.8568085520561305E-6</v>
      </c>
      <c r="IH16" s="1">
        <f>Table15678910[[#This Row],[Total_Cost_MUSD]]*Table15678910[[#This Row],[prob500-failure_rating3]]/500</f>
        <v>1.9484978814523489E-6</v>
      </c>
      <c r="II16" s="1">
        <f>Table15678910[[#This Row],[Total_Cost_MUSD]]*Table15678910[[#This Row],[prob500-failure_rating4]]/500</f>
        <v>7.0854468416449048E-7</v>
      </c>
      <c r="IJ16" s="1">
        <f>Table15678910[[#This Row],[Total_Cost_MUSD]]*Table15678910[[#This Row],[prob500-failure_rating5]]/500</f>
        <v>1.2399531972878581E-7</v>
      </c>
      <c r="IK16" s="1">
        <f>Table15678910[[#This Row],[Total_Cost_MUSD]]*Table15678910[[#This Row],[prob500-failure_rating6]]/500</f>
        <v>3.1884510787402066E-8</v>
      </c>
      <c r="IL16" s="1">
        <f>Table15678910[[#This Row],[Total_Cost_MUSD]]*Table15678910[[#This Row],[prob500-failure_rating7]]/500</f>
        <v>3.1884510787402066E-8</v>
      </c>
      <c r="IM16" s="1">
        <f>Table15678910[[#This Row],[Total_Cost_MUSD]]*Table15678910[[#This Row],[prob500-failure_rating8]]/500</f>
        <v>7.085446841644904E-10</v>
      </c>
      <c r="IN16" s="1">
        <f>Table15678910[[#This Row],[Total_Cost_MUSD]]*Table15678910[[#This Row],[prob500-failure_rating9]]/500</f>
        <v>4.4284042760280649E-10</v>
      </c>
      <c r="IO16" s="1">
        <f>Table15678910[[#This Row],[Total_Cost_MUSD]]*Table15678910[[#This Row],[prob100-failure_rating1]]/100</f>
        <v>8.8568085520561307E-3</v>
      </c>
      <c r="IP16" s="1">
        <f>Table15678910[[#This Row],[Total_Cost_MUSD]]*Table15678910[[#This Row],[prob100-failure_rating2]]/100</f>
        <v>8.8568085520561305E-5</v>
      </c>
      <c r="IQ16" s="1">
        <f>Table15678910[[#This Row],[Total_Cost_MUSD]]*Table15678910[[#This Row],[prob100-failure_rating3]]/100</f>
        <v>1.1071010690070163E-5</v>
      </c>
      <c r="IR16" s="1">
        <f>Table15678910[[#This Row],[Total_Cost_MUSD]]*Table15678910[[#This Row],[prob100-failure_rating4]]/100</f>
        <v>2.435622351815436E-6</v>
      </c>
      <c r="IS16" s="1">
        <f>Table15678910[[#This Row],[Total_Cost_MUSD]]*Table15678910[[#This Row],[prob100-failure_rating5]]/100</f>
        <v>8.8568085520561307E-7</v>
      </c>
      <c r="IT16" s="1">
        <f>Table15678910[[#This Row],[Total_Cost_MUSD]]*Table15678910[[#This Row],[prob100-failure_rating6]]/100</f>
        <v>1.5499414966098224E-7</v>
      </c>
      <c r="IU16" s="1">
        <f>Table15678910[[#This Row],[Total_Cost_MUSD]]*Table15678910[[#This Row],[prob100-failure_rating7]]/100</f>
        <v>3.9855638484252587E-8</v>
      </c>
      <c r="IV16" s="1">
        <f>Table15678910[[#This Row],[Total_Cost_MUSD]]*Table15678910[[#This Row],[prob100-failure_rating8]]/100</f>
        <v>3.9855638484252587E-8</v>
      </c>
      <c r="IW16" s="1">
        <f>Table15678910[[#This Row],[Total_Cost_MUSD]]*Table15678910[[#This Row],[prob100-failure_rating9]]/100</f>
        <v>8.8568085520561298E-10</v>
      </c>
      <c r="IX16" s="1">
        <f>Table15678910[[#This Row],[Total_Cost_MUSD]]*Table15678910[[#This Row],[prob50-failure_rating1]]/50</f>
        <v>1.7713617104112261E-4</v>
      </c>
      <c r="IY16" s="1">
        <f>Table15678910[[#This Row],[Total_Cost_MUSD]]*Table15678910[[#This Row],[prob50-failure_rating2]]/50</f>
        <v>1.4761347586760218E-5</v>
      </c>
      <c r="IZ16" s="1">
        <f>Table15678910[[#This Row],[Total_Cost_MUSD]]*Table15678910[[#This Row],[prob50-failure_rating3]]/50</f>
        <v>3.2474964690872478E-6</v>
      </c>
      <c r="JA16" s="1">
        <f>Table15678910[[#This Row],[Total_Cost_MUSD]]*Table15678910[[#This Row],[prob50-failure_rating4]]/50</f>
        <v>1.1809078069408174E-6</v>
      </c>
      <c r="JB16" s="1">
        <f>Table15678910[[#This Row],[Total_Cost_MUSD]]*Table15678910[[#This Row],[prob50-failure_rating5]]/50</f>
        <v>2.0665886621464303E-7</v>
      </c>
      <c r="JC16" s="1">
        <f>Table15678910[[#This Row],[Total_Cost_MUSD]]*Table15678910[[#This Row],[prob50-failure_rating6]]/50</f>
        <v>5.3140851312336783E-8</v>
      </c>
      <c r="JD16" s="1">
        <f>Table15678910[[#This Row],[Total_Cost_MUSD]]*Table15678910[[#This Row],[prob50-failure_rating7]]/50</f>
        <v>5.3140851312336783E-8</v>
      </c>
      <c r="JE16" s="1">
        <f>Table15678910[[#This Row],[Total_Cost_MUSD]]*Table15678910[[#This Row],[prob50-failure_rating8]]/50</f>
        <v>1.1809078069408174E-9</v>
      </c>
      <c r="JF16" s="1">
        <f>Table15678910[[#This Row],[Total_Cost_MUSD]]*Table15678910[[#This Row],[prob50-failure_rating9]]/50</f>
        <v>7.380673793380108E-10</v>
      </c>
      <c r="JG16" s="1">
        <f>Table15678910[[#This Row],[Total_Cost_MUSD]]*Table15678910[[#This Row],[prob10-failure_rating1]]/10</f>
        <v>8.8568085520561305E-4</v>
      </c>
      <c r="JH16" s="1">
        <f>Table15678910[[#This Row],[Total_Cost_MUSD]]*Table15678910[[#This Row],[prob10-failure_rating2]]/10</f>
        <v>4.4284042760280652E-5</v>
      </c>
      <c r="JI16" s="1">
        <f>Table15678910[[#This Row],[Total_Cost_MUSD]]*Table15678910[[#This Row],[prob10-failure_rating3]]/10</f>
        <v>9.7424894072617439E-6</v>
      </c>
      <c r="JJ16" s="1">
        <f>Table15678910[[#This Row],[Total_Cost_MUSD]]*Table15678910[[#This Row],[prob10-failure_rating4]]/10</f>
        <v>3.5427234208224523E-6</v>
      </c>
      <c r="JK16" s="1">
        <f>Table15678910[[#This Row],[Total_Cost_MUSD]]*Table15678910[[#This Row],[prob10-failure_rating5]]/10</f>
        <v>6.1997659864392908E-7</v>
      </c>
      <c r="JL16" s="1">
        <f>Table15678910[[#This Row],[Total_Cost_MUSD]]*Table15678910[[#This Row],[prob10-failure_rating6]]/10</f>
        <v>1.5942255393701035E-7</v>
      </c>
      <c r="JM16" s="1">
        <f>Table15678910[[#This Row],[Total_Cost_MUSD]]*Table15678910[[#This Row],[prob10-failure_rating7]]/10</f>
        <v>1.5942255393701035E-7</v>
      </c>
      <c r="JN16" s="1">
        <f>Table15678910[[#This Row],[Total_Cost_MUSD]]*Table15678910[[#This Row],[prob10-failure_rating8]]/10</f>
        <v>3.5427234208224519E-9</v>
      </c>
      <c r="JO16" s="1">
        <f>Table15678910[[#This Row],[Total_Cost_MUSD]]*Table15678910[[#This Row],[prob10-failure_rating9]]/10</f>
        <v>2.2142021380140325E-9</v>
      </c>
      <c r="JP16" s="1">
        <f>Table15678910[[#This Row],[FailureCost_Rating1]]</f>
        <v>1.5647028441965831E-4</v>
      </c>
      <c r="JQ16" s="1">
        <f>Table15678910[[#This Row],[FailureCost_Rating2]]</f>
        <v>1.5647028441965831E-4</v>
      </c>
      <c r="JR16" s="1">
        <f>(Table15678910[[#This Row],[failurecost500_rating2]]+Table15678910[[#This Row],[failurecost100_rating2]]+Table15678910[[#This Row],[failurecost50_rating2]]+Table15678910[[#This Row],[failurecost10_rating2]])</f>
        <v>1.5647028441965831E-4</v>
      </c>
      <c r="JS16" s="1">
        <f>(Table15678910[[#This Row],[failurecost500_rating3]]+Table15678910[[#This Row],[failurecost100_rating3]]+Table15678910[[#This Row],[failurecost50_rating3]]+Table15678910[[#This Row],[failurecost10_rating3]])</f>
        <v>2.6009494447871502E-5</v>
      </c>
      <c r="JT16" s="1">
        <f>(Table15678910[[#This Row],[failurecost500_rating4]]+Table15678910[[#This Row],[failurecost100_rating4]]+Table15678910[[#This Row],[failurecost50_rating4]]+Table15678910[[#This Row],[failurecost10_rating4]])</f>
        <v>7.8677982637431956E-6</v>
      </c>
      <c r="JU16" s="1">
        <f>(Table15678910[[#This Row],[failurecost500_rating5]]+Table15678910[[#This Row],[failurecost100_rating5]]+Table15678910[[#This Row],[failurecost50_rating5]]+Table15678910[[#This Row],[failurecost10_rating5]])</f>
        <v>1.8363116397929709E-6</v>
      </c>
      <c r="JV16" s="1">
        <f>(Table15678910[[#This Row],[failurecost500_rating6]]+Table15678910[[#This Row],[failurecost100_rating6]]+Table15678910[[#This Row],[failurecost50_rating6]]+Table15678910[[#This Row],[failurecost10_rating6]])</f>
        <v>3.9944206569773149E-7</v>
      </c>
      <c r="JW16" s="1">
        <f>(Table15678910[[#This Row],[failurecost500_rating7]]+Table15678910[[#This Row],[failurecost100_rating7]]+Table15678910[[#This Row],[failurecost50_rating7]]+Table15678910[[#This Row],[failurecost10_rating7]])</f>
        <v>2.8430355452100176E-7</v>
      </c>
      <c r="JX16" s="1">
        <f>(Table15678910[[#This Row],[failurecost500_rating8]]+Table15678910[[#This Row],[failurecost100_rating8]]+Table15678910[[#This Row],[failurecost50_rating8]]+Table15678910[[#This Row],[failurecost10_rating8]])</f>
        <v>4.5287814396180347E-8</v>
      </c>
      <c r="JY16" s="1">
        <f>(Table15678910[[#This Row],[failurecost500_rating9]]+Table15678910[[#This Row],[failurecost100_rating9]]+Table15678910[[#This Row],[failurecost50_rating9]]+Table15678910[[#This Row],[failurecost10_rating9]])</f>
        <v>4.280790800160463E-9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Table15678910[[#This Row],[Depth10_Soil_vol]]*(9.353+9.027)+(Table15678910[[#This Row],[Depth10_Soil_vol]]/2.5)*20*1.053+(PI()*Table15678910[[#This Row],[Depth10_Scour]])*Table15678910[[#This Row],[DECK_WIDTH_MT_052]]*1.062</f>
        <v>0</v>
      </c>
      <c r="AR17" s="1">
        <f>Table15678910[[#This Row],[Depth50_Soil_vol]]*(9.353+9.027)+(Table15678910[[#This Row],[Depth50_Soil_vol]]/2.5)*20*1.053+(PI()*Table15678910[[#This Row],[Depth50_Scour]])*Table15678910[[#This Row],[DECK_WIDTH_MT_052]]*1.062</f>
        <v>73.925295948361111</v>
      </c>
      <c r="AS17" s="1">
        <f>Table15678910[[#This Row],[Depth100_Soil_vol]]*(9.353+9.027)+(Table15678910[[#This Row],[Depth100_Soil_vol]]/2.5)*20*1.053+(PI()*Table15678910[[#This Row],[Depth100_Scour]])*Table15678910[[#This Row],[DECK_WIDTH_MT_052]]*1.062</f>
        <v>101.29876563204503</v>
      </c>
      <c r="AT17" s="1">
        <f>Table15678910[[#This Row],[Depth500_Soil_vol]]*(9.353+9.027)+(Table15678910[[#This Row],[Depth500_Soil_vol]]/2.5)*20*1.053+(PI()*Table15678910[[#This Row],[Depth500_Scour]])*Table15678910[[#This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0.22800000000000001</v>
      </c>
      <c r="GF17" s="1">
        <v>9.9901139968334191E-2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Sheet4!Q47*$GF$2</f>
        <v>3.0855420681012225E-4</v>
      </c>
      <c r="GM17" s="1">
        <f>Sheet4!R47*$GF$2</f>
        <v>1.735617413306938E-4</v>
      </c>
      <c r="GN17" s="1">
        <f>Sheet4!S47*$GF$2</f>
        <v>1.1107951445164402E-4</v>
      </c>
      <c r="GO17" s="1">
        <f>Sheet4!T47*$GF$2</f>
        <v>7.7138551702530563E-5</v>
      </c>
      <c r="GP17" s="1">
        <f>Sheet4!U47*$GF$2</f>
        <v>5.667322165900205E-5</v>
      </c>
      <c r="GQ17" s="1">
        <f>Sheet4!V47*$GF$2</f>
        <v>4.339043533267345E-5</v>
      </c>
      <c r="GR17" s="1">
        <f>Sheet4!W47*$GF$2</f>
        <v>3.4283800756680253E-5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1</v>
      </c>
      <c r="HF17" s="1">
        <v>0.01</v>
      </c>
      <c r="HG17" s="1">
        <v>1.25E-3</v>
      </c>
      <c r="HH17" s="1">
        <v>2.7500000000000002E-4</v>
      </c>
      <c r="HI17" s="1">
        <v>1E-4</v>
      </c>
      <c r="HJ17" s="1">
        <v>1.7499999999999998E-5</v>
      </c>
      <c r="HK17" s="1">
        <v>4.5000000000000001E-6</v>
      </c>
      <c r="HL17" s="1">
        <v>4.5000000000000001E-6</v>
      </c>
      <c r="HM17" s="1">
        <v>9.9999999999999995E-8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Table15678910[[#This Row],[Total_Cost_MUSD]]*Table15678910[[#This Row],[prob500-failure_rating1]]/500</f>
        <v>1.9980227993666839E-6</v>
      </c>
      <c r="IG17" s="1">
        <f>Table15678910[[#This Row],[Total_Cost_MUSD]]*Table15678910[[#This Row],[prob500-failure_rating2]]/500</f>
        <v>9.9901139968334197E-7</v>
      </c>
      <c r="IH17" s="1">
        <f>Table15678910[[#This Row],[Total_Cost_MUSD]]*Table15678910[[#This Row],[prob500-failure_rating3]]/500</f>
        <v>2.1978250793033524E-7</v>
      </c>
      <c r="II17" s="1">
        <f>Table15678910[[#This Row],[Total_Cost_MUSD]]*Table15678910[[#This Row],[prob500-failure_rating4]]/500</f>
        <v>7.9920911974667352E-8</v>
      </c>
      <c r="IJ17" s="1">
        <f>Table15678910[[#This Row],[Total_Cost_MUSD]]*Table15678910[[#This Row],[prob500-failure_rating5]]/500</f>
        <v>1.3986159595566787E-8</v>
      </c>
      <c r="IK17" s="1">
        <f>Table15678910[[#This Row],[Total_Cost_MUSD]]*Table15678910[[#This Row],[prob500-failure_rating6]]/500</f>
        <v>3.5964410388600311E-9</v>
      </c>
      <c r="IL17" s="1">
        <f>Table15678910[[#This Row],[Total_Cost_MUSD]]*Table15678910[[#This Row],[prob500-failure_rating7]]/500</f>
        <v>3.5964410388600311E-9</v>
      </c>
      <c r="IM17" s="1">
        <f>Table15678910[[#This Row],[Total_Cost_MUSD]]*Table15678910[[#This Row],[prob500-failure_rating8]]/500</f>
        <v>7.9920911974667352E-11</v>
      </c>
      <c r="IN17" s="1">
        <f>Table15678910[[#This Row],[Total_Cost_MUSD]]*Table15678910[[#This Row],[prob500-failure_rating9]]/500</f>
        <v>4.995056998416709E-11</v>
      </c>
      <c r="IO17" s="1">
        <f>Table15678910[[#This Row],[Total_Cost_MUSD]]*Table15678910[[#This Row],[prob100-failure_rating1]]/100</f>
        <v>9.9901139968334193E-4</v>
      </c>
      <c r="IP17" s="1">
        <f>Table15678910[[#This Row],[Total_Cost_MUSD]]*Table15678910[[#This Row],[prob100-failure_rating2]]/100</f>
        <v>9.9901139968334192E-6</v>
      </c>
      <c r="IQ17" s="1">
        <f>Table15678910[[#This Row],[Total_Cost_MUSD]]*Table15678910[[#This Row],[prob100-failure_rating3]]/100</f>
        <v>1.2487642496041774E-6</v>
      </c>
      <c r="IR17" s="1">
        <f>Table15678910[[#This Row],[Total_Cost_MUSD]]*Table15678910[[#This Row],[prob100-failure_rating4]]/100</f>
        <v>2.7472813491291907E-7</v>
      </c>
      <c r="IS17" s="1">
        <f>Table15678910[[#This Row],[Total_Cost_MUSD]]*Table15678910[[#This Row],[prob100-failure_rating5]]/100</f>
        <v>9.9901139968334197E-8</v>
      </c>
      <c r="IT17" s="1">
        <f>Table15678910[[#This Row],[Total_Cost_MUSD]]*Table15678910[[#This Row],[prob100-failure_rating6]]/100</f>
        <v>1.7482699494458482E-8</v>
      </c>
      <c r="IU17" s="1">
        <f>Table15678910[[#This Row],[Total_Cost_MUSD]]*Table15678910[[#This Row],[prob100-failure_rating7]]/100</f>
        <v>4.4955512985750386E-9</v>
      </c>
      <c r="IV17" s="1">
        <f>Table15678910[[#This Row],[Total_Cost_MUSD]]*Table15678910[[#This Row],[prob100-failure_rating8]]/100</f>
        <v>4.4955512985750386E-9</v>
      </c>
      <c r="IW17" s="1">
        <f>Table15678910[[#This Row],[Total_Cost_MUSD]]*Table15678910[[#This Row],[prob100-failure_rating9]]/100</f>
        <v>9.9901139968334193E-11</v>
      </c>
      <c r="IX17" s="1">
        <f>Table15678910[[#This Row],[Total_Cost_MUSD]]*Table15678910[[#This Row],[prob50-failure_rating1]]/50</f>
        <v>1.9980227993666838E-5</v>
      </c>
      <c r="IY17" s="1">
        <f>Table15678910[[#This Row],[Total_Cost_MUSD]]*Table15678910[[#This Row],[prob50-failure_rating2]]/50</f>
        <v>1.6650189994722367E-6</v>
      </c>
      <c r="IZ17" s="1">
        <f>Table15678910[[#This Row],[Total_Cost_MUSD]]*Table15678910[[#This Row],[prob50-failure_rating3]]/50</f>
        <v>3.6630417988389202E-7</v>
      </c>
      <c r="JA17" s="1">
        <f>Table15678910[[#This Row],[Total_Cost_MUSD]]*Table15678910[[#This Row],[prob50-failure_rating4]]/50</f>
        <v>1.3320151995777894E-7</v>
      </c>
      <c r="JB17" s="1">
        <f>Table15678910[[#This Row],[Total_Cost_MUSD]]*Table15678910[[#This Row],[prob50-failure_rating5]]/50</f>
        <v>2.3310265992611312E-8</v>
      </c>
      <c r="JC17" s="1">
        <f>Table15678910[[#This Row],[Total_Cost_MUSD]]*Table15678910[[#This Row],[prob50-failure_rating6]]/50</f>
        <v>5.9940683981000514E-9</v>
      </c>
      <c r="JD17" s="1">
        <f>Table15678910[[#This Row],[Total_Cost_MUSD]]*Table15678910[[#This Row],[prob50-failure_rating7]]/50</f>
        <v>5.9940683981000514E-9</v>
      </c>
      <c r="JE17" s="1">
        <f>Table15678910[[#This Row],[Total_Cost_MUSD]]*Table15678910[[#This Row],[prob50-failure_rating8]]/50</f>
        <v>1.3320151995777893E-10</v>
      </c>
      <c r="JF17" s="1">
        <f>Table15678910[[#This Row],[Total_Cost_MUSD]]*Table15678910[[#This Row],[prob50-failure_rating9]]/50</f>
        <v>8.3250949973611816E-11</v>
      </c>
      <c r="JG17" s="1">
        <f>Table15678910[[#This Row],[Total_Cost_MUSD]]*Table15678910[[#This Row],[prob10-failure_rating1]]/10</f>
        <v>9.9901139968334196E-5</v>
      </c>
      <c r="JH17" s="1">
        <f>Table15678910[[#This Row],[Total_Cost_MUSD]]*Table15678910[[#This Row],[prob10-failure_rating2]]/10</f>
        <v>4.9950569984167096E-6</v>
      </c>
      <c r="JI17" s="1">
        <f>Table15678910[[#This Row],[Total_Cost_MUSD]]*Table15678910[[#This Row],[prob10-failure_rating3]]/10</f>
        <v>1.0989125396516761E-6</v>
      </c>
      <c r="JJ17" s="1">
        <f>Table15678910[[#This Row],[Total_Cost_MUSD]]*Table15678910[[#This Row],[prob10-failure_rating4]]/10</f>
        <v>3.9960455987333679E-7</v>
      </c>
      <c r="JK17" s="1">
        <f>Table15678910[[#This Row],[Total_Cost_MUSD]]*Table15678910[[#This Row],[prob10-failure_rating5]]/10</f>
        <v>6.993079797783393E-8</v>
      </c>
      <c r="JL17" s="1">
        <f>Table15678910[[#This Row],[Total_Cost_MUSD]]*Table15678910[[#This Row],[prob10-failure_rating6]]/10</f>
        <v>1.7982205194300154E-8</v>
      </c>
      <c r="JM17" s="1">
        <f>Table15678910[[#This Row],[Total_Cost_MUSD]]*Table15678910[[#This Row],[prob10-failure_rating7]]/10</f>
        <v>1.7982205194300154E-8</v>
      </c>
      <c r="JN17" s="1">
        <f>Table15678910[[#This Row],[Total_Cost_MUSD]]*Table15678910[[#This Row],[prob10-failure_rating8]]/10</f>
        <v>3.9960455987333677E-10</v>
      </c>
      <c r="JO17" s="1">
        <f>Table15678910[[#This Row],[Total_Cost_MUSD]]*Table15678910[[#This Row],[prob10-failure_rating9]]/10</f>
        <v>2.4975284992083548E-10</v>
      </c>
      <c r="JP17" s="1">
        <f>Table15678910[[#This Row],[FailureCost_Rating1]]</f>
        <v>1.7649201394405706E-5</v>
      </c>
      <c r="JQ17" s="1">
        <f>Table15678910[[#This Row],[FailureCost_Rating2]]</f>
        <v>1.7649201394405706E-5</v>
      </c>
      <c r="JR17" s="1">
        <f>(Table15678910[[#This Row],[failurecost500_rating2]]+Table15678910[[#This Row],[failurecost100_rating2]]+Table15678910[[#This Row],[failurecost50_rating2]]+Table15678910[[#This Row],[failurecost10_rating2]])</f>
        <v>1.7649201394405706E-5</v>
      </c>
      <c r="JS17" s="1">
        <f>(Table15678910[[#This Row],[failurecost500_rating3]]+Table15678910[[#This Row],[failurecost100_rating3]]+Table15678910[[#This Row],[failurecost50_rating3]]+Table15678910[[#This Row],[failurecost10_rating3]])</f>
        <v>2.9337634770700807E-6</v>
      </c>
      <c r="JT17" s="1">
        <f>(Table15678910[[#This Row],[failurecost500_rating4]]+Table15678910[[#This Row],[failurecost100_rating4]]+Table15678910[[#This Row],[failurecost50_rating4]]+Table15678910[[#This Row],[failurecost10_rating4]])</f>
        <v>8.874551267187022E-7</v>
      </c>
      <c r="JU17" s="1">
        <f>(Table15678910[[#This Row],[failurecost500_rating5]]+Table15678910[[#This Row],[failurecost100_rating5]]+Table15678910[[#This Row],[failurecost50_rating5]]+Table15678910[[#This Row],[failurecost10_rating5]])</f>
        <v>2.071283635343462E-7</v>
      </c>
      <c r="JV17" s="1">
        <f>(Table15678910[[#This Row],[failurecost500_rating6]]+Table15678910[[#This Row],[failurecost100_rating6]]+Table15678910[[#This Row],[failurecost50_rating6]]+Table15678910[[#This Row],[failurecost10_rating6]])</f>
        <v>4.5055414125718716E-8</v>
      </c>
      <c r="JW17" s="1">
        <f>(Table15678910[[#This Row],[failurecost500_rating7]]+Table15678910[[#This Row],[failurecost100_rating7]]+Table15678910[[#This Row],[failurecost50_rating7]]+Table15678910[[#This Row],[failurecost10_rating7]])</f>
        <v>3.2068265929835276E-8</v>
      </c>
      <c r="JX17" s="1">
        <f>(Table15678910[[#This Row],[failurecost500_rating8]]+Table15678910[[#This Row],[failurecost100_rating8]]+Table15678910[[#This Row],[failurecost50_rating8]]+Table15678910[[#This Row],[failurecost10_rating8]])</f>
        <v>5.1082782903808212E-9</v>
      </c>
      <c r="JY17" s="1">
        <f>(Table15678910[[#This Row],[failurecost500_rating9]]+Table15678910[[#This Row],[failurecost100_rating9]]+Table15678910[[#This Row],[failurecost50_rating9]]+Table15678910[[#This Row],[failurecost10_rating9]])</f>
        <v>4.8285550984694861E-10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Table15678910[[#This Row],[Depth10_Soil_vol]]*(9.353+9.027)+(Table15678910[[#This Row],[Depth10_Soil_vol]]/2.5)*20*1.053+(PI()*Table15678910[[#This Row],[Depth10_Scour]])*Table15678910[[#This Row],[DECK_WIDTH_MT_052]]*1.062</f>
        <v>15354.595084739485</v>
      </c>
      <c r="AR18" s="1">
        <f>Table15678910[[#This Row],[Depth50_Soil_vol]]*(9.353+9.027)+(Table15678910[[#This Row],[Depth50_Soil_vol]]/2.5)*20*1.053+(PI()*Table15678910[[#This Row],[Depth50_Scour]])*Table15678910[[#This Row],[DECK_WIDTH_MT_052]]*1.062</f>
        <v>13414.428771618834</v>
      </c>
      <c r="AS18" s="1">
        <f>Table15678910[[#This Row],[Depth100_Soil_vol]]*(9.353+9.027)+(Table15678910[[#This Row],[Depth100_Soil_vol]]/2.5)*20*1.053+(PI()*Table15678910[[#This Row],[Depth100_Scour]])*Table15678910[[#This Row],[DECK_WIDTH_MT_052]]*1.062</f>
        <v>13976.739331979787</v>
      </c>
      <c r="AT18" s="1">
        <f>Table15678910[[#This Row],[Depth500_Soil_vol]]*(9.353+9.027)+(Table15678910[[#This Row],[Depth500_Soil_vol]]/2.5)*20*1.053+(PI()*Table15678910[[#This Row],[Depth500_Scour]])*Table15678910[[#This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0.52800000000000002</v>
      </c>
      <c r="GF18" s="1">
        <v>3.4064428925783451E-2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Sheet4!Q48*$GF$2</f>
        <v>3.0855420681012225E-4</v>
      </c>
      <c r="GM18" s="1">
        <f>Sheet4!R48*$GF$2</f>
        <v>1.7356174133069377E-4</v>
      </c>
      <c r="GN18" s="1">
        <f>Sheet4!S48*$GF$2</f>
        <v>1.1107951445164404E-4</v>
      </c>
      <c r="GO18" s="1">
        <f>Sheet4!T48*$GF$2</f>
        <v>7.7138551702530563E-5</v>
      </c>
      <c r="GP18" s="1">
        <f>Sheet4!U48*$GF$2</f>
        <v>5.667322165900205E-5</v>
      </c>
      <c r="GQ18" s="1">
        <f>Sheet4!V48*$GF$2</f>
        <v>4.3390435332673443E-5</v>
      </c>
      <c r="GR18" s="1">
        <f>Sheet4!W48*$GF$2</f>
        <v>3.4283800756680246E-5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1</v>
      </c>
      <c r="HF18" s="1">
        <v>0.01</v>
      </c>
      <c r="HG18" s="1">
        <v>1.25E-3</v>
      </c>
      <c r="HH18" s="1">
        <v>2.7500000000000002E-4</v>
      </c>
      <c r="HI18" s="1">
        <v>1E-4</v>
      </c>
      <c r="HJ18" s="1">
        <v>1.7499999999999998E-5</v>
      </c>
      <c r="HK18" s="1">
        <v>4.5000000000000001E-6</v>
      </c>
      <c r="HL18" s="1">
        <v>4.5000000000000001E-6</v>
      </c>
      <c r="HM18" s="1">
        <v>9.9999999999999995E-8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Table15678910[[#This Row],[Total_Cost_MUSD]]*Table15678910[[#This Row],[prob500-failure_rating1]]/500</f>
        <v>6.8128857851566901E-7</v>
      </c>
      <c r="IG18" s="1">
        <f>Table15678910[[#This Row],[Total_Cost_MUSD]]*Table15678910[[#This Row],[prob500-failure_rating2]]/500</f>
        <v>3.4064428925783451E-7</v>
      </c>
      <c r="IH18" s="1">
        <f>Table15678910[[#This Row],[Total_Cost_MUSD]]*Table15678910[[#This Row],[prob500-failure_rating3]]/500</f>
        <v>7.4941743636723591E-8</v>
      </c>
      <c r="II18" s="1">
        <f>Table15678910[[#This Row],[Total_Cost_MUSD]]*Table15678910[[#This Row],[prob500-failure_rating4]]/500</f>
        <v>2.725154314062676E-8</v>
      </c>
      <c r="IJ18" s="1">
        <f>Table15678910[[#This Row],[Total_Cost_MUSD]]*Table15678910[[#This Row],[prob500-failure_rating5]]/500</f>
        <v>4.7690200496096834E-9</v>
      </c>
      <c r="IK18" s="1">
        <f>Table15678910[[#This Row],[Total_Cost_MUSD]]*Table15678910[[#This Row],[prob500-failure_rating6]]/500</f>
        <v>1.2263194413282043E-9</v>
      </c>
      <c r="IL18" s="1">
        <f>Table15678910[[#This Row],[Total_Cost_MUSD]]*Table15678910[[#This Row],[prob500-failure_rating7]]/500</f>
        <v>1.2263194413282043E-9</v>
      </c>
      <c r="IM18" s="1">
        <f>Table15678910[[#This Row],[Total_Cost_MUSD]]*Table15678910[[#This Row],[prob500-failure_rating8]]/500</f>
        <v>2.7251543140626761E-11</v>
      </c>
      <c r="IN18" s="1">
        <f>Table15678910[[#This Row],[Total_Cost_MUSD]]*Table15678910[[#This Row],[prob500-failure_rating9]]/500</f>
        <v>1.7032214462891725E-11</v>
      </c>
      <c r="IO18" s="1">
        <f>Table15678910[[#This Row],[Total_Cost_MUSD]]*Table15678910[[#This Row],[prob100-failure_rating1]]/100</f>
        <v>3.4064428925783451E-4</v>
      </c>
      <c r="IP18" s="1">
        <f>Table15678910[[#This Row],[Total_Cost_MUSD]]*Table15678910[[#This Row],[prob100-failure_rating2]]/100</f>
        <v>3.4064428925783451E-6</v>
      </c>
      <c r="IQ18" s="1">
        <f>Table15678910[[#This Row],[Total_Cost_MUSD]]*Table15678910[[#This Row],[prob100-failure_rating3]]/100</f>
        <v>4.2580536157229313E-7</v>
      </c>
      <c r="IR18" s="1">
        <f>Table15678910[[#This Row],[Total_Cost_MUSD]]*Table15678910[[#This Row],[prob100-failure_rating4]]/100</f>
        <v>9.3677179545904489E-8</v>
      </c>
      <c r="IS18" s="1">
        <f>Table15678910[[#This Row],[Total_Cost_MUSD]]*Table15678910[[#This Row],[prob100-failure_rating5]]/100</f>
        <v>3.4064428925783451E-8</v>
      </c>
      <c r="IT18" s="1">
        <f>Table15678910[[#This Row],[Total_Cost_MUSD]]*Table15678910[[#This Row],[prob100-failure_rating6]]/100</f>
        <v>5.9612750620121038E-9</v>
      </c>
      <c r="IU18" s="1">
        <f>Table15678910[[#This Row],[Total_Cost_MUSD]]*Table15678910[[#This Row],[prob100-failure_rating7]]/100</f>
        <v>1.5328993016602552E-9</v>
      </c>
      <c r="IV18" s="1">
        <f>Table15678910[[#This Row],[Total_Cost_MUSD]]*Table15678910[[#This Row],[prob100-failure_rating8]]/100</f>
        <v>1.5328993016602552E-9</v>
      </c>
      <c r="IW18" s="1">
        <f>Table15678910[[#This Row],[Total_Cost_MUSD]]*Table15678910[[#This Row],[prob100-failure_rating9]]/100</f>
        <v>3.406442892578345E-11</v>
      </c>
      <c r="IX18" s="1">
        <f>Table15678910[[#This Row],[Total_Cost_MUSD]]*Table15678910[[#This Row],[prob50-failure_rating1]]/50</f>
        <v>6.8128857851566901E-6</v>
      </c>
      <c r="IY18" s="1">
        <f>Table15678910[[#This Row],[Total_Cost_MUSD]]*Table15678910[[#This Row],[prob50-failure_rating2]]/50</f>
        <v>5.6774048209639084E-7</v>
      </c>
      <c r="IZ18" s="1">
        <f>Table15678910[[#This Row],[Total_Cost_MUSD]]*Table15678910[[#This Row],[prob50-failure_rating3]]/50</f>
        <v>1.2490290606120599E-7</v>
      </c>
      <c r="JA18" s="1">
        <f>Table15678910[[#This Row],[Total_Cost_MUSD]]*Table15678910[[#This Row],[prob50-failure_rating4]]/50</f>
        <v>4.5419238567711267E-8</v>
      </c>
      <c r="JB18" s="1">
        <f>Table15678910[[#This Row],[Total_Cost_MUSD]]*Table15678910[[#This Row],[prob50-failure_rating5]]/50</f>
        <v>7.9483667493494718E-9</v>
      </c>
      <c r="JC18" s="1">
        <f>Table15678910[[#This Row],[Total_Cost_MUSD]]*Table15678910[[#This Row],[prob50-failure_rating6]]/50</f>
        <v>2.0438657355470071E-9</v>
      </c>
      <c r="JD18" s="1">
        <f>Table15678910[[#This Row],[Total_Cost_MUSD]]*Table15678910[[#This Row],[prob50-failure_rating7]]/50</f>
        <v>2.0438657355470071E-9</v>
      </c>
      <c r="JE18" s="1">
        <f>Table15678910[[#This Row],[Total_Cost_MUSD]]*Table15678910[[#This Row],[prob50-failure_rating8]]/50</f>
        <v>4.5419238567711266E-11</v>
      </c>
      <c r="JF18" s="1">
        <f>Table15678910[[#This Row],[Total_Cost_MUSD]]*Table15678910[[#This Row],[prob50-failure_rating9]]/50</f>
        <v>2.8387024104819538E-11</v>
      </c>
      <c r="JG18" s="1">
        <f>Table15678910[[#This Row],[Total_Cost_MUSD]]*Table15678910[[#This Row],[prob10-failure_rating1]]/10</f>
        <v>3.4064428925783452E-5</v>
      </c>
      <c r="JH18" s="1">
        <f>Table15678910[[#This Row],[Total_Cost_MUSD]]*Table15678910[[#This Row],[prob10-failure_rating2]]/10</f>
        <v>1.7032214462891725E-6</v>
      </c>
      <c r="JI18" s="1">
        <f>Table15678910[[#This Row],[Total_Cost_MUSD]]*Table15678910[[#This Row],[prob10-failure_rating3]]/10</f>
        <v>3.7470871818361796E-7</v>
      </c>
      <c r="JJ18" s="1">
        <f>Table15678910[[#This Row],[Total_Cost_MUSD]]*Table15678910[[#This Row],[prob10-failure_rating4]]/10</f>
        <v>1.3625771570313383E-7</v>
      </c>
      <c r="JK18" s="1">
        <f>Table15678910[[#This Row],[Total_Cost_MUSD]]*Table15678910[[#This Row],[prob10-failure_rating5]]/10</f>
        <v>2.3845100248048409E-8</v>
      </c>
      <c r="JL18" s="1">
        <f>Table15678910[[#This Row],[Total_Cost_MUSD]]*Table15678910[[#This Row],[prob10-failure_rating6]]/10</f>
        <v>6.1315972066410209E-9</v>
      </c>
      <c r="JM18" s="1">
        <f>Table15678910[[#This Row],[Total_Cost_MUSD]]*Table15678910[[#This Row],[prob10-failure_rating7]]/10</f>
        <v>6.1315972066410209E-9</v>
      </c>
      <c r="JN18" s="1">
        <f>Table15678910[[#This Row],[Total_Cost_MUSD]]*Table15678910[[#This Row],[prob10-failure_rating8]]/10</f>
        <v>1.3625771570313382E-10</v>
      </c>
      <c r="JO18" s="1">
        <f>Table15678910[[#This Row],[Total_Cost_MUSD]]*Table15678910[[#This Row],[prob10-failure_rating9]]/10</f>
        <v>8.5161072314458621E-11</v>
      </c>
      <c r="JP18" s="1">
        <f>Table15678910[[#This Row],[FailureCost_Rating1]]</f>
        <v>6.0180491102217425E-6</v>
      </c>
      <c r="JQ18" s="1">
        <f>Table15678910[[#This Row],[FailureCost_Rating2]]</f>
        <v>6.0180491102217425E-6</v>
      </c>
      <c r="JR18" s="1">
        <f>(Table15678910[[#This Row],[failurecost500_rating2]]+Table15678910[[#This Row],[failurecost100_rating2]]+Table15678910[[#This Row],[failurecost50_rating2]]+Table15678910[[#This Row],[failurecost10_rating2]])</f>
        <v>6.0180491102217425E-6</v>
      </c>
      <c r="JS18" s="1">
        <f>(Table15678910[[#This Row],[failurecost500_rating3]]+Table15678910[[#This Row],[failurecost100_rating3]]+Table15678910[[#This Row],[failurecost50_rating3]]+Table15678910[[#This Row],[failurecost10_rating3]])</f>
        <v>1.0003587294538406E-6</v>
      </c>
      <c r="JT18" s="1">
        <f>(Table15678910[[#This Row],[failurecost500_rating4]]+Table15678910[[#This Row],[failurecost100_rating4]]+Table15678910[[#This Row],[failurecost50_rating4]]+Table15678910[[#This Row],[failurecost10_rating4]])</f>
        <v>3.0260567695737637E-7</v>
      </c>
      <c r="JU18" s="1">
        <f>(Table15678910[[#This Row],[failurecost500_rating5]]+Table15678910[[#This Row],[failurecost100_rating5]]+Table15678910[[#This Row],[failurecost50_rating5]]+Table15678910[[#This Row],[failurecost10_rating5]])</f>
        <v>7.0626915972791013E-8</v>
      </c>
      <c r="JV18" s="1">
        <f>(Table15678910[[#This Row],[failurecost500_rating6]]+Table15678910[[#This Row],[failurecost100_rating6]]+Table15678910[[#This Row],[failurecost50_rating6]]+Table15678910[[#This Row],[failurecost10_rating6]])</f>
        <v>1.5363057445528337E-8</v>
      </c>
      <c r="JW18" s="1">
        <f>(Table15678910[[#This Row],[failurecost500_rating7]]+Table15678910[[#This Row],[failurecost100_rating7]]+Table15678910[[#This Row],[failurecost50_rating7]]+Table15678910[[#This Row],[failurecost10_rating7]])</f>
        <v>1.0934681685176488E-8</v>
      </c>
      <c r="JX18" s="1">
        <f>(Table15678910[[#This Row],[failurecost500_rating8]]+Table15678910[[#This Row],[failurecost100_rating8]]+Table15678910[[#This Row],[failurecost50_rating8]]+Table15678910[[#This Row],[failurecost10_rating8]])</f>
        <v>1.7418277990717273E-9</v>
      </c>
      <c r="JY18" s="1">
        <f>(Table15678910[[#This Row],[failurecost500_rating9]]+Table15678910[[#This Row],[failurecost100_rating9]]+Table15678910[[#This Row],[failurecost50_rating9]]+Table15678910[[#This Row],[failurecost10_rating9]])</f>
        <v>1.6464473980795333E-10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Table15678910[[#This Row],[Depth10_Soil_vol]]*(9.353+9.027)+(Table15678910[[#This Row],[Depth10_Soil_vol]]/2.5)*20*1.053+(PI()*Table15678910[[#This Row],[Depth10_Scour]])*Table15678910[[#This Row],[DECK_WIDTH_MT_052]]*1.062</f>
        <v>10223.699035708925</v>
      </c>
      <c r="AR19" s="1">
        <f>Table15678910[[#This Row],[Depth50_Soil_vol]]*(9.353+9.027)+(Table15678910[[#This Row],[Depth50_Soil_vol]]/2.5)*20*1.053+(PI()*Table15678910[[#This Row],[Depth50_Scour]])*Table15678910[[#This Row],[DECK_WIDTH_MT_052]]*1.062</f>
        <v>11295.880242844603</v>
      </c>
      <c r="AS19" s="1">
        <f>Table15678910[[#This Row],[Depth100_Soil_vol]]*(9.353+9.027)+(Table15678910[[#This Row],[Depth100_Soil_vol]]/2.5)*20*1.053+(PI()*Table15678910[[#This Row],[Depth100_Scour]])*Table15678910[[#This Row],[DECK_WIDTH_MT_052]]*1.062</f>
        <v>11757.366155411924</v>
      </c>
      <c r="AT19" s="1">
        <f>Table15678910[[#This Row],[Depth500_Soil_vol]]*(9.353+9.027)+(Table15678910[[#This Row],[Depth500_Soil_vol]]/2.5)*20*1.053+(PI()*Table15678910[[#This Row],[Depth500_Scour]])*Table15678910[[#This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0.79200000000000004</v>
      </c>
      <c r="GF19" s="1">
        <v>0.35393850225799411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Sheet4!Q49*$GF$2</f>
        <v>3.0855420681012225E-4</v>
      </c>
      <c r="GM19" s="1">
        <f>Sheet4!R49*$GF$2</f>
        <v>1.7356174133069377E-4</v>
      </c>
      <c r="GN19" s="1">
        <f>Sheet4!S49*$GF$2</f>
        <v>1.1107951445164402E-4</v>
      </c>
      <c r="GO19" s="1">
        <f>Sheet4!T49*$GF$2</f>
        <v>7.7138551702530563E-5</v>
      </c>
      <c r="GP19" s="1">
        <f>Sheet4!U49*$GF$2</f>
        <v>5.667322165900205E-5</v>
      </c>
      <c r="GQ19" s="1">
        <f>Sheet4!V49*$GF$2</f>
        <v>4.3390435332673443E-5</v>
      </c>
      <c r="GR19" s="1">
        <f>Sheet4!W49*$GF$2</f>
        <v>3.4283800756680246E-5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1</v>
      </c>
      <c r="HF19" s="1">
        <v>0.01</v>
      </c>
      <c r="HG19" s="1">
        <v>1.25E-3</v>
      </c>
      <c r="HH19" s="1">
        <v>2.7500000000000002E-4</v>
      </c>
      <c r="HI19" s="1">
        <v>1E-4</v>
      </c>
      <c r="HJ19" s="1">
        <v>1.7499999999999998E-5</v>
      </c>
      <c r="HK19" s="1">
        <v>4.5000000000000001E-6</v>
      </c>
      <c r="HL19" s="1">
        <v>4.5000000000000001E-6</v>
      </c>
      <c r="HM19" s="1">
        <v>9.9999999999999995E-8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Table15678910[[#This Row],[Total_Cost_MUSD]]*Table15678910[[#This Row],[prob500-failure_rating1]]/500</f>
        <v>7.0787700451598829E-6</v>
      </c>
      <c r="IG19" s="1">
        <f>Table15678910[[#This Row],[Total_Cost_MUSD]]*Table15678910[[#This Row],[prob500-failure_rating2]]/500</f>
        <v>3.5393850225799415E-6</v>
      </c>
      <c r="IH19" s="1">
        <f>Table15678910[[#This Row],[Total_Cost_MUSD]]*Table15678910[[#This Row],[prob500-failure_rating3]]/500</f>
        <v>7.7866470496758715E-7</v>
      </c>
      <c r="II19" s="1">
        <f>Table15678910[[#This Row],[Total_Cost_MUSD]]*Table15678910[[#This Row],[prob500-failure_rating4]]/500</f>
        <v>2.8315080180639531E-7</v>
      </c>
      <c r="IJ19" s="1">
        <f>Table15678910[[#This Row],[Total_Cost_MUSD]]*Table15678910[[#This Row],[prob500-failure_rating5]]/500</f>
        <v>4.9551390316119178E-8</v>
      </c>
      <c r="IK19" s="1">
        <f>Table15678910[[#This Row],[Total_Cost_MUSD]]*Table15678910[[#This Row],[prob500-failure_rating6]]/500</f>
        <v>1.2741786081287789E-8</v>
      </c>
      <c r="IL19" s="1">
        <f>Table15678910[[#This Row],[Total_Cost_MUSD]]*Table15678910[[#This Row],[prob500-failure_rating7]]/500</f>
        <v>1.2741786081287789E-8</v>
      </c>
      <c r="IM19" s="1">
        <f>Table15678910[[#This Row],[Total_Cost_MUSD]]*Table15678910[[#This Row],[prob500-failure_rating8]]/500</f>
        <v>2.8315080180639526E-10</v>
      </c>
      <c r="IN19" s="1">
        <f>Table15678910[[#This Row],[Total_Cost_MUSD]]*Table15678910[[#This Row],[prob500-failure_rating9]]/500</f>
        <v>1.7696925112899703E-10</v>
      </c>
      <c r="IO19" s="1">
        <f>Table15678910[[#This Row],[Total_Cost_MUSD]]*Table15678910[[#This Row],[prob100-failure_rating1]]/100</f>
        <v>3.5393850225799413E-3</v>
      </c>
      <c r="IP19" s="1">
        <f>Table15678910[[#This Row],[Total_Cost_MUSD]]*Table15678910[[#This Row],[prob100-failure_rating2]]/100</f>
        <v>3.539385022579941E-5</v>
      </c>
      <c r="IQ19" s="1">
        <f>Table15678910[[#This Row],[Total_Cost_MUSD]]*Table15678910[[#This Row],[prob100-failure_rating3]]/100</f>
        <v>4.4242312782249263E-6</v>
      </c>
      <c r="IR19" s="1">
        <f>Table15678910[[#This Row],[Total_Cost_MUSD]]*Table15678910[[#This Row],[prob100-failure_rating4]]/100</f>
        <v>9.7333088120948391E-7</v>
      </c>
      <c r="IS19" s="1">
        <f>Table15678910[[#This Row],[Total_Cost_MUSD]]*Table15678910[[#This Row],[prob100-failure_rating5]]/100</f>
        <v>3.5393850225799408E-7</v>
      </c>
      <c r="IT19" s="1">
        <f>Table15678910[[#This Row],[Total_Cost_MUSD]]*Table15678910[[#This Row],[prob100-failure_rating6]]/100</f>
        <v>6.1939237895148967E-8</v>
      </c>
      <c r="IU19" s="1">
        <f>Table15678910[[#This Row],[Total_Cost_MUSD]]*Table15678910[[#This Row],[prob100-failure_rating7]]/100</f>
        <v>1.5927232601609735E-8</v>
      </c>
      <c r="IV19" s="1">
        <f>Table15678910[[#This Row],[Total_Cost_MUSD]]*Table15678910[[#This Row],[prob100-failure_rating8]]/100</f>
        <v>1.5927232601609735E-8</v>
      </c>
      <c r="IW19" s="1">
        <f>Table15678910[[#This Row],[Total_Cost_MUSD]]*Table15678910[[#This Row],[prob100-failure_rating9]]/100</f>
        <v>3.5393850225799406E-10</v>
      </c>
      <c r="IX19" s="1">
        <f>Table15678910[[#This Row],[Total_Cost_MUSD]]*Table15678910[[#This Row],[prob50-failure_rating1]]/50</f>
        <v>7.0787700451598821E-5</v>
      </c>
      <c r="IY19" s="1">
        <f>Table15678910[[#This Row],[Total_Cost_MUSD]]*Table15678910[[#This Row],[prob50-failure_rating2]]/50</f>
        <v>5.8989750376332348E-6</v>
      </c>
      <c r="IZ19" s="1">
        <f>Table15678910[[#This Row],[Total_Cost_MUSD]]*Table15678910[[#This Row],[prob50-failure_rating3]]/50</f>
        <v>1.2977745082793116E-6</v>
      </c>
      <c r="JA19" s="1">
        <f>Table15678910[[#This Row],[Total_Cost_MUSD]]*Table15678910[[#This Row],[prob50-failure_rating4]]/50</f>
        <v>4.7191800301065887E-7</v>
      </c>
      <c r="JB19" s="1">
        <f>Table15678910[[#This Row],[Total_Cost_MUSD]]*Table15678910[[#This Row],[prob50-failure_rating5]]/50</f>
        <v>8.258565052686529E-8</v>
      </c>
      <c r="JC19" s="1">
        <f>Table15678910[[#This Row],[Total_Cost_MUSD]]*Table15678910[[#This Row],[prob50-failure_rating6]]/50</f>
        <v>2.1236310135479646E-8</v>
      </c>
      <c r="JD19" s="1">
        <f>Table15678910[[#This Row],[Total_Cost_MUSD]]*Table15678910[[#This Row],[prob50-failure_rating7]]/50</f>
        <v>2.1236310135479646E-8</v>
      </c>
      <c r="JE19" s="1">
        <f>Table15678910[[#This Row],[Total_Cost_MUSD]]*Table15678910[[#This Row],[prob50-failure_rating8]]/50</f>
        <v>4.7191800301065882E-10</v>
      </c>
      <c r="JF19" s="1">
        <f>Table15678910[[#This Row],[Total_Cost_MUSD]]*Table15678910[[#This Row],[prob50-failure_rating9]]/50</f>
        <v>2.9494875188166174E-10</v>
      </c>
      <c r="JG19" s="1">
        <f>Table15678910[[#This Row],[Total_Cost_MUSD]]*Table15678910[[#This Row],[prob10-failure_rating1]]/10</f>
        <v>3.5393850225799413E-4</v>
      </c>
      <c r="JH19" s="1">
        <f>Table15678910[[#This Row],[Total_Cost_MUSD]]*Table15678910[[#This Row],[prob10-failure_rating2]]/10</f>
        <v>1.7696925112899705E-5</v>
      </c>
      <c r="JI19" s="1">
        <f>Table15678910[[#This Row],[Total_Cost_MUSD]]*Table15678910[[#This Row],[prob10-failure_rating3]]/10</f>
        <v>3.8933235248379348E-6</v>
      </c>
      <c r="JJ19" s="1">
        <f>Table15678910[[#This Row],[Total_Cost_MUSD]]*Table15678910[[#This Row],[prob10-failure_rating4]]/10</f>
        <v>1.4157540090319765E-6</v>
      </c>
      <c r="JK19" s="1">
        <f>Table15678910[[#This Row],[Total_Cost_MUSD]]*Table15678910[[#This Row],[prob10-failure_rating5]]/10</f>
        <v>2.4775695158059587E-7</v>
      </c>
      <c r="JL19" s="1">
        <f>Table15678910[[#This Row],[Total_Cost_MUSD]]*Table15678910[[#This Row],[prob10-failure_rating6]]/10</f>
        <v>6.3708930406438955E-8</v>
      </c>
      <c r="JM19" s="1">
        <f>Table15678910[[#This Row],[Total_Cost_MUSD]]*Table15678910[[#This Row],[prob10-failure_rating7]]/10</f>
        <v>6.3708930406438955E-8</v>
      </c>
      <c r="JN19" s="1">
        <f>Table15678910[[#This Row],[Total_Cost_MUSD]]*Table15678910[[#This Row],[prob10-failure_rating8]]/10</f>
        <v>1.4157540090319765E-9</v>
      </c>
      <c r="JO19" s="1">
        <f>Table15678910[[#This Row],[Total_Cost_MUSD]]*Table15678910[[#This Row],[prob10-failure_rating9]]/10</f>
        <v>8.8484625564498515E-10</v>
      </c>
      <c r="JP19" s="1">
        <f>Table15678910[[#This Row],[FailureCost_Rating1]]</f>
        <v>6.2529135398912294E-5</v>
      </c>
      <c r="JQ19" s="1">
        <f>Table15678910[[#This Row],[FailureCost_Rating2]]</f>
        <v>6.2529135398912294E-5</v>
      </c>
      <c r="JR19" s="1">
        <f>(Table15678910[[#This Row],[failurecost500_rating2]]+Table15678910[[#This Row],[failurecost100_rating2]]+Table15678910[[#This Row],[failurecost50_rating2]]+Table15678910[[#This Row],[failurecost10_rating2]])</f>
        <v>6.2529135398912294E-5</v>
      </c>
      <c r="JS19" s="1">
        <f>(Table15678910[[#This Row],[failurecost500_rating3]]+Table15678910[[#This Row],[failurecost100_rating3]]+Table15678910[[#This Row],[failurecost50_rating3]]+Table15678910[[#This Row],[failurecost10_rating3]])</f>
        <v>1.0393994016309761E-5</v>
      </c>
      <c r="JT19" s="1">
        <f>(Table15678910[[#This Row],[failurecost500_rating4]]+Table15678910[[#This Row],[failurecost100_rating4]]+Table15678910[[#This Row],[failurecost50_rating4]]+Table15678910[[#This Row],[failurecost10_rating4]])</f>
        <v>3.1441536950585145E-6</v>
      </c>
      <c r="JU19" s="1">
        <f>(Table15678910[[#This Row],[failurecost500_rating5]]+Table15678910[[#This Row],[failurecost100_rating5]]+Table15678910[[#This Row],[failurecost50_rating5]]+Table15678910[[#This Row],[failurecost10_rating5]])</f>
        <v>7.3383249468157448E-7</v>
      </c>
      <c r="JV19" s="1">
        <f>(Table15678910[[#This Row],[failurecost500_rating6]]+Table15678910[[#This Row],[failurecost100_rating6]]+Table15678910[[#This Row],[failurecost50_rating6]]+Table15678910[[#This Row],[failurecost10_rating6]])</f>
        <v>1.5962626451835537E-7</v>
      </c>
      <c r="JW19" s="1">
        <f>(Table15678910[[#This Row],[failurecost500_rating7]]+Table15678910[[#This Row],[failurecost100_rating7]]+Table15678910[[#This Row],[failurecost50_rating7]]+Table15678910[[#This Row],[failurecost10_rating7]])</f>
        <v>1.1361425922481612E-7</v>
      </c>
      <c r="JX19" s="1">
        <f>(Table15678910[[#This Row],[failurecost500_rating8]]+Table15678910[[#This Row],[failurecost100_rating8]]+Table15678910[[#This Row],[failurecost50_rating8]]+Table15678910[[#This Row],[failurecost10_rating8]])</f>
        <v>1.8098055415458767E-8</v>
      </c>
      <c r="JY19" s="1">
        <f>(Table15678910[[#This Row],[failurecost500_rating9]]+Table15678910[[#This Row],[failurecost100_rating9]]+Table15678910[[#This Row],[failurecost50_rating9]]+Table15678910[[#This Row],[failurecost10_rating9]])</f>
        <v>1.7107027609136381E-9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Table15678910[[#This Row],[Depth10_Soil_vol]]*(9.353+9.027)+(Table15678910[[#This Row],[Depth10_Soil_vol]]/2.5)*20*1.053+(PI()*Table15678910[[#This Row],[Depth10_Scour]])*Table15678910[[#This Row],[DECK_WIDTH_MT_052]]*1.062</f>
        <v>13853.451944603266</v>
      </c>
      <c r="AR20" s="1">
        <f>Table15678910[[#This Row],[Depth50_Soil_vol]]*(9.353+9.027)+(Table15678910[[#This Row],[Depth50_Soil_vol]]/2.5)*20*1.053+(PI()*Table15678910[[#This Row],[Depth50_Scour]])*Table15678910[[#This Row],[DECK_WIDTH_MT_052]]*1.062</f>
        <v>14885.488907843239</v>
      </c>
      <c r="AS20" s="1">
        <f>Table15678910[[#This Row],[Depth100_Soil_vol]]*(9.353+9.027)+(Table15678910[[#This Row],[Depth100_Soil_vol]]/2.5)*20*1.053+(PI()*Table15678910[[#This Row],[Depth100_Scour]])*Table15678910[[#This Row],[DECK_WIDTH_MT_052]]*1.062</f>
        <v>15342.083437730904</v>
      </c>
      <c r="AT20" s="1">
        <f>Table15678910[[#This Row],[Depth500_Soil_vol]]*(9.353+9.027)+(Table15678910[[#This Row],[Depth500_Soil_vol]]/2.5)*20*1.053+(PI()*Table15678910[[#This Row],[Depth500_Scour]])*Table15678910[[#This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MAX(0,(Table15678910[[#This Row],[Current_rating]]-Table15678910[[#This Row],[Depth10_Rating]])/10+(Table15678910[[#This Row],[Current_rating]]-Table15678910[[#This Row],[Depth50_Rating]])/50+(Table15678910[[#This Row],[Current_rating]]-Table15678910[[#This Row],[Depth100_Rating]])/100+(Table15678910[[#This Row],[Current_rating]]-Table15678910[[#This Row],[Depth500_Rating]])/500)</f>
        <v>0.26400000000000001</v>
      </c>
      <c r="GF20" s="1">
        <v>0.45874144079776369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Sheet4!Q50*$GF$2</f>
        <v>3.0855420681012225E-4</v>
      </c>
      <c r="GM20" s="1">
        <f>Sheet4!R50*$GF$2</f>
        <v>1.7356174133069377E-4</v>
      </c>
      <c r="GN20" s="1">
        <f>Sheet4!S50*$GF$2</f>
        <v>1.1107951445164402E-4</v>
      </c>
      <c r="GO20" s="1">
        <f>Sheet4!T50*$GF$2</f>
        <v>7.7138551702530563E-5</v>
      </c>
      <c r="GP20" s="1">
        <f>Sheet4!U50*$GF$2</f>
        <v>5.667322165900205E-5</v>
      </c>
      <c r="GQ20" s="1">
        <f>Sheet4!V50*$GF$2</f>
        <v>4.3390435332673443E-5</v>
      </c>
      <c r="GR20" s="1">
        <f>Sheet4!W50*$GF$2</f>
        <v>3.4283800756680246E-5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1</v>
      </c>
      <c r="HF20" s="1">
        <v>0.01</v>
      </c>
      <c r="HG20" s="1">
        <v>1.25E-3</v>
      </c>
      <c r="HH20" s="1">
        <v>2.7500000000000002E-4</v>
      </c>
      <c r="HI20" s="1">
        <v>1E-4</v>
      </c>
      <c r="HJ20" s="1">
        <v>1.7499999999999998E-5</v>
      </c>
      <c r="HK20" s="1">
        <v>4.5000000000000001E-6</v>
      </c>
      <c r="HL20" s="1">
        <v>4.5000000000000001E-6</v>
      </c>
      <c r="HM20" s="1">
        <v>9.9999999999999995E-8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Table15678910[[#This Row],[Total_Cost_MUSD]]*Table15678910[[#This Row],[prob500-failure_rating1]]/500</f>
        <v>9.1748288159552734E-6</v>
      </c>
      <c r="IG20" s="1">
        <f>Table15678910[[#This Row],[Total_Cost_MUSD]]*Table15678910[[#This Row],[prob500-failure_rating2]]/500</f>
        <v>4.5874144079776367E-6</v>
      </c>
      <c r="IH20" s="1">
        <f>Table15678910[[#This Row],[Total_Cost_MUSD]]*Table15678910[[#This Row],[prob500-failure_rating3]]/500</f>
        <v>1.0092311697550802E-6</v>
      </c>
      <c r="II20" s="1">
        <f>Table15678910[[#This Row],[Total_Cost_MUSD]]*Table15678910[[#This Row],[prob500-failure_rating4]]/500</f>
        <v>3.6699315263821098E-7</v>
      </c>
      <c r="IJ20" s="1">
        <f>Table15678910[[#This Row],[Total_Cost_MUSD]]*Table15678910[[#This Row],[prob500-failure_rating5]]/500</f>
        <v>6.4223801711686915E-8</v>
      </c>
      <c r="IK20" s="1">
        <f>Table15678910[[#This Row],[Total_Cost_MUSD]]*Table15678910[[#This Row],[prob500-failure_rating6]]/500</f>
        <v>1.6514691868719492E-8</v>
      </c>
      <c r="IL20" s="1">
        <f>Table15678910[[#This Row],[Total_Cost_MUSD]]*Table15678910[[#This Row],[prob500-failure_rating7]]/500</f>
        <v>1.6514691868719492E-8</v>
      </c>
      <c r="IM20" s="1">
        <f>Table15678910[[#This Row],[Total_Cost_MUSD]]*Table15678910[[#This Row],[prob500-failure_rating8]]/500</f>
        <v>3.6699315263821094E-10</v>
      </c>
      <c r="IN20" s="1">
        <f>Table15678910[[#This Row],[Total_Cost_MUSD]]*Table15678910[[#This Row],[prob500-failure_rating9]]/500</f>
        <v>2.2937072039888183E-10</v>
      </c>
      <c r="IO20" s="1">
        <f>Table15678910[[#This Row],[Total_Cost_MUSD]]*Table15678910[[#This Row],[prob100-failure_rating1]]/100</f>
        <v>4.5874144079776366E-3</v>
      </c>
      <c r="IP20" s="1">
        <f>Table15678910[[#This Row],[Total_Cost_MUSD]]*Table15678910[[#This Row],[prob100-failure_rating2]]/100</f>
        <v>4.5874144079776364E-5</v>
      </c>
      <c r="IQ20" s="1">
        <f>Table15678910[[#This Row],[Total_Cost_MUSD]]*Table15678910[[#This Row],[prob100-failure_rating3]]/100</f>
        <v>5.7342680099720455E-6</v>
      </c>
      <c r="IR20" s="1">
        <f>Table15678910[[#This Row],[Total_Cost_MUSD]]*Table15678910[[#This Row],[prob100-failure_rating4]]/100</f>
        <v>1.2615389621938503E-6</v>
      </c>
      <c r="IS20" s="1">
        <f>Table15678910[[#This Row],[Total_Cost_MUSD]]*Table15678910[[#This Row],[prob100-failure_rating5]]/100</f>
        <v>4.5874144079776371E-7</v>
      </c>
      <c r="IT20" s="1">
        <f>Table15678910[[#This Row],[Total_Cost_MUSD]]*Table15678910[[#This Row],[prob100-failure_rating6]]/100</f>
        <v>8.0279752139608647E-8</v>
      </c>
      <c r="IU20" s="1">
        <f>Table15678910[[#This Row],[Total_Cost_MUSD]]*Table15678910[[#This Row],[prob100-failure_rating7]]/100</f>
        <v>2.0643364835899366E-8</v>
      </c>
      <c r="IV20" s="1">
        <f>Table15678910[[#This Row],[Total_Cost_MUSD]]*Table15678910[[#This Row],[prob100-failure_rating8]]/100</f>
        <v>2.0643364835899366E-8</v>
      </c>
      <c r="IW20" s="1">
        <f>Table15678910[[#This Row],[Total_Cost_MUSD]]*Table15678910[[#This Row],[prob100-failure_rating9]]/100</f>
        <v>4.5874144079776365E-10</v>
      </c>
      <c r="IX20" s="1">
        <f>Table15678910[[#This Row],[Total_Cost_MUSD]]*Table15678910[[#This Row],[prob50-failure_rating1]]/50</f>
        <v>9.1748288159552727E-5</v>
      </c>
      <c r="IY20" s="1">
        <f>Table15678910[[#This Row],[Total_Cost_MUSD]]*Table15678910[[#This Row],[prob50-failure_rating2]]/50</f>
        <v>7.6456906799627284E-6</v>
      </c>
      <c r="IZ20" s="1">
        <f>Table15678910[[#This Row],[Total_Cost_MUSD]]*Table15678910[[#This Row],[prob50-failure_rating3]]/50</f>
        <v>1.6820519495918004E-6</v>
      </c>
      <c r="JA20" s="1">
        <f>Table15678910[[#This Row],[Total_Cost_MUSD]]*Table15678910[[#This Row],[prob50-failure_rating4]]/50</f>
        <v>6.1165525439701832E-7</v>
      </c>
      <c r="JB20" s="1">
        <f>Table15678910[[#This Row],[Total_Cost_MUSD]]*Table15678910[[#This Row],[prob50-failure_rating5]]/50</f>
        <v>1.0703966951947819E-7</v>
      </c>
      <c r="JC20" s="1">
        <f>Table15678910[[#This Row],[Total_Cost_MUSD]]*Table15678910[[#This Row],[prob50-failure_rating6]]/50</f>
        <v>2.7524486447865824E-8</v>
      </c>
      <c r="JD20" s="1">
        <f>Table15678910[[#This Row],[Total_Cost_MUSD]]*Table15678910[[#This Row],[prob50-failure_rating7]]/50</f>
        <v>2.7524486447865824E-8</v>
      </c>
      <c r="JE20" s="1">
        <f>Table15678910[[#This Row],[Total_Cost_MUSD]]*Table15678910[[#This Row],[prob50-failure_rating8]]/50</f>
        <v>6.1165525439701821E-10</v>
      </c>
      <c r="JF20" s="1">
        <f>Table15678910[[#This Row],[Total_Cost_MUSD]]*Table15678910[[#This Row],[prob50-failure_rating9]]/50</f>
        <v>3.822845339981364E-10</v>
      </c>
      <c r="JG20" s="1">
        <f>Table15678910[[#This Row],[Total_Cost_MUSD]]*Table15678910[[#This Row],[prob10-failure_rating1]]/10</f>
        <v>4.5874144079776366E-4</v>
      </c>
      <c r="JH20" s="1">
        <f>Table15678910[[#This Row],[Total_Cost_MUSD]]*Table15678910[[#This Row],[prob10-failure_rating2]]/10</f>
        <v>2.2937072039888185E-5</v>
      </c>
      <c r="JI20" s="1">
        <f>Table15678910[[#This Row],[Total_Cost_MUSD]]*Table15678910[[#This Row],[prob10-failure_rating3]]/10</f>
        <v>5.0461558487754002E-6</v>
      </c>
      <c r="JJ20" s="1">
        <f>Table15678910[[#This Row],[Total_Cost_MUSD]]*Table15678910[[#This Row],[prob10-failure_rating4]]/10</f>
        <v>1.8349657631910551E-6</v>
      </c>
      <c r="JK20" s="1">
        <f>Table15678910[[#This Row],[Total_Cost_MUSD]]*Table15678910[[#This Row],[prob10-failure_rating5]]/10</f>
        <v>3.2111900855843454E-7</v>
      </c>
      <c r="JL20" s="1">
        <f>Table15678910[[#This Row],[Total_Cost_MUSD]]*Table15678910[[#This Row],[prob10-failure_rating6]]/10</f>
        <v>8.2573459343597477E-8</v>
      </c>
      <c r="JM20" s="1">
        <f>Table15678910[[#This Row],[Total_Cost_MUSD]]*Table15678910[[#This Row],[prob10-failure_rating7]]/10</f>
        <v>8.2573459343597477E-8</v>
      </c>
      <c r="JN20" s="1">
        <f>Table15678910[[#This Row],[Total_Cost_MUSD]]*Table15678910[[#This Row],[prob10-failure_rating8]]/10</f>
        <v>1.8349657631910548E-9</v>
      </c>
      <c r="JO20" s="1">
        <f>Table15678910[[#This Row],[Total_Cost_MUSD]]*Table15678910[[#This Row],[prob10-failure_rating9]]/10</f>
        <v>1.1468536019944091E-9</v>
      </c>
      <c r="JP20" s="1">
        <f>Table15678910[[#This Row],[FailureCost_Rating1]]</f>
        <v>8.1044321207604912E-5</v>
      </c>
      <c r="JQ20" s="1">
        <f>Table15678910[[#This Row],[FailureCost_Rating2]]</f>
        <v>8.1044321207604912E-5</v>
      </c>
      <c r="JR20" s="1">
        <f>(Table15678910[[#This Row],[failurecost500_rating2]]+Table15678910[[#This Row],[failurecost100_rating2]]+Table15678910[[#This Row],[failurecost50_rating2]]+Table15678910[[#This Row],[failurecost10_rating2]])</f>
        <v>8.1044321207604912E-5</v>
      </c>
      <c r="JS20" s="1">
        <f>(Table15678910[[#This Row],[failurecost500_rating3]]+Table15678910[[#This Row],[failurecost100_rating3]]+Table15678910[[#This Row],[failurecost50_rating3]]+Table15678910[[#This Row],[failurecost10_rating3]])</f>
        <v>1.3471706978094326E-5</v>
      </c>
      <c r="JT20" s="1">
        <f>(Table15678910[[#This Row],[failurecost500_rating4]]+Table15678910[[#This Row],[failurecost100_rating4]]+Table15678910[[#This Row],[failurecost50_rating4]]+Table15678910[[#This Row],[failurecost10_rating4]])</f>
        <v>4.0751531324201345E-6</v>
      </c>
      <c r="JU20" s="1">
        <f>(Table15678910[[#This Row],[failurecost500_rating5]]+Table15678910[[#This Row],[failurecost100_rating5]]+Table15678910[[#This Row],[failurecost50_rating5]]+Table15678910[[#This Row],[failurecost10_rating5]])</f>
        <v>9.5112392058736339E-7</v>
      </c>
      <c r="JV20" s="1">
        <f>(Table15678910[[#This Row],[failurecost500_rating6]]+Table15678910[[#This Row],[failurecost100_rating6]]+Table15678910[[#This Row],[failurecost50_rating6]]+Table15678910[[#This Row],[failurecost10_rating6]])</f>
        <v>2.0689238979979144E-7</v>
      </c>
      <c r="JW20" s="1">
        <f>(Table15678910[[#This Row],[failurecost500_rating7]]+Table15678910[[#This Row],[failurecost100_rating7]]+Table15678910[[#This Row],[failurecost50_rating7]]+Table15678910[[#This Row],[failurecost10_rating7]])</f>
        <v>1.4725600249608217E-7</v>
      </c>
      <c r="JX20" s="1">
        <f>(Table15678910[[#This Row],[failurecost500_rating8]]+Table15678910[[#This Row],[failurecost100_rating8]]+Table15678910[[#This Row],[failurecost50_rating8]]+Table15678910[[#This Row],[failurecost10_rating8]])</f>
        <v>2.3456979006125646E-8</v>
      </c>
      <c r="JY20" s="1">
        <f>(Table15678910[[#This Row],[failurecost500_rating9]]+Table15678910[[#This Row],[failurecost100_rating9]]+Table15678910[[#This Row],[failurecost50_rating9]]+Table15678910[[#This Row],[failurecost10_rating9]])</f>
        <v>2.2172502971891911E-9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61B2-57B5-43E4-B73D-72DA86672A1E}">
  <dimension ref="A1:JY25"/>
  <sheetViews>
    <sheetView tabSelected="1" zoomScaleNormal="100" workbookViewId="0">
      <selection activeCell="BA7" sqref="BA7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Table15678911[[#This Row],[Depth10_Soil_vol]]*(9.353+9.027)+(Table15678911[[#This Row],[Depth10_Soil_vol]]/2.5)*20*1.053+(PI()*Table15678911[[#This Row],[Depth10_Scour]])*Table15678911[[#This Row],[DECK_WIDTH_MT_052]]*1.062</f>
        <v>11998.897701083155</v>
      </c>
      <c r="AR2" s="1">
        <f>Table15678911[[#This Row],[Depth50_Soil_vol]]*(9.353+9.027)+(Table15678911[[#This Row],[Depth50_Soil_vol]]/2.5)*20*1.053+(PI()*Table15678911[[#This Row],[Depth50_Scour]])*Table15678911[[#This Row],[DECK_WIDTH_MT_052]]*1.062</f>
        <v>12798.983727608316</v>
      </c>
      <c r="AS2" s="1">
        <f>Table15678911[[#This Row],[Depth100_Soil_vol]]*(9.353+9.027)+(Table15678911[[#This Row],[Depth100_Soil_vol]]/2.5)*20*1.053+(PI()*Table15678911[[#This Row],[Depth100_Scour]])*Table15678911[[#This Row],[DECK_WIDTH_MT_052]]*1.062</f>
        <v>13156.203147223239</v>
      </c>
      <c r="AT2" s="1">
        <f>Table15678911[[#This Row],[Depth500_Soil_vol]]*(9.353+9.027)+(Table15678911[[#This Row],[Depth500_Soil_vol]]/2.5)*20*1.053+(PI()*Table15678911[[#This Row],[Depth500_Scour]])*Table15678911[[#This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0.39600000000000002</v>
      </c>
      <c r="GF2" s="1">
        <v>28.990788219999999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25769.589528888886</v>
      </c>
      <c r="GM2" s="1">
        <f>Sheet4!R32*$GF2*1000000</f>
        <v>14495.394110000001</v>
      </c>
      <c r="GN2" s="1">
        <f>Sheet4!S32*$GF2*1000000</f>
        <v>9277.0522304000006</v>
      </c>
      <c r="GO2" s="1">
        <f>Sheet4!T32*$GF2*1000000</f>
        <v>6442.3973822222215</v>
      </c>
      <c r="GP2" s="1">
        <f>Sheet4!U32*$GF2*1000000</f>
        <v>4733.1899134693876</v>
      </c>
      <c r="GQ2" s="1">
        <f>Sheet4!V32*$GF2*1000000</f>
        <v>3623.8485275000003</v>
      </c>
      <c r="GR2" s="1">
        <f>Sheet4!W32*$GF2*1000000</f>
        <v>2863.2877254320983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>
        <v>0.01</v>
      </c>
      <c r="HF2">
        <v>1.25E-3</v>
      </c>
      <c r="HG2">
        <v>2.7500000000000002E-4</v>
      </c>
      <c r="HH2">
        <v>1E-4</v>
      </c>
      <c r="HI2">
        <v>1.7499999999999998E-5</v>
      </c>
      <c r="HJ2">
        <v>4.5000000000000001E-6</v>
      </c>
      <c r="HK2">
        <v>4.5000000000000001E-6</v>
      </c>
      <c r="HL2">
        <v>9.9999999999999995E-8</v>
      </c>
      <c r="HM2">
        <v>6.2499999999999997E-8</v>
      </c>
      <c r="HN2">
        <v>0.01</v>
      </c>
      <c r="HO2">
        <v>8.3333333333333339E-4</v>
      </c>
      <c r="HP2">
        <v>1.8333333333333334E-4</v>
      </c>
      <c r="HQ2">
        <v>6.666666666666667E-5</v>
      </c>
      <c r="HR2">
        <v>1.1666666666666666E-5</v>
      </c>
      <c r="HS2">
        <v>3.0000000000000001E-6</v>
      </c>
      <c r="HT2">
        <v>3.0000000000000001E-6</v>
      </c>
      <c r="HU2">
        <v>6.6666666666666668E-8</v>
      </c>
      <c r="HV2">
        <v>4.1666666666666663E-8</v>
      </c>
      <c r="HW2">
        <v>0.01</v>
      </c>
      <c r="HX2">
        <v>5.0000000000000001E-4</v>
      </c>
      <c r="HY2">
        <v>1.1E-4</v>
      </c>
      <c r="HZ2">
        <v>4.0000000000000003E-5</v>
      </c>
      <c r="IA2">
        <v>6.999999999999999E-6</v>
      </c>
      <c r="IB2">
        <v>1.8000000000000001E-6</v>
      </c>
      <c r="IC2">
        <v>1.8000000000000001E-6</v>
      </c>
      <c r="ID2">
        <v>4.0000000000000001E-8</v>
      </c>
      <c r="IE2">
        <v>2.4999999999999999E-8</v>
      </c>
      <c r="IF2" s="1">
        <f>Table15678911[[#This Row],[Total_Cost_MUSD]]*1000000*Table15678911[[#This Row],[prob500-failure_rating1]]/500</f>
        <v>579.81576440000003</v>
      </c>
      <c r="IG2" s="1">
        <f>Table15678911[[#This Row],[Total_Cost_MUSD]]*1000000*Table15678911[[#This Row],[prob500-failure_rating2]]/500</f>
        <v>289.90788220000002</v>
      </c>
      <c r="IH2" s="1">
        <f>Table15678911[[#This Row],[Total_Cost_MUSD]]*1000000*Table15678911[[#This Row],[prob500-failure_rating3]]/500</f>
        <v>63.779734084000005</v>
      </c>
      <c r="II2" s="1">
        <f>Table15678911[[#This Row],[Total_Cost_MUSD]]*1000000*Table15678911[[#This Row],[prob500-failure_rating4]]/500</f>
        <v>23.192630575999999</v>
      </c>
      <c r="IJ2" s="1">
        <f>Table15678911[[#This Row],[Total_Cost_MUSD]]*1000000*Table15678911[[#This Row],[prob500-failure_rating5]]/500</f>
        <v>4.0587103507999993</v>
      </c>
      <c r="IK2" s="1">
        <f>Table15678911[[#This Row],[Total_Cost_MUSD]]*1000000*Table15678911[[#This Row],[prob500-failure_rating6]]/500</f>
        <v>1.0436683759200001</v>
      </c>
      <c r="IL2" s="1">
        <f>Table15678911[[#This Row],[Total_Cost_MUSD]]*1000000*Table15678911[[#This Row],[prob500-failure_rating7]]/500</f>
        <v>1.0436683759200001</v>
      </c>
      <c r="IM2" s="1">
        <f>Table15678911[[#This Row],[Total_Cost_MUSD]]*1000000*Table15678911[[#This Row],[prob500-failure_rating8]]/500</f>
        <v>2.3192630576E-2</v>
      </c>
      <c r="IN2" s="1">
        <f>Table15678911[[#This Row],[Total_Cost_MUSD]]*1000000*Table15678911[[#This Row],[prob500-failure_rating9]]/500</f>
        <v>1.4495394109999999E-2</v>
      </c>
      <c r="IO2" s="1">
        <f>Table15678911[[#This Row],[Total_Cost_MUSD]]*1000000*Table15678911[[#This Row],[prob100-failure_rating1]]/100</f>
        <v>2899.0788219999999</v>
      </c>
      <c r="IP2" s="1">
        <f>Table15678911[[#This Row],[Total_Cost_MUSD]]*1000000*Table15678911[[#This Row],[prob100-failure_rating2]]/100</f>
        <v>362.38485274999999</v>
      </c>
      <c r="IQ2" s="1">
        <f>Table15678911[[#This Row],[Total_Cost_MUSD]]*1000000*Table15678911[[#This Row],[prob100-failure_rating3]]/100</f>
        <v>79.724667605000008</v>
      </c>
      <c r="IR2" s="1">
        <f>Table15678911[[#This Row],[Total_Cost_MUSD]]*1000000*Table15678911[[#This Row],[prob100-failure_rating4]]/100</f>
        <v>28.990788219999999</v>
      </c>
      <c r="IS2" s="1">
        <f>Table15678911[[#This Row],[Total_Cost_MUSD]]*1000000*Table15678911[[#This Row],[prob100-failure_rating5]]/100</f>
        <v>5.0733879384999998</v>
      </c>
      <c r="IT2" s="1">
        <f>Table15678911[[#This Row],[Total_Cost_MUSD]]*1000000*Table15678911[[#This Row],[prob100-failure_rating6]]/100</f>
        <v>1.3045854699000001</v>
      </c>
      <c r="IU2" s="1">
        <f>Table15678911[[#This Row],[Total_Cost_MUSD]]*1000000*Table15678911[[#This Row],[prob100-failure_rating7]]/100</f>
        <v>1.3045854699000001</v>
      </c>
      <c r="IV2" s="1">
        <f>Table15678911[[#This Row],[Total_Cost_MUSD]]*1000000*Table15678911[[#This Row],[prob100-failure_rating8]]/100</f>
        <v>2.8990788219999997E-2</v>
      </c>
      <c r="IW2" s="1">
        <f>Table15678911[[#This Row],[Total_Cost_MUSD]]*1000000*Table15678911[[#This Row],[prob100-failure_rating9]]/100</f>
        <v>1.8119242637499998E-2</v>
      </c>
      <c r="IX2" s="1">
        <f>Table15678911[[#This Row],[Total_Cost_MUSD]]*1000000*Table15678911[[#This Row],[prob50-failure_rating1]]/50</f>
        <v>5798.1576439999999</v>
      </c>
      <c r="IY2" s="1">
        <f>Table15678911[[#This Row],[Total_Cost_MUSD]]*1000000*Table15678911[[#This Row],[prob50-failure_rating2]]/50</f>
        <v>483.17980366666671</v>
      </c>
      <c r="IZ2" s="1">
        <f>Table15678911[[#This Row],[Total_Cost_MUSD]]*1000000*Table15678911[[#This Row],[prob50-failure_rating3]]/50</f>
        <v>106.29955680666666</v>
      </c>
      <c r="JA2" s="1">
        <f>Table15678911[[#This Row],[Total_Cost_MUSD]]*1000000*Table15678911[[#This Row],[prob50-failure_rating4]]/50</f>
        <v>38.654384293333329</v>
      </c>
      <c r="JB2" s="1">
        <f>Table15678911[[#This Row],[Total_Cost_MUSD]]*1000000*Table15678911[[#This Row],[prob50-failure_rating5]]/50</f>
        <v>6.7645172513333334</v>
      </c>
      <c r="JC2" s="1">
        <f>Table15678911[[#This Row],[Total_Cost_MUSD]]*1000000*Table15678911[[#This Row],[prob50-failure_rating6]]/50</f>
        <v>1.7394472932</v>
      </c>
      <c r="JD2" s="1">
        <f>Table15678911[[#This Row],[Total_Cost_MUSD]]*1000000*Table15678911[[#This Row],[prob50-failure_rating7]]/50</f>
        <v>1.7394472932</v>
      </c>
      <c r="JE2" s="1">
        <f>Table15678911[[#This Row],[Total_Cost_MUSD]]*1000000*Table15678911[[#This Row],[prob50-failure_rating8]]/50</f>
        <v>3.865438429333333E-2</v>
      </c>
      <c r="JF2" s="1">
        <f>Table15678911[[#This Row],[Total_Cost_MUSD]]*1000000*Table15678911[[#This Row],[prob50-failure_rating9]]/50</f>
        <v>2.4158990183333329E-2</v>
      </c>
      <c r="JG2" s="1">
        <f>Table15678911[[#This Row],[Total_Cost_MUSD]]*1000000*Table15678911[[#This Row],[prob10-failure_rating1]]/10</f>
        <v>28990.788219999999</v>
      </c>
      <c r="JH2" s="1">
        <f>Table15678911[[#This Row],[Total_Cost_MUSD]]*1000000*Table15678911[[#This Row],[prob10-failure_rating2]]/10</f>
        <v>1449.539411</v>
      </c>
      <c r="JI2" s="1">
        <f>Table15678911[[#This Row],[Total_Cost_MUSD]]*1000000*Table15678911[[#This Row],[prob10-failure_rating3]]/10</f>
        <v>318.89867042000003</v>
      </c>
      <c r="JJ2" s="1">
        <f>Table15678911[[#This Row],[Total_Cost_MUSD]]*1000000*Table15678911[[#This Row],[prob10-failure_rating4]]/10</f>
        <v>115.96315288000001</v>
      </c>
      <c r="JK2" s="1">
        <f>Table15678911[[#This Row],[Total_Cost_MUSD]]*1000000*Table15678911[[#This Row],[prob10-failure_rating5]]/10</f>
        <v>20.293551753999999</v>
      </c>
      <c r="JL2" s="1">
        <f>Table15678911[[#This Row],[Total_Cost_MUSD]]*1000000*Table15678911[[#This Row],[prob10-failure_rating6]]/10</f>
        <v>5.2183418796000005</v>
      </c>
      <c r="JM2" s="1">
        <f>Table15678911[[#This Row],[Total_Cost_MUSD]]*1000000*Table15678911[[#This Row],[prob10-failure_rating7]]/10</f>
        <v>5.2183418796000005</v>
      </c>
      <c r="JN2" s="1">
        <f>Table15678911[[#This Row],[Total_Cost_MUSD]]*1000000*Table15678911[[#This Row],[prob10-failure_rating8]]/10</f>
        <v>0.11596315287999999</v>
      </c>
      <c r="JO2" s="1">
        <f>Table15678911[[#This Row],[Total_Cost_MUSD]]*1000000*Table15678911[[#This Row],[prob10-failure_rating9]]/10</f>
        <v>7.2476970549999992E-2</v>
      </c>
      <c r="JP2" s="1">
        <f>Table15678911[[#This Row],[FailureCost_Rating1]]</f>
        <v>2585.0119496166667</v>
      </c>
      <c r="JQ2" s="1">
        <f>Table15678911[[#This Row],[FailureCost_Rating2]]</f>
        <v>2585.0119496166667</v>
      </c>
      <c r="JR2" s="1">
        <f>(Table15678911[[#This Row],[failurecost500_rating2]]+Table15678911[[#This Row],[failurecost100_rating2]]+Table15678911[[#This Row],[failurecost50_rating2]]+Table15678911[[#This Row],[failurecost10_rating2]])</f>
        <v>2585.0119496166667</v>
      </c>
      <c r="JS2" s="1">
        <f>(Table15678911[[#This Row],[failurecost500_rating3]]+Table15678911[[#This Row],[failurecost100_rating3]]+Table15678911[[#This Row],[failurecost50_rating3]]+Table15678911[[#This Row],[failurecost10_rating3]])</f>
        <v>568.70262891566676</v>
      </c>
      <c r="JT2" s="1">
        <f>(Table15678911[[#This Row],[failurecost500_rating4]]+Table15678911[[#This Row],[failurecost100_rating4]]+Table15678911[[#This Row],[failurecost50_rating4]]+Table15678911[[#This Row],[failurecost10_rating4]])</f>
        <v>206.80095596933336</v>
      </c>
      <c r="JU2" s="1">
        <f>(Table15678911[[#This Row],[failurecost500_rating5]]+Table15678911[[#This Row],[failurecost100_rating5]]+Table15678911[[#This Row],[failurecost50_rating5]]+Table15678911[[#This Row],[failurecost10_rating5]])</f>
        <v>36.190167294633333</v>
      </c>
      <c r="JV2" s="1">
        <f>(Table15678911[[#This Row],[failurecost500_rating6]]+Table15678911[[#This Row],[failurecost100_rating6]]+Table15678911[[#This Row],[failurecost50_rating6]]+Table15678911[[#This Row],[failurecost10_rating6]])</f>
        <v>9.3060430186200005</v>
      </c>
      <c r="JW2" s="1">
        <f>(Table15678911[[#This Row],[failurecost500_rating7]]+Table15678911[[#This Row],[failurecost100_rating7]]+Table15678911[[#This Row],[failurecost50_rating7]]+Table15678911[[#This Row],[failurecost10_rating7]])</f>
        <v>9.3060430186200005</v>
      </c>
      <c r="JX2" s="1">
        <f>(Table15678911[[#This Row],[failurecost500_rating8]]+Table15678911[[#This Row],[failurecost100_rating8]]+Table15678911[[#This Row],[failurecost50_rating8]]+Table15678911[[#This Row],[failurecost10_rating8]])</f>
        <v>0.20680095596933332</v>
      </c>
      <c r="JY2" s="1">
        <f>(Table15678911[[#This Row],[failurecost500_rating9]]+Table15678911[[#This Row],[failurecost100_rating9]]+Table15678911[[#This Row],[failurecost50_rating9]]+Table15678911[[#This Row],[failurecost10_rating9]])</f>
        <v>0.12925059748083331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Table15678911[[#This Row],[Depth10_Soil_vol]]*(9.353+9.027)+(Table15678911[[#This Row],[Depth10_Soil_vol]]/2.5)*20*1.053+(PI()*Table15678911[[#This Row],[Depth10_Scour]])*Table15678911[[#This Row],[DECK_WIDTH_MT_052]]*1.062</f>
        <v>0</v>
      </c>
      <c r="AR3" s="1">
        <f>Table15678911[[#This Row],[Depth50_Soil_vol]]*(9.353+9.027)+(Table15678911[[#This Row],[Depth50_Soil_vol]]/2.5)*20*1.053+(PI()*Table15678911[[#This Row],[Depth50_Scour]])*Table15678911[[#This Row],[DECK_WIDTH_MT_052]]*1.062</f>
        <v>9520.728233804819</v>
      </c>
      <c r="AS3" s="1">
        <f>Table15678911[[#This Row],[Depth100_Soil_vol]]*(9.353+9.027)+(Table15678911[[#This Row],[Depth100_Soil_vol]]/2.5)*20*1.053+(PI()*Table15678911[[#This Row],[Depth100_Scour]])*Table15678911[[#This Row],[DECK_WIDTH_MT_052]]*1.062</f>
        <v>9985.7559384332872</v>
      </c>
      <c r="AT3" s="1">
        <f>Table15678911[[#This Row],[Depth500_Soil_vol]]*(9.353+9.027)+(Table15678911[[#This Row],[Depth500_Soil_vol]]/2.5)*20*1.053+(PI()*Table15678911[[#This Row],[Depth500_Scour]])*Table15678911[[#This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3" s="1">
        <v>18.95289927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16847.021573333332</v>
      </c>
      <c r="GM3" s="1">
        <f>Sheet4!R33*$GF3*1000000</f>
        <v>9476.4496350000009</v>
      </c>
      <c r="GN3" s="1">
        <f>Sheet4!S33*$GF3*1000000</f>
        <v>6064.9277664000001</v>
      </c>
      <c r="GO3" s="1">
        <f>Sheet4!T33*$GF3*1000000</f>
        <v>4211.7553933333329</v>
      </c>
      <c r="GP3" s="1">
        <f>Sheet4!U33*$GF3*1000000</f>
        <v>3094.350901224489</v>
      </c>
      <c r="GQ3" s="1">
        <f>Sheet4!V33*$GF3*1000000</f>
        <v>2369.1124087500002</v>
      </c>
      <c r="GR3" s="1">
        <f>Sheet4!W33*$GF3*1000000</f>
        <v>1871.8912859259258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>
        <v>0.01</v>
      </c>
      <c r="HF3">
        <v>1.25E-3</v>
      </c>
      <c r="HG3">
        <v>2.7500000000000002E-4</v>
      </c>
      <c r="HH3">
        <v>1E-4</v>
      </c>
      <c r="HI3">
        <v>1.7499999999999998E-5</v>
      </c>
      <c r="HJ3">
        <v>4.5000000000000001E-6</v>
      </c>
      <c r="HK3">
        <v>4.5000000000000001E-6</v>
      </c>
      <c r="HL3">
        <v>9.9999999999999995E-8</v>
      </c>
      <c r="HM3">
        <v>6.2499999999999997E-8</v>
      </c>
      <c r="HN3">
        <v>0.01</v>
      </c>
      <c r="HO3">
        <v>8.3333333333333339E-4</v>
      </c>
      <c r="HP3">
        <v>1.8333333333333334E-4</v>
      </c>
      <c r="HQ3">
        <v>6.666666666666667E-5</v>
      </c>
      <c r="HR3">
        <v>1.1666666666666666E-5</v>
      </c>
      <c r="HS3">
        <v>3.0000000000000001E-6</v>
      </c>
      <c r="HT3">
        <v>3.0000000000000001E-6</v>
      </c>
      <c r="HU3">
        <v>6.6666666666666668E-8</v>
      </c>
      <c r="HV3">
        <v>4.1666666666666663E-8</v>
      </c>
      <c r="HW3">
        <v>0.01</v>
      </c>
      <c r="HX3">
        <v>5.0000000000000001E-4</v>
      </c>
      <c r="HY3">
        <v>1.1E-4</v>
      </c>
      <c r="HZ3">
        <v>4.0000000000000003E-5</v>
      </c>
      <c r="IA3">
        <v>6.999999999999999E-6</v>
      </c>
      <c r="IB3">
        <v>1.8000000000000001E-6</v>
      </c>
      <c r="IC3">
        <v>1.8000000000000001E-6</v>
      </c>
      <c r="ID3">
        <v>4.0000000000000001E-8</v>
      </c>
      <c r="IE3">
        <v>2.4999999999999999E-8</v>
      </c>
      <c r="IF3" s="1">
        <f>Table15678911[[#This Row],[Total_Cost_MUSD]]*1000000*Table15678911[[#This Row],[prob500-failure_rating1]]/500</f>
        <v>379.05798540000001</v>
      </c>
      <c r="IG3" s="1">
        <f>Table15678911[[#This Row],[Total_Cost_MUSD]]*1000000*Table15678911[[#This Row],[prob500-failure_rating2]]/500</f>
        <v>189.5289927</v>
      </c>
      <c r="IH3" s="1">
        <f>Table15678911[[#This Row],[Total_Cost_MUSD]]*1000000*Table15678911[[#This Row],[prob500-failure_rating3]]/500</f>
        <v>41.696378394</v>
      </c>
      <c r="II3" s="1">
        <f>Table15678911[[#This Row],[Total_Cost_MUSD]]*1000000*Table15678911[[#This Row],[prob500-failure_rating4]]/500</f>
        <v>15.162319416000001</v>
      </c>
      <c r="IJ3" s="1">
        <f>Table15678911[[#This Row],[Total_Cost_MUSD]]*1000000*Table15678911[[#This Row],[prob500-failure_rating5]]/500</f>
        <v>2.6534058977999999</v>
      </c>
      <c r="IK3" s="1">
        <f>Table15678911[[#This Row],[Total_Cost_MUSD]]*1000000*Table15678911[[#This Row],[prob500-failure_rating6]]/500</f>
        <v>0.68230437372000008</v>
      </c>
      <c r="IL3" s="1">
        <f>Table15678911[[#This Row],[Total_Cost_MUSD]]*1000000*Table15678911[[#This Row],[prob500-failure_rating7]]/500</f>
        <v>0.68230437372000008</v>
      </c>
      <c r="IM3" s="1">
        <f>Table15678911[[#This Row],[Total_Cost_MUSD]]*1000000*Table15678911[[#This Row],[prob500-failure_rating8]]/500</f>
        <v>1.5162319415999999E-2</v>
      </c>
      <c r="IN3" s="1">
        <f>Table15678911[[#This Row],[Total_Cost_MUSD]]*1000000*Table15678911[[#This Row],[prob500-failure_rating9]]/500</f>
        <v>9.4764496350000001E-3</v>
      </c>
      <c r="IO3" s="1">
        <f>Table15678911[[#This Row],[Total_Cost_MUSD]]*1000000*Table15678911[[#This Row],[prob100-failure_rating1]]/100</f>
        <v>1895.289927</v>
      </c>
      <c r="IP3" s="1">
        <f>Table15678911[[#This Row],[Total_Cost_MUSD]]*1000000*Table15678911[[#This Row],[prob100-failure_rating2]]/100</f>
        <v>236.911240875</v>
      </c>
      <c r="IQ3" s="1">
        <f>Table15678911[[#This Row],[Total_Cost_MUSD]]*1000000*Table15678911[[#This Row],[prob100-failure_rating3]]/100</f>
        <v>52.120472992499998</v>
      </c>
      <c r="IR3" s="1">
        <f>Table15678911[[#This Row],[Total_Cost_MUSD]]*1000000*Table15678911[[#This Row],[prob100-failure_rating4]]/100</f>
        <v>18.95289927</v>
      </c>
      <c r="IS3" s="1">
        <f>Table15678911[[#This Row],[Total_Cost_MUSD]]*1000000*Table15678911[[#This Row],[prob100-failure_rating5]]/100</f>
        <v>3.3167573722499997</v>
      </c>
      <c r="IT3" s="1">
        <f>Table15678911[[#This Row],[Total_Cost_MUSD]]*1000000*Table15678911[[#This Row],[prob100-failure_rating6]]/100</f>
        <v>0.8528804671500001</v>
      </c>
      <c r="IU3" s="1">
        <f>Table15678911[[#This Row],[Total_Cost_MUSD]]*1000000*Table15678911[[#This Row],[prob100-failure_rating7]]/100</f>
        <v>0.8528804671500001</v>
      </c>
      <c r="IV3" s="1">
        <f>Table15678911[[#This Row],[Total_Cost_MUSD]]*1000000*Table15678911[[#This Row],[prob100-failure_rating8]]/100</f>
        <v>1.895289927E-2</v>
      </c>
      <c r="IW3" s="1">
        <f>Table15678911[[#This Row],[Total_Cost_MUSD]]*1000000*Table15678911[[#This Row],[prob100-failure_rating9]]/100</f>
        <v>1.1845562043750001E-2</v>
      </c>
      <c r="IX3" s="1">
        <f>Table15678911[[#This Row],[Total_Cost_MUSD]]*1000000*Table15678911[[#This Row],[prob50-failure_rating1]]/50</f>
        <v>3790.5798540000001</v>
      </c>
      <c r="IY3" s="1">
        <f>Table15678911[[#This Row],[Total_Cost_MUSD]]*1000000*Table15678911[[#This Row],[prob50-failure_rating2]]/50</f>
        <v>315.88165450000002</v>
      </c>
      <c r="IZ3" s="1">
        <f>Table15678911[[#This Row],[Total_Cost_MUSD]]*1000000*Table15678911[[#This Row],[prob50-failure_rating3]]/50</f>
        <v>69.493963989999997</v>
      </c>
      <c r="JA3" s="1">
        <f>Table15678911[[#This Row],[Total_Cost_MUSD]]*1000000*Table15678911[[#This Row],[prob50-failure_rating4]]/50</f>
        <v>25.270532360000001</v>
      </c>
      <c r="JB3" s="1">
        <f>Table15678911[[#This Row],[Total_Cost_MUSD]]*1000000*Table15678911[[#This Row],[prob50-failure_rating5]]/50</f>
        <v>4.4223431629999999</v>
      </c>
      <c r="JC3" s="1">
        <f>Table15678911[[#This Row],[Total_Cost_MUSD]]*1000000*Table15678911[[#This Row],[prob50-failure_rating6]]/50</f>
        <v>1.1371739562000001</v>
      </c>
      <c r="JD3" s="1">
        <f>Table15678911[[#This Row],[Total_Cost_MUSD]]*1000000*Table15678911[[#This Row],[prob50-failure_rating7]]/50</f>
        <v>1.1371739562000001</v>
      </c>
      <c r="JE3" s="1">
        <f>Table15678911[[#This Row],[Total_Cost_MUSD]]*1000000*Table15678911[[#This Row],[prob50-failure_rating8]]/50</f>
        <v>2.527053236E-2</v>
      </c>
      <c r="JF3" s="1">
        <f>Table15678911[[#This Row],[Total_Cost_MUSD]]*1000000*Table15678911[[#This Row],[prob50-failure_rating9]]/50</f>
        <v>1.5794082724999998E-2</v>
      </c>
      <c r="JG3" s="1">
        <f>Table15678911[[#This Row],[Total_Cost_MUSD]]*1000000*Table15678911[[#This Row],[prob10-failure_rating1]]/10</f>
        <v>18952.899270000002</v>
      </c>
      <c r="JH3" s="1">
        <f>Table15678911[[#This Row],[Total_Cost_MUSD]]*1000000*Table15678911[[#This Row],[prob10-failure_rating2]]/10</f>
        <v>947.64496350000013</v>
      </c>
      <c r="JI3" s="1">
        <f>Table15678911[[#This Row],[Total_Cost_MUSD]]*1000000*Table15678911[[#This Row],[prob10-failure_rating3]]/10</f>
        <v>208.48189197000002</v>
      </c>
      <c r="JJ3" s="1">
        <f>Table15678911[[#This Row],[Total_Cost_MUSD]]*1000000*Table15678911[[#This Row],[prob10-failure_rating4]]/10</f>
        <v>75.811597079999999</v>
      </c>
      <c r="JK3" s="1">
        <f>Table15678911[[#This Row],[Total_Cost_MUSD]]*1000000*Table15678911[[#This Row],[prob10-failure_rating5]]/10</f>
        <v>13.267029488999999</v>
      </c>
      <c r="JL3" s="1">
        <f>Table15678911[[#This Row],[Total_Cost_MUSD]]*1000000*Table15678911[[#This Row],[prob10-failure_rating6]]/10</f>
        <v>3.4115218686</v>
      </c>
      <c r="JM3" s="1">
        <f>Table15678911[[#This Row],[Total_Cost_MUSD]]*1000000*Table15678911[[#This Row],[prob10-failure_rating7]]/10</f>
        <v>3.4115218686</v>
      </c>
      <c r="JN3" s="1">
        <f>Table15678911[[#This Row],[Total_Cost_MUSD]]*1000000*Table15678911[[#This Row],[prob10-failure_rating8]]/10</f>
        <v>7.5811597080000001E-2</v>
      </c>
      <c r="JO3" s="1">
        <f>Table15678911[[#This Row],[Total_Cost_MUSD]]*1000000*Table15678911[[#This Row],[prob10-failure_rating9]]/10</f>
        <v>4.7382248174999995E-2</v>
      </c>
      <c r="JP3" s="1">
        <f>Table15678911[[#This Row],[FailureCost_Rating1]]</f>
        <v>1689.9668515750002</v>
      </c>
      <c r="JQ3" s="1">
        <f>Table15678911[[#This Row],[FailureCost_Rating2]]</f>
        <v>1689.9668515750002</v>
      </c>
      <c r="JR3" s="1">
        <f>(Table15678911[[#This Row],[failurecost500_rating2]]+Table15678911[[#This Row],[failurecost100_rating2]]+Table15678911[[#This Row],[failurecost50_rating2]]+Table15678911[[#This Row],[failurecost10_rating2]])</f>
        <v>1689.9668515750002</v>
      </c>
      <c r="JS3" s="1">
        <f>(Table15678911[[#This Row],[failurecost500_rating3]]+Table15678911[[#This Row],[failurecost100_rating3]]+Table15678911[[#This Row],[failurecost50_rating3]]+Table15678911[[#This Row],[failurecost10_rating3]])</f>
        <v>371.79270734650004</v>
      </c>
      <c r="JT3" s="1">
        <f>(Table15678911[[#This Row],[failurecost500_rating4]]+Table15678911[[#This Row],[failurecost100_rating4]]+Table15678911[[#This Row],[failurecost50_rating4]]+Table15678911[[#This Row],[failurecost10_rating4]])</f>
        <v>135.19734812600001</v>
      </c>
      <c r="JU3" s="1">
        <f>(Table15678911[[#This Row],[failurecost500_rating5]]+Table15678911[[#This Row],[failurecost100_rating5]]+Table15678911[[#This Row],[failurecost50_rating5]]+Table15678911[[#This Row],[failurecost10_rating5]])</f>
        <v>23.659535922049997</v>
      </c>
      <c r="JV3" s="1">
        <f>(Table15678911[[#This Row],[failurecost500_rating6]]+Table15678911[[#This Row],[failurecost100_rating6]]+Table15678911[[#This Row],[failurecost50_rating6]]+Table15678911[[#This Row],[failurecost10_rating6]])</f>
        <v>6.0838806656699997</v>
      </c>
      <c r="JW3" s="1">
        <f>(Table15678911[[#This Row],[failurecost500_rating7]]+Table15678911[[#This Row],[failurecost100_rating7]]+Table15678911[[#This Row],[failurecost50_rating7]]+Table15678911[[#This Row],[failurecost10_rating7]])</f>
        <v>6.0838806656699997</v>
      </c>
      <c r="JX3" s="1">
        <f>(Table15678911[[#This Row],[failurecost500_rating8]]+Table15678911[[#This Row],[failurecost100_rating8]]+Table15678911[[#This Row],[failurecost50_rating8]]+Table15678911[[#This Row],[failurecost10_rating8]])</f>
        <v>0.13519734812599998</v>
      </c>
      <c r="JY3" s="1">
        <f>(Table15678911[[#This Row],[failurecost500_rating9]]+Table15678911[[#This Row],[failurecost100_rating9]]+Table15678911[[#This Row],[failurecost50_rating9]]+Table15678911[[#This Row],[failurecost10_rating9]])</f>
        <v>8.4498342578749996E-2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Table15678911[[#This Row],[Depth10_Soil_vol]]*(9.353+9.027)+(Table15678911[[#This Row],[Depth10_Soil_vol]]/2.5)*20*1.053+(PI()*Table15678911[[#This Row],[Depth10_Scour]])*Table15678911[[#This Row],[DECK_WIDTH_MT_052]]*1.062</f>
        <v>0</v>
      </c>
      <c r="AR4" s="1">
        <f>Table15678911[[#This Row],[Depth50_Soil_vol]]*(9.353+9.027)+(Table15678911[[#This Row],[Depth50_Soil_vol]]/2.5)*20*1.053+(PI()*Table15678911[[#This Row],[Depth50_Scour]])*Table15678911[[#This Row],[DECK_WIDTH_MT_052]]*1.062</f>
        <v>5183.5345730170238</v>
      </c>
      <c r="AS4" s="1">
        <f>Table15678911[[#This Row],[Depth100_Soil_vol]]*(9.353+9.027)+(Table15678911[[#This Row],[Depth100_Soil_vol]]/2.5)*20*1.053+(PI()*Table15678911[[#This Row],[Depth100_Scour]])*Table15678911[[#This Row],[DECK_WIDTH_MT_052]]*1.062</f>
        <v>5452.2219529566692</v>
      </c>
      <c r="AT4" s="1">
        <f>Table15678911[[#This Row],[Depth500_Soil_vol]]*(9.353+9.027)+(Table15678911[[#This Row],[Depth500_Soil_vol]]/2.5)*20*1.053+(PI()*Table15678911[[#This Row],[Depth500_Scour]])*Table15678911[[#This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9.6000000000000002E-2</v>
      </c>
      <c r="GF4" s="1">
        <v>36.37292137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32331.485662222221</v>
      </c>
      <c r="GM4" s="1">
        <f>Sheet4!R34*$GF4*1000000</f>
        <v>18186.460684999998</v>
      </c>
      <c r="GN4" s="1">
        <f>Sheet4!S34*$GF4*1000000</f>
        <v>11639.334838400004</v>
      </c>
      <c r="GO4" s="1">
        <f>Sheet4!T34*$GF4*1000000</f>
        <v>8082.8714155555554</v>
      </c>
      <c r="GP4" s="1">
        <f>Sheet4!U34*$GF4*1000000</f>
        <v>5938.4361420408177</v>
      </c>
      <c r="GQ4" s="1">
        <f>Sheet4!V34*$GF4*1000000</f>
        <v>4546.6151712499995</v>
      </c>
      <c r="GR4" s="1">
        <f>Sheet4!W34*$GF4*1000000</f>
        <v>3592.3872958024695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>
        <v>0.01</v>
      </c>
      <c r="HF4">
        <v>1.25E-3</v>
      </c>
      <c r="HG4">
        <v>2.7500000000000002E-4</v>
      </c>
      <c r="HH4">
        <v>1E-4</v>
      </c>
      <c r="HI4">
        <v>1.7499999999999998E-5</v>
      </c>
      <c r="HJ4">
        <v>4.5000000000000001E-6</v>
      </c>
      <c r="HK4">
        <v>4.5000000000000001E-6</v>
      </c>
      <c r="HL4">
        <v>9.9999999999999995E-8</v>
      </c>
      <c r="HM4">
        <v>6.2499999999999997E-8</v>
      </c>
      <c r="HN4">
        <v>0.01</v>
      </c>
      <c r="HO4">
        <v>8.3333333333333339E-4</v>
      </c>
      <c r="HP4">
        <v>1.8333333333333334E-4</v>
      </c>
      <c r="HQ4">
        <v>6.666666666666667E-5</v>
      </c>
      <c r="HR4">
        <v>1.1666666666666666E-5</v>
      </c>
      <c r="HS4">
        <v>3.0000000000000001E-6</v>
      </c>
      <c r="HT4">
        <v>3.0000000000000001E-6</v>
      </c>
      <c r="HU4">
        <v>6.6666666666666668E-8</v>
      </c>
      <c r="HV4">
        <v>4.1666666666666663E-8</v>
      </c>
      <c r="HW4">
        <v>0.01</v>
      </c>
      <c r="HX4">
        <v>5.0000000000000001E-4</v>
      </c>
      <c r="HY4">
        <v>1.1E-4</v>
      </c>
      <c r="HZ4">
        <v>4.0000000000000003E-5</v>
      </c>
      <c r="IA4">
        <v>6.999999999999999E-6</v>
      </c>
      <c r="IB4">
        <v>1.8000000000000001E-6</v>
      </c>
      <c r="IC4">
        <v>1.8000000000000001E-6</v>
      </c>
      <c r="ID4">
        <v>4.0000000000000001E-8</v>
      </c>
      <c r="IE4">
        <v>2.4999999999999999E-8</v>
      </c>
      <c r="IF4" s="1">
        <f>Table15678911[[#This Row],[Total_Cost_MUSD]]*1000000*Table15678911[[#This Row],[prob500-failure_rating1]]/500</f>
        <v>727.45842739999989</v>
      </c>
      <c r="IG4" s="1">
        <f>Table15678911[[#This Row],[Total_Cost_MUSD]]*1000000*Table15678911[[#This Row],[prob500-failure_rating2]]/500</f>
        <v>363.72921369999995</v>
      </c>
      <c r="IH4" s="1">
        <f>Table15678911[[#This Row],[Total_Cost_MUSD]]*1000000*Table15678911[[#This Row],[prob500-failure_rating3]]/500</f>
        <v>80.020427014000006</v>
      </c>
      <c r="II4" s="1">
        <f>Table15678911[[#This Row],[Total_Cost_MUSD]]*1000000*Table15678911[[#This Row],[prob500-failure_rating4]]/500</f>
        <v>29.098337095999998</v>
      </c>
      <c r="IJ4" s="1">
        <f>Table15678911[[#This Row],[Total_Cost_MUSD]]*1000000*Table15678911[[#This Row],[prob500-failure_rating5]]/500</f>
        <v>5.0922089917999989</v>
      </c>
      <c r="IK4" s="1">
        <f>Table15678911[[#This Row],[Total_Cost_MUSD]]*1000000*Table15678911[[#This Row],[prob500-failure_rating6]]/500</f>
        <v>1.3094251693199999</v>
      </c>
      <c r="IL4" s="1">
        <f>Table15678911[[#This Row],[Total_Cost_MUSD]]*1000000*Table15678911[[#This Row],[prob500-failure_rating7]]/500</f>
        <v>1.3094251693199999</v>
      </c>
      <c r="IM4" s="1">
        <f>Table15678911[[#This Row],[Total_Cost_MUSD]]*1000000*Table15678911[[#This Row],[prob500-failure_rating8]]/500</f>
        <v>2.9098337095999998E-2</v>
      </c>
      <c r="IN4" s="1">
        <f>Table15678911[[#This Row],[Total_Cost_MUSD]]*1000000*Table15678911[[#This Row],[prob500-failure_rating9]]/500</f>
        <v>1.8186460684999996E-2</v>
      </c>
      <c r="IO4" s="1">
        <f>Table15678911[[#This Row],[Total_Cost_MUSD]]*1000000*Table15678911[[#This Row],[prob100-failure_rating1]]/100</f>
        <v>3637.2921369999995</v>
      </c>
      <c r="IP4" s="1">
        <f>Table15678911[[#This Row],[Total_Cost_MUSD]]*1000000*Table15678911[[#This Row],[prob100-failure_rating2]]/100</f>
        <v>454.66151712499993</v>
      </c>
      <c r="IQ4" s="1">
        <f>Table15678911[[#This Row],[Total_Cost_MUSD]]*1000000*Table15678911[[#This Row],[prob100-failure_rating3]]/100</f>
        <v>100.02553376750001</v>
      </c>
      <c r="IR4" s="1">
        <f>Table15678911[[#This Row],[Total_Cost_MUSD]]*1000000*Table15678911[[#This Row],[prob100-failure_rating4]]/100</f>
        <v>36.37292137</v>
      </c>
      <c r="IS4" s="1">
        <f>Table15678911[[#This Row],[Total_Cost_MUSD]]*1000000*Table15678911[[#This Row],[prob100-failure_rating5]]/100</f>
        <v>6.3652612397499988</v>
      </c>
      <c r="IT4" s="1">
        <f>Table15678911[[#This Row],[Total_Cost_MUSD]]*1000000*Table15678911[[#This Row],[prob100-failure_rating6]]/100</f>
        <v>1.6367814616499998</v>
      </c>
      <c r="IU4" s="1">
        <f>Table15678911[[#This Row],[Total_Cost_MUSD]]*1000000*Table15678911[[#This Row],[prob100-failure_rating7]]/100</f>
        <v>1.6367814616499998</v>
      </c>
      <c r="IV4" s="1">
        <f>Table15678911[[#This Row],[Total_Cost_MUSD]]*1000000*Table15678911[[#This Row],[prob100-failure_rating8]]/100</f>
        <v>3.6372921369999998E-2</v>
      </c>
      <c r="IW4" s="1">
        <f>Table15678911[[#This Row],[Total_Cost_MUSD]]*1000000*Table15678911[[#This Row],[prob100-failure_rating9]]/100</f>
        <v>2.2733075856249996E-2</v>
      </c>
      <c r="IX4" s="1">
        <f>Table15678911[[#This Row],[Total_Cost_MUSD]]*1000000*Table15678911[[#This Row],[prob50-failure_rating1]]/50</f>
        <v>7274.5842739999989</v>
      </c>
      <c r="IY4" s="1">
        <f>Table15678911[[#This Row],[Total_Cost_MUSD]]*1000000*Table15678911[[#This Row],[prob50-failure_rating2]]/50</f>
        <v>606.21535616666665</v>
      </c>
      <c r="IZ4" s="1">
        <f>Table15678911[[#This Row],[Total_Cost_MUSD]]*1000000*Table15678911[[#This Row],[prob50-failure_rating3]]/50</f>
        <v>133.36737835666665</v>
      </c>
      <c r="JA4" s="1">
        <f>Table15678911[[#This Row],[Total_Cost_MUSD]]*1000000*Table15678911[[#This Row],[prob50-failure_rating4]]/50</f>
        <v>48.497228493333331</v>
      </c>
      <c r="JB4" s="1">
        <f>Table15678911[[#This Row],[Total_Cost_MUSD]]*1000000*Table15678911[[#This Row],[prob50-failure_rating5]]/50</f>
        <v>8.4870149863333317</v>
      </c>
      <c r="JC4" s="1">
        <f>Table15678911[[#This Row],[Total_Cost_MUSD]]*1000000*Table15678911[[#This Row],[prob50-failure_rating6]]/50</f>
        <v>2.1823752822000002</v>
      </c>
      <c r="JD4" s="1">
        <f>Table15678911[[#This Row],[Total_Cost_MUSD]]*1000000*Table15678911[[#This Row],[prob50-failure_rating7]]/50</f>
        <v>2.1823752822000002</v>
      </c>
      <c r="JE4" s="1">
        <f>Table15678911[[#This Row],[Total_Cost_MUSD]]*1000000*Table15678911[[#This Row],[prob50-failure_rating8]]/50</f>
        <v>4.8497228493333336E-2</v>
      </c>
      <c r="JF4" s="1">
        <f>Table15678911[[#This Row],[Total_Cost_MUSD]]*1000000*Table15678911[[#This Row],[prob50-failure_rating9]]/50</f>
        <v>3.0310767808333326E-2</v>
      </c>
      <c r="JG4" s="1">
        <f>Table15678911[[#This Row],[Total_Cost_MUSD]]*1000000*Table15678911[[#This Row],[prob10-failure_rating1]]/10</f>
        <v>36372.921369999996</v>
      </c>
      <c r="JH4" s="1">
        <f>Table15678911[[#This Row],[Total_Cost_MUSD]]*1000000*Table15678911[[#This Row],[prob10-failure_rating2]]/10</f>
        <v>1818.6460684999997</v>
      </c>
      <c r="JI4" s="1">
        <f>Table15678911[[#This Row],[Total_Cost_MUSD]]*1000000*Table15678911[[#This Row],[prob10-failure_rating3]]/10</f>
        <v>400.10213506999997</v>
      </c>
      <c r="JJ4" s="1">
        <f>Table15678911[[#This Row],[Total_Cost_MUSD]]*1000000*Table15678911[[#This Row],[prob10-failure_rating4]]/10</f>
        <v>145.49168548</v>
      </c>
      <c r="JK4" s="1">
        <f>Table15678911[[#This Row],[Total_Cost_MUSD]]*1000000*Table15678911[[#This Row],[prob10-failure_rating5]]/10</f>
        <v>25.461044958999995</v>
      </c>
      <c r="JL4" s="1">
        <f>Table15678911[[#This Row],[Total_Cost_MUSD]]*1000000*Table15678911[[#This Row],[prob10-failure_rating6]]/10</f>
        <v>6.5471258465999993</v>
      </c>
      <c r="JM4" s="1">
        <f>Table15678911[[#This Row],[Total_Cost_MUSD]]*1000000*Table15678911[[#This Row],[prob10-failure_rating7]]/10</f>
        <v>6.5471258465999993</v>
      </c>
      <c r="JN4" s="1">
        <f>Table15678911[[#This Row],[Total_Cost_MUSD]]*1000000*Table15678911[[#This Row],[prob10-failure_rating8]]/10</f>
        <v>0.14549168547999999</v>
      </c>
      <c r="JO4" s="1">
        <f>Table15678911[[#This Row],[Total_Cost_MUSD]]*1000000*Table15678911[[#This Row],[prob10-failure_rating9]]/10</f>
        <v>9.0932303425E-2</v>
      </c>
      <c r="JP4" s="1">
        <f>Table15678911[[#This Row],[FailureCost_Rating1]]</f>
        <v>3243.2521554916661</v>
      </c>
      <c r="JQ4" s="1">
        <f>Table15678911[[#This Row],[FailureCost_Rating2]]</f>
        <v>3243.2521554916661</v>
      </c>
      <c r="JR4" s="1">
        <f>(Table15678911[[#This Row],[failurecost500_rating2]]+Table15678911[[#This Row],[failurecost100_rating2]]+Table15678911[[#This Row],[failurecost50_rating2]]+Table15678911[[#This Row],[failurecost10_rating2]])</f>
        <v>3243.2521554916661</v>
      </c>
      <c r="JS4" s="1">
        <f>(Table15678911[[#This Row],[failurecost500_rating3]]+Table15678911[[#This Row],[failurecost100_rating3]]+Table15678911[[#This Row],[failurecost50_rating3]]+Table15678911[[#This Row],[failurecost10_rating3]])</f>
        <v>713.51547420816655</v>
      </c>
      <c r="JT4" s="1">
        <f>(Table15678911[[#This Row],[failurecost500_rating4]]+Table15678911[[#This Row],[failurecost100_rating4]]+Table15678911[[#This Row],[failurecost50_rating4]]+Table15678911[[#This Row],[failurecost10_rating4]])</f>
        <v>259.46017243933329</v>
      </c>
      <c r="JU4" s="1">
        <f>(Table15678911[[#This Row],[failurecost500_rating5]]+Table15678911[[#This Row],[failurecost100_rating5]]+Table15678911[[#This Row],[failurecost50_rating5]]+Table15678911[[#This Row],[failurecost10_rating5]])</f>
        <v>45.405530176883325</v>
      </c>
      <c r="JV4" s="1">
        <f>(Table15678911[[#This Row],[failurecost500_rating6]]+Table15678911[[#This Row],[failurecost100_rating6]]+Table15678911[[#This Row],[failurecost50_rating6]]+Table15678911[[#This Row],[failurecost10_rating6]])</f>
        <v>11.675707759769999</v>
      </c>
      <c r="JW4" s="1">
        <f>(Table15678911[[#This Row],[failurecost500_rating7]]+Table15678911[[#This Row],[failurecost100_rating7]]+Table15678911[[#This Row],[failurecost50_rating7]]+Table15678911[[#This Row],[failurecost10_rating7]])</f>
        <v>11.675707759769999</v>
      </c>
      <c r="JX4" s="1">
        <f>(Table15678911[[#This Row],[failurecost500_rating8]]+Table15678911[[#This Row],[failurecost100_rating8]]+Table15678911[[#This Row],[failurecost50_rating8]]+Table15678911[[#This Row],[failurecost10_rating8]])</f>
        <v>0.25946017243933334</v>
      </c>
      <c r="JY4" s="1">
        <f>(Table15678911[[#This Row],[failurecost500_rating9]]+Table15678911[[#This Row],[failurecost100_rating9]]+Table15678911[[#This Row],[failurecost50_rating9]]+Table15678911[[#This Row],[failurecost10_rating9]])</f>
        <v>0.16216260777458333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Table15678911[[#This Row],[Depth10_Soil_vol]]*(9.353+9.027)+(Table15678911[[#This Row],[Depth10_Soil_vol]]/2.5)*20*1.053+(PI()*Table15678911[[#This Row],[Depth10_Scour]])*Table15678911[[#This Row],[DECK_WIDTH_MT_052]]*1.062</f>
        <v>0</v>
      </c>
      <c r="AR5" s="1">
        <f>Table15678911[[#This Row],[Depth50_Soil_vol]]*(9.353+9.027)+(Table15678911[[#This Row],[Depth50_Soil_vol]]/2.5)*20*1.053+(PI()*Table15678911[[#This Row],[Depth50_Scour]])*Table15678911[[#This Row],[DECK_WIDTH_MT_052]]*1.062</f>
        <v>8698.4034732067958</v>
      </c>
      <c r="AS5" s="1">
        <f>Table15678911[[#This Row],[Depth100_Soil_vol]]*(9.353+9.027)+(Table15678911[[#This Row],[Depth100_Soil_vol]]/2.5)*20*1.053+(PI()*Table15678911[[#This Row],[Depth100_Scour]])*Table15678911[[#This Row],[DECK_WIDTH_MT_052]]*1.062</f>
        <v>10436.848001870483</v>
      </c>
      <c r="AT5" s="1">
        <f>Table15678911[[#This Row],[Depth500_Soil_vol]]*(9.353+9.027)+(Table15678911[[#This Row],[Depth500_Soil_vol]]/2.5)*20*1.053+(PI()*Table15678911[[#This Row],[Depth500_Scour]])*Table15678911[[#This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9.6000000000000002E-2</v>
      </c>
      <c r="GF5" s="1">
        <v>16.12521495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14333.524399999998</v>
      </c>
      <c r="GM5" s="1">
        <f>Sheet4!R35*$GF5*1000000</f>
        <v>8062.6074750000025</v>
      </c>
      <c r="GN5" s="1">
        <f>Sheet4!S35*$GF5*1000000</f>
        <v>5160.0687840000019</v>
      </c>
      <c r="GO5" s="1">
        <f>Sheet4!T35*$GF5*1000000</f>
        <v>3583.3810999999996</v>
      </c>
      <c r="GP5" s="1">
        <f>Sheet4!U35*$GF5*1000000</f>
        <v>2632.6881551020406</v>
      </c>
      <c r="GQ5" s="1">
        <f>Sheet4!V35*$GF5*1000000</f>
        <v>2015.6518687500006</v>
      </c>
      <c r="GR5" s="1">
        <f>Sheet4!W35*$GF5*1000000</f>
        <v>1592.6138222222221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>
        <v>0.01</v>
      </c>
      <c r="HF5">
        <v>1.25E-3</v>
      </c>
      <c r="HG5">
        <v>2.7500000000000002E-4</v>
      </c>
      <c r="HH5">
        <v>1E-4</v>
      </c>
      <c r="HI5">
        <v>1.7499999999999998E-5</v>
      </c>
      <c r="HJ5">
        <v>4.5000000000000001E-6</v>
      </c>
      <c r="HK5">
        <v>4.5000000000000001E-6</v>
      </c>
      <c r="HL5">
        <v>9.9999999999999995E-8</v>
      </c>
      <c r="HM5">
        <v>6.2499999999999997E-8</v>
      </c>
      <c r="HN5">
        <v>0.01</v>
      </c>
      <c r="HO5">
        <v>8.3333333333333339E-4</v>
      </c>
      <c r="HP5">
        <v>1.8333333333333334E-4</v>
      </c>
      <c r="HQ5">
        <v>6.666666666666667E-5</v>
      </c>
      <c r="HR5">
        <v>1.1666666666666666E-5</v>
      </c>
      <c r="HS5">
        <v>3.0000000000000001E-6</v>
      </c>
      <c r="HT5">
        <v>3.0000000000000001E-6</v>
      </c>
      <c r="HU5">
        <v>6.6666666666666668E-8</v>
      </c>
      <c r="HV5">
        <v>4.1666666666666663E-8</v>
      </c>
      <c r="HW5">
        <v>0.01</v>
      </c>
      <c r="HX5">
        <v>5.0000000000000001E-4</v>
      </c>
      <c r="HY5">
        <v>1.1E-4</v>
      </c>
      <c r="HZ5">
        <v>4.0000000000000003E-5</v>
      </c>
      <c r="IA5">
        <v>6.999999999999999E-6</v>
      </c>
      <c r="IB5">
        <v>1.8000000000000001E-6</v>
      </c>
      <c r="IC5">
        <v>1.8000000000000001E-6</v>
      </c>
      <c r="ID5">
        <v>4.0000000000000001E-8</v>
      </c>
      <c r="IE5">
        <v>2.4999999999999999E-8</v>
      </c>
      <c r="IF5" s="1">
        <f>Table15678911[[#This Row],[Total_Cost_MUSD]]*1000000*Table15678911[[#This Row],[prob500-failure_rating1]]/500</f>
        <v>322.504299</v>
      </c>
      <c r="IG5" s="1">
        <f>Table15678911[[#This Row],[Total_Cost_MUSD]]*1000000*Table15678911[[#This Row],[prob500-failure_rating2]]/500</f>
        <v>161.2521495</v>
      </c>
      <c r="IH5" s="1">
        <f>Table15678911[[#This Row],[Total_Cost_MUSD]]*1000000*Table15678911[[#This Row],[prob500-failure_rating3]]/500</f>
        <v>35.475472889999999</v>
      </c>
      <c r="II5" s="1">
        <f>Table15678911[[#This Row],[Total_Cost_MUSD]]*1000000*Table15678911[[#This Row],[prob500-failure_rating4]]/500</f>
        <v>12.90017196</v>
      </c>
      <c r="IJ5" s="1">
        <f>Table15678911[[#This Row],[Total_Cost_MUSD]]*1000000*Table15678911[[#This Row],[prob500-failure_rating5]]/500</f>
        <v>2.2575300929999997</v>
      </c>
      <c r="IK5" s="1">
        <f>Table15678911[[#This Row],[Total_Cost_MUSD]]*1000000*Table15678911[[#This Row],[prob500-failure_rating6]]/500</f>
        <v>0.5805077381999999</v>
      </c>
      <c r="IL5" s="1">
        <f>Table15678911[[#This Row],[Total_Cost_MUSD]]*1000000*Table15678911[[#This Row],[prob500-failure_rating7]]/500</f>
        <v>0.5805077381999999</v>
      </c>
      <c r="IM5" s="1">
        <f>Table15678911[[#This Row],[Total_Cost_MUSD]]*1000000*Table15678911[[#This Row],[prob500-failure_rating8]]/500</f>
        <v>1.2900171959999998E-2</v>
      </c>
      <c r="IN5" s="1">
        <f>Table15678911[[#This Row],[Total_Cost_MUSD]]*1000000*Table15678911[[#This Row],[prob500-failure_rating9]]/500</f>
        <v>8.0626074750000006E-3</v>
      </c>
      <c r="IO5" s="1">
        <f>Table15678911[[#This Row],[Total_Cost_MUSD]]*1000000*Table15678911[[#This Row],[prob100-failure_rating1]]/100</f>
        <v>1612.521495</v>
      </c>
      <c r="IP5" s="1">
        <f>Table15678911[[#This Row],[Total_Cost_MUSD]]*1000000*Table15678911[[#This Row],[prob100-failure_rating2]]/100</f>
        <v>201.56518687499999</v>
      </c>
      <c r="IQ5" s="1">
        <f>Table15678911[[#This Row],[Total_Cost_MUSD]]*1000000*Table15678911[[#This Row],[prob100-failure_rating3]]/100</f>
        <v>44.344341112499997</v>
      </c>
      <c r="IR5" s="1">
        <f>Table15678911[[#This Row],[Total_Cost_MUSD]]*1000000*Table15678911[[#This Row],[prob100-failure_rating4]]/100</f>
        <v>16.12521495</v>
      </c>
      <c r="IS5" s="1">
        <f>Table15678911[[#This Row],[Total_Cost_MUSD]]*1000000*Table15678911[[#This Row],[prob100-failure_rating5]]/100</f>
        <v>2.8219126162499997</v>
      </c>
      <c r="IT5" s="1">
        <f>Table15678911[[#This Row],[Total_Cost_MUSD]]*1000000*Table15678911[[#This Row],[prob100-failure_rating6]]/100</f>
        <v>0.72563467274999993</v>
      </c>
      <c r="IU5" s="1">
        <f>Table15678911[[#This Row],[Total_Cost_MUSD]]*1000000*Table15678911[[#This Row],[prob100-failure_rating7]]/100</f>
        <v>0.72563467274999993</v>
      </c>
      <c r="IV5" s="1">
        <f>Table15678911[[#This Row],[Total_Cost_MUSD]]*1000000*Table15678911[[#This Row],[prob100-failure_rating8]]/100</f>
        <v>1.6125214949999998E-2</v>
      </c>
      <c r="IW5" s="1">
        <f>Table15678911[[#This Row],[Total_Cost_MUSD]]*1000000*Table15678911[[#This Row],[prob100-failure_rating9]]/100</f>
        <v>1.007825934375E-2</v>
      </c>
      <c r="IX5" s="1">
        <f>Table15678911[[#This Row],[Total_Cost_MUSD]]*1000000*Table15678911[[#This Row],[prob50-failure_rating1]]/50</f>
        <v>3225.0429899999999</v>
      </c>
      <c r="IY5" s="1">
        <f>Table15678911[[#This Row],[Total_Cost_MUSD]]*1000000*Table15678911[[#This Row],[prob50-failure_rating2]]/50</f>
        <v>268.75358249999999</v>
      </c>
      <c r="IZ5" s="1">
        <f>Table15678911[[#This Row],[Total_Cost_MUSD]]*1000000*Table15678911[[#This Row],[prob50-failure_rating3]]/50</f>
        <v>59.125788149999998</v>
      </c>
      <c r="JA5" s="1">
        <f>Table15678911[[#This Row],[Total_Cost_MUSD]]*1000000*Table15678911[[#This Row],[prob50-failure_rating4]]/50</f>
        <v>21.500286599999999</v>
      </c>
      <c r="JB5" s="1">
        <f>Table15678911[[#This Row],[Total_Cost_MUSD]]*1000000*Table15678911[[#This Row],[prob50-failure_rating5]]/50</f>
        <v>3.7625501549999996</v>
      </c>
      <c r="JC5" s="1">
        <f>Table15678911[[#This Row],[Total_Cost_MUSD]]*1000000*Table15678911[[#This Row],[prob50-failure_rating6]]/50</f>
        <v>0.96751289699999998</v>
      </c>
      <c r="JD5" s="1">
        <f>Table15678911[[#This Row],[Total_Cost_MUSD]]*1000000*Table15678911[[#This Row],[prob50-failure_rating7]]/50</f>
        <v>0.96751289699999998</v>
      </c>
      <c r="JE5" s="1">
        <f>Table15678911[[#This Row],[Total_Cost_MUSD]]*1000000*Table15678911[[#This Row],[prob50-failure_rating8]]/50</f>
        <v>2.1500286599999998E-2</v>
      </c>
      <c r="JF5" s="1">
        <f>Table15678911[[#This Row],[Total_Cost_MUSD]]*1000000*Table15678911[[#This Row],[prob50-failure_rating9]]/50</f>
        <v>1.3437679124999997E-2</v>
      </c>
      <c r="JG5" s="1">
        <f>Table15678911[[#This Row],[Total_Cost_MUSD]]*1000000*Table15678911[[#This Row],[prob10-failure_rating1]]/10</f>
        <v>16125.21495</v>
      </c>
      <c r="JH5" s="1">
        <f>Table15678911[[#This Row],[Total_Cost_MUSD]]*1000000*Table15678911[[#This Row],[prob10-failure_rating2]]/10</f>
        <v>806.26074749999998</v>
      </c>
      <c r="JI5" s="1">
        <f>Table15678911[[#This Row],[Total_Cost_MUSD]]*1000000*Table15678911[[#This Row],[prob10-failure_rating3]]/10</f>
        <v>177.37736445000002</v>
      </c>
      <c r="JJ5" s="1">
        <f>Table15678911[[#This Row],[Total_Cost_MUSD]]*1000000*Table15678911[[#This Row],[prob10-failure_rating4]]/10</f>
        <v>64.500859800000001</v>
      </c>
      <c r="JK5" s="1">
        <f>Table15678911[[#This Row],[Total_Cost_MUSD]]*1000000*Table15678911[[#This Row],[prob10-failure_rating5]]/10</f>
        <v>11.287650464999997</v>
      </c>
      <c r="JL5" s="1">
        <f>Table15678911[[#This Row],[Total_Cost_MUSD]]*1000000*Table15678911[[#This Row],[prob10-failure_rating6]]/10</f>
        <v>2.9025386910000002</v>
      </c>
      <c r="JM5" s="1">
        <f>Table15678911[[#This Row],[Total_Cost_MUSD]]*1000000*Table15678911[[#This Row],[prob10-failure_rating7]]/10</f>
        <v>2.9025386910000002</v>
      </c>
      <c r="JN5" s="1">
        <f>Table15678911[[#This Row],[Total_Cost_MUSD]]*1000000*Table15678911[[#This Row],[prob10-failure_rating8]]/10</f>
        <v>6.4500859800000004E-2</v>
      </c>
      <c r="JO5" s="1">
        <f>Table15678911[[#This Row],[Total_Cost_MUSD]]*1000000*Table15678911[[#This Row],[prob10-failure_rating9]]/10</f>
        <v>4.0313037374999992E-2</v>
      </c>
      <c r="JP5" s="1">
        <f>Table15678911[[#This Row],[FailureCost_Rating1]]</f>
        <v>1437.8316663749999</v>
      </c>
      <c r="JQ5" s="1">
        <f>Table15678911[[#This Row],[FailureCost_Rating2]]</f>
        <v>1437.8316663749999</v>
      </c>
      <c r="JR5" s="1">
        <f>(Table15678911[[#This Row],[failurecost500_rating2]]+Table15678911[[#This Row],[failurecost100_rating2]]+Table15678911[[#This Row],[failurecost50_rating2]]+Table15678911[[#This Row],[failurecost10_rating2]])</f>
        <v>1437.8316663749999</v>
      </c>
      <c r="JS5" s="1">
        <f>(Table15678911[[#This Row],[failurecost500_rating3]]+Table15678911[[#This Row],[failurecost100_rating3]]+Table15678911[[#This Row],[failurecost50_rating3]]+Table15678911[[#This Row],[failurecost10_rating3]])</f>
        <v>316.3229666025</v>
      </c>
      <c r="JT5" s="1">
        <f>(Table15678911[[#This Row],[failurecost500_rating4]]+Table15678911[[#This Row],[failurecost100_rating4]]+Table15678911[[#This Row],[failurecost50_rating4]]+Table15678911[[#This Row],[failurecost10_rating4]])</f>
        <v>115.02653331</v>
      </c>
      <c r="JU5" s="1">
        <f>(Table15678911[[#This Row],[failurecost500_rating5]]+Table15678911[[#This Row],[failurecost100_rating5]]+Table15678911[[#This Row],[failurecost50_rating5]]+Table15678911[[#This Row],[failurecost10_rating5]])</f>
        <v>20.129643329249994</v>
      </c>
      <c r="JV5" s="1">
        <f>(Table15678911[[#This Row],[failurecost500_rating6]]+Table15678911[[#This Row],[failurecost100_rating6]]+Table15678911[[#This Row],[failurecost50_rating6]]+Table15678911[[#This Row],[failurecost10_rating6]])</f>
        <v>5.1761939989499997</v>
      </c>
      <c r="JW5" s="1">
        <f>(Table15678911[[#This Row],[failurecost500_rating7]]+Table15678911[[#This Row],[failurecost100_rating7]]+Table15678911[[#This Row],[failurecost50_rating7]]+Table15678911[[#This Row],[failurecost10_rating7]])</f>
        <v>5.1761939989499997</v>
      </c>
      <c r="JX5" s="1">
        <f>(Table15678911[[#This Row],[failurecost500_rating8]]+Table15678911[[#This Row],[failurecost100_rating8]]+Table15678911[[#This Row],[failurecost50_rating8]]+Table15678911[[#This Row],[failurecost10_rating8]])</f>
        <v>0.11502653331</v>
      </c>
      <c r="JY5" s="1">
        <f>(Table15678911[[#This Row],[failurecost500_rating9]]+Table15678911[[#This Row],[failurecost100_rating9]]+Table15678911[[#This Row],[failurecost50_rating9]]+Table15678911[[#This Row],[failurecost10_rating9]])</f>
        <v>7.189158331874998E-2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Table15678911[[#This Row],[Depth10_Soil_vol]]*(9.353+9.027)+(Table15678911[[#This Row],[Depth10_Soil_vol]]/2.5)*20*1.053+(PI()*Table15678911[[#This Row],[Depth10_Scour]])*Table15678911[[#This Row],[DECK_WIDTH_MT_052]]*1.062</f>
        <v>16919.4190908581</v>
      </c>
      <c r="AR6" s="1">
        <f>Table15678911[[#This Row],[Depth50_Soil_vol]]*(9.353+9.027)+(Table15678911[[#This Row],[Depth50_Soil_vol]]/2.5)*20*1.053+(PI()*Table15678911[[#This Row],[Depth50_Scour]])*Table15678911[[#This Row],[DECK_WIDTH_MT_052]]*1.062</f>
        <v>18202.748839783562</v>
      </c>
      <c r="AS6" s="1">
        <f>Table15678911[[#This Row],[Depth100_Soil_vol]]*(9.353+9.027)+(Table15678911[[#This Row],[Depth100_Soil_vol]]/2.5)*20*1.053+(PI()*Table15678911[[#This Row],[Depth100_Scour]])*Table15678911[[#This Row],[DECK_WIDTH_MT_052]]*1.062</f>
        <v>18769.361851972091</v>
      </c>
      <c r="AT6" s="1">
        <f>Table15678911[[#This Row],[Depth500_Soil_vol]]*(9.353+9.027)+(Table15678911[[#This Row],[Depth500_Soil_vol]]/2.5)*20*1.053+(PI()*Table15678911[[#This Row],[Depth500_Scour]])*Table15678911[[#This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6" s="1">
        <v>24.578441669999997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21847.503706666659</v>
      </c>
      <c r="GM6" s="1">
        <f>Sheet4!R36*$GF6*1000000</f>
        <v>12289.220834999998</v>
      </c>
      <c r="GN6" s="1">
        <f>Sheet4!S36*$GF6*1000000</f>
        <v>7865.1013343999984</v>
      </c>
      <c r="GO6" s="1">
        <f>Sheet4!T36*$GF6*1000000</f>
        <v>5461.8759266666648</v>
      </c>
      <c r="GP6" s="1">
        <f>Sheet4!U36*$GF6*1000000</f>
        <v>4012.8068032653055</v>
      </c>
      <c r="GQ6" s="1">
        <f>Sheet4!V36*$GF6*1000000</f>
        <v>3072.3052087499996</v>
      </c>
      <c r="GR6" s="1">
        <f>Sheet4!W36*$GF6*1000000</f>
        <v>2427.5004118518514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>
        <v>0.01</v>
      </c>
      <c r="HF6">
        <v>1.25E-3</v>
      </c>
      <c r="HG6">
        <v>2.7500000000000002E-4</v>
      </c>
      <c r="HH6">
        <v>1E-4</v>
      </c>
      <c r="HI6">
        <v>1.7499999999999998E-5</v>
      </c>
      <c r="HJ6">
        <v>4.5000000000000001E-6</v>
      </c>
      <c r="HK6">
        <v>4.5000000000000001E-6</v>
      </c>
      <c r="HL6">
        <v>9.9999999999999995E-8</v>
      </c>
      <c r="HM6">
        <v>6.2499999999999997E-8</v>
      </c>
      <c r="HN6">
        <v>0.01</v>
      </c>
      <c r="HO6">
        <v>8.3333333333333339E-4</v>
      </c>
      <c r="HP6">
        <v>1.8333333333333334E-4</v>
      </c>
      <c r="HQ6">
        <v>6.666666666666667E-5</v>
      </c>
      <c r="HR6">
        <v>1.1666666666666666E-5</v>
      </c>
      <c r="HS6">
        <v>3.0000000000000001E-6</v>
      </c>
      <c r="HT6">
        <v>3.0000000000000001E-6</v>
      </c>
      <c r="HU6">
        <v>6.6666666666666668E-8</v>
      </c>
      <c r="HV6">
        <v>4.1666666666666663E-8</v>
      </c>
      <c r="HW6">
        <v>0.01</v>
      </c>
      <c r="HX6">
        <v>5.0000000000000001E-4</v>
      </c>
      <c r="HY6">
        <v>1.1E-4</v>
      </c>
      <c r="HZ6">
        <v>4.0000000000000003E-5</v>
      </c>
      <c r="IA6">
        <v>6.999999999999999E-6</v>
      </c>
      <c r="IB6">
        <v>1.8000000000000001E-6</v>
      </c>
      <c r="IC6">
        <v>1.8000000000000001E-6</v>
      </c>
      <c r="ID6">
        <v>4.0000000000000001E-8</v>
      </c>
      <c r="IE6">
        <v>2.4999999999999999E-8</v>
      </c>
      <c r="IF6" s="1">
        <f>Table15678911[[#This Row],[Total_Cost_MUSD]]*1000000*Table15678911[[#This Row],[prob500-failure_rating1]]/500</f>
        <v>491.56883339999996</v>
      </c>
      <c r="IG6" s="1">
        <f>Table15678911[[#This Row],[Total_Cost_MUSD]]*1000000*Table15678911[[#This Row],[prob500-failure_rating2]]/500</f>
        <v>245.78441669999998</v>
      </c>
      <c r="IH6" s="1">
        <f>Table15678911[[#This Row],[Total_Cost_MUSD]]*1000000*Table15678911[[#This Row],[prob500-failure_rating3]]/500</f>
        <v>54.072571674000002</v>
      </c>
      <c r="II6" s="1">
        <f>Table15678911[[#This Row],[Total_Cost_MUSD]]*1000000*Table15678911[[#This Row],[prob500-failure_rating4]]/500</f>
        <v>19.662753335999998</v>
      </c>
      <c r="IJ6" s="1">
        <f>Table15678911[[#This Row],[Total_Cost_MUSD]]*1000000*Table15678911[[#This Row],[prob500-failure_rating5]]/500</f>
        <v>3.4409818337999996</v>
      </c>
      <c r="IK6" s="1">
        <f>Table15678911[[#This Row],[Total_Cost_MUSD]]*1000000*Table15678911[[#This Row],[prob500-failure_rating6]]/500</f>
        <v>0.88482390012000001</v>
      </c>
      <c r="IL6" s="1">
        <f>Table15678911[[#This Row],[Total_Cost_MUSD]]*1000000*Table15678911[[#This Row],[prob500-failure_rating7]]/500</f>
        <v>0.88482390012000001</v>
      </c>
      <c r="IM6" s="1">
        <f>Table15678911[[#This Row],[Total_Cost_MUSD]]*1000000*Table15678911[[#This Row],[prob500-failure_rating8]]/500</f>
        <v>1.9662753335999997E-2</v>
      </c>
      <c r="IN6" s="1">
        <f>Table15678911[[#This Row],[Total_Cost_MUSD]]*1000000*Table15678911[[#This Row],[prob500-failure_rating9]]/500</f>
        <v>1.2289220834999998E-2</v>
      </c>
      <c r="IO6" s="1">
        <f>Table15678911[[#This Row],[Total_Cost_MUSD]]*1000000*Table15678911[[#This Row],[prob100-failure_rating1]]/100</f>
        <v>2457.8441669999997</v>
      </c>
      <c r="IP6" s="1">
        <f>Table15678911[[#This Row],[Total_Cost_MUSD]]*1000000*Table15678911[[#This Row],[prob100-failure_rating2]]/100</f>
        <v>307.23052087499997</v>
      </c>
      <c r="IQ6" s="1">
        <f>Table15678911[[#This Row],[Total_Cost_MUSD]]*1000000*Table15678911[[#This Row],[prob100-failure_rating3]]/100</f>
        <v>67.590714592499992</v>
      </c>
      <c r="IR6" s="1">
        <f>Table15678911[[#This Row],[Total_Cost_MUSD]]*1000000*Table15678911[[#This Row],[prob100-failure_rating4]]/100</f>
        <v>24.578441669999997</v>
      </c>
      <c r="IS6" s="1">
        <f>Table15678911[[#This Row],[Total_Cost_MUSD]]*1000000*Table15678911[[#This Row],[prob100-failure_rating5]]/100</f>
        <v>4.3012272922499992</v>
      </c>
      <c r="IT6" s="1">
        <f>Table15678911[[#This Row],[Total_Cost_MUSD]]*1000000*Table15678911[[#This Row],[prob100-failure_rating6]]/100</f>
        <v>1.10602987515</v>
      </c>
      <c r="IU6" s="1">
        <f>Table15678911[[#This Row],[Total_Cost_MUSD]]*1000000*Table15678911[[#This Row],[prob100-failure_rating7]]/100</f>
        <v>1.10602987515</v>
      </c>
      <c r="IV6" s="1">
        <f>Table15678911[[#This Row],[Total_Cost_MUSD]]*1000000*Table15678911[[#This Row],[prob100-failure_rating8]]/100</f>
        <v>2.4578441669999996E-2</v>
      </c>
      <c r="IW6" s="1">
        <f>Table15678911[[#This Row],[Total_Cost_MUSD]]*1000000*Table15678911[[#This Row],[prob100-failure_rating9]]/100</f>
        <v>1.5361526043749997E-2</v>
      </c>
      <c r="IX6" s="1">
        <f>Table15678911[[#This Row],[Total_Cost_MUSD]]*1000000*Table15678911[[#This Row],[prob50-failure_rating1]]/50</f>
        <v>4915.6883339999995</v>
      </c>
      <c r="IY6" s="1">
        <f>Table15678911[[#This Row],[Total_Cost_MUSD]]*1000000*Table15678911[[#This Row],[prob50-failure_rating2]]/50</f>
        <v>409.64069450000005</v>
      </c>
      <c r="IZ6" s="1">
        <f>Table15678911[[#This Row],[Total_Cost_MUSD]]*1000000*Table15678911[[#This Row],[prob50-failure_rating3]]/50</f>
        <v>90.12095278999999</v>
      </c>
      <c r="JA6" s="1">
        <f>Table15678911[[#This Row],[Total_Cost_MUSD]]*1000000*Table15678911[[#This Row],[prob50-failure_rating4]]/50</f>
        <v>32.77125556</v>
      </c>
      <c r="JB6" s="1">
        <f>Table15678911[[#This Row],[Total_Cost_MUSD]]*1000000*Table15678911[[#This Row],[prob50-failure_rating5]]/50</f>
        <v>5.734969722999999</v>
      </c>
      <c r="JC6" s="1">
        <f>Table15678911[[#This Row],[Total_Cost_MUSD]]*1000000*Table15678911[[#This Row],[prob50-failure_rating6]]/50</f>
        <v>1.4747065001999999</v>
      </c>
      <c r="JD6" s="1">
        <f>Table15678911[[#This Row],[Total_Cost_MUSD]]*1000000*Table15678911[[#This Row],[prob50-failure_rating7]]/50</f>
        <v>1.4747065001999999</v>
      </c>
      <c r="JE6" s="1">
        <f>Table15678911[[#This Row],[Total_Cost_MUSD]]*1000000*Table15678911[[#This Row],[prob50-failure_rating8]]/50</f>
        <v>3.2771255559999997E-2</v>
      </c>
      <c r="JF6" s="1">
        <f>Table15678911[[#This Row],[Total_Cost_MUSD]]*1000000*Table15678911[[#This Row],[prob50-failure_rating9]]/50</f>
        <v>2.0482034724999997E-2</v>
      </c>
      <c r="JG6" s="1">
        <f>Table15678911[[#This Row],[Total_Cost_MUSD]]*1000000*Table15678911[[#This Row],[prob10-failure_rating1]]/10</f>
        <v>24578.441669999997</v>
      </c>
      <c r="JH6" s="1">
        <f>Table15678911[[#This Row],[Total_Cost_MUSD]]*1000000*Table15678911[[#This Row],[prob10-failure_rating2]]/10</f>
        <v>1228.9220835000001</v>
      </c>
      <c r="JI6" s="1">
        <f>Table15678911[[#This Row],[Total_Cost_MUSD]]*1000000*Table15678911[[#This Row],[prob10-failure_rating3]]/10</f>
        <v>270.36285837000003</v>
      </c>
      <c r="JJ6" s="1">
        <f>Table15678911[[#This Row],[Total_Cost_MUSD]]*1000000*Table15678911[[#This Row],[prob10-failure_rating4]]/10</f>
        <v>98.313766680000001</v>
      </c>
      <c r="JK6" s="1">
        <f>Table15678911[[#This Row],[Total_Cost_MUSD]]*1000000*Table15678911[[#This Row],[prob10-failure_rating5]]/10</f>
        <v>17.204909168999997</v>
      </c>
      <c r="JL6" s="1">
        <f>Table15678911[[#This Row],[Total_Cost_MUSD]]*1000000*Table15678911[[#This Row],[prob10-failure_rating6]]/10</f>
        <v>4.4241195005999998</v>
      </c>
      <c r="JM6" s="1">
        <f>Table15678911[[#This Row],[Total_Cost_MUSD]]*1000000*Table15678911[[#This Row],[prob10-failure_rating7]]/10</f>
        <v>4.4241195005999998</v>
      </c>
      <c r="JN6" s="1">
        <f>Table15678911[[#This Row],[Total_Cost_MUSD]]*1000000*Table15678911[[#This Row],[prob10-failure_rating8]]/10</f>
        <v>9.8313766679999998E-2</v>
      </c>
      <c r="JO6" s="1">
        <f>Table15678911[[#This Row],[Total_Cost_MUSD]]*1000000*Table15678911[[#This Row],[prob10-failure_rating9]]/10</f>
        <v>6.1446104174999995E-2</v>
      </c>
      <c r="JP6" s="1">
        <f>Table15678911[[#This Row],[FailureCost_Rating1]]</f>
        <v>2191.5777155750002</v>
      </c>
      <c r="JQ6" s="1">
        <f>Table15678911[[#This Row],[FailureCost_Rating2]]</f>
        <v>2191.5777155750002</v>
      </c>
      <c r="JR6" s="1">
        <f>(Table15678911[[#This Row],[failurecost500_rating2]]+Table15678911[[#This Row],[failurecost100_rating2]]+Table15678911[[#This Row],[failurecost50_rating2]]+Table15678911[[#This Row],[failurecost10_rating2]])</f>
        <v>2191.5777155750002</v>
      </c>
      <c r="JS6" s="1">
        <f>(Table15678911[[#This Row],[failurecost500_rating3]]+Table15678911[[#This Row],[failurecost100_rating3]]+Table15678911[[#This Row],[failurecost50_rating3]]+Table15678911[[#This Row],[failurecost10_rating3]])</f>
        <v>482.14709742650001</v>
      </c>
      <c r="JT6" s="1">
        <f>(Table15678911[[#This Row],[failurecost500_rating4]]+Table15678911[[#This Row],[failurecost100_rating4]]+Table15678911[[#This Row],[failurecost50_rating4]]+Table15678911[[#This Row],[failurecost10_rating4]])</f>
        <v>175.326217246</v>
      </c>
      <c r="JU6" s="1">
        <f>(Table15678911[[#This Row],[failurecost500_rating5]]+Table15678911[[#This Row],[failurecost100_rating5]]+Table15678911[[#This Row],[failurecost50_rating5]]+Table15678911[[#This Row],[failurecost10_rating5]])</f>
        <v>30.682088018049996</v>
      </c>
      <c r="JV6" s="1">
        <f>(Table15678911[[#This Row],[failurecost500_rating6]]+Table15678911[[#This Row],[failurecost100_rating6]]+Table15678911[[#This Row],[failurecost50_rating6]]+Table15678911[[#This Row],[failurecost10_rating6]])</f>
        <v>7.8896797760699995</v>
      </c>
      <c r="JW6" s="1">
        <f>(Table15678911[[#This Row],[failurecost500_rating7]]+Table15678911[[#This Row],[failurecost100_rating7]]+Table15678911[[#This Row],[failurecost50_rating7]]+Table15678911[[#This Row],[failurecost10_rating7]])</f>
        <v>7.8896797760699995</v>
      </c>
      <c r="JX6" s="1">
        <f>(Table15678911[[#This Row],[failurecost500_rating8]]+Table15678911[[#This Row],[failurecost100_rating8]]+Table15678911[[#This Row],[failurecost50_rating8]]+Table15678911[[#This Row],[failurecost10_rating8]])</f>
        <v>0.17532621724599998</v>
      </c>
      <c r="JY6" s="1">
        <f>(Table15678911[[#This Row],[failurecost500_rating9]]+Table15678911[[#This Row],[failurecost100_rating9]]+Table15678911[[#This Row],[failurecost50_rating9]]+Table15678911[[#This Row],[failurecost10_rating9]])</f>
        <v>0.10957888577875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Table15678911[[#This Row],[Depth10_Soil_vol]]*(9.353+9.027)+(Table15678911[[#This Row],[Depth10_Soil_vol]]/2.5)*20*1.053+(PI()*Table15678911[[#This Row],[Depth10_Scour]])*Table15678911[[#This Row],[DECK_WIDTH_MT_052]]*1.062</f>
        <v>11407.250817613454</v>
      </c>
      <c r="AR7" s="1">
        <f>Table15678911[[#This Row],[Depth50_Soil_vol]]*(9.353+9.027)+(Table15678911[[#This Row],[Depth50_Soil_vol]]/2.5)*20*1.053+(PI()*Table15678911[[#This Row],[Depth50_Scour]])*Table15678911[[#This Row],[DECK_WIDTH_MT_052]]*1.062</f>
        <v>12369.739122689782</v>
      </c>
      <c r="AS7" s="1">
        <f>Table15678911[[#This Row],[Depth100_Soil_vol]]*(9.353+9.027)+(Table15678911[[#This Row],[Depth100_Soil_vol]]/2.5)*20*1.053+(PI()*Table15678911[[#This Row],[Depth100_Scour]])*Table15678911[[#This Row],[DECK_WIDTH_MT_052]]*1.062</f>
        <v>14750.148906789464</v>
      </c>
      <c r="AT7" s="1">
        <f>Table15678911[[#This Row],[Depth500_Soil_vol]]*(9.353+9.027)+(Table15678911[[#This Row],[Depth500_Soil_vol]]/2.5)*20*1.053+(PI()*Table15678911[[#This Row],[Depth500_Scour]])*Table15678911[[#This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0.39600000000000002</v>
      </c>
      <c r="GF7" s="1">
        <v>9.2416624370000005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8214.8110551111113</v>
      </c>
      <c r="GM7" s="1">
        <f>Sheet4!R37*$GF7*1000000</f>
        <v>4620.8312184999986</v>
      </c>
      <c r="GN7" s="1">
        <f>Sheet4!S37*$GF7*1000000</f>
        <v>2957.3319798400003</v>
      </c>
      <c r="GO7" s="1">
        <f>Sheet4!T37*$GF7*1000000</f>
        <v>2053.7027637777778</v>
      </c>
      <c r="GP7" s="1">
        <f>Sheet4!U37*$GF7*1000000</f>
        <v>1508.8428468571431</v>
      </c>
      <c r="GQ7" s="1">
        <f>Sheet4!V37*$GF7*1000000</f>
        <v>1155.2078046249997</v>
      </c>
      <c r="GR7" s="1">
        <f>Sheet4!W37*$GF7*1000000</f>
        <v>912.75678390123437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>
        <v>0.01</v>
      </c>
      <c r="HF7">
        <v>1.25E-3</v>
      </c>
      <c r="HG7">
        <v>2.7500000000000002E-4</v>
      </c>
      <c r="HH7">
        <v>1E-4</v>
      </c>
      <c r="HI7">
        <v>1.7499999999999998E-5</v>
      </c>
      <c r="HJ7">
        <v>4.5000000000000001E-6</v>
      </c>
      <c r="HK7">
        <v>4.5000000000000001E-6</v>
      </c>
      <c r="HL7">
        <v>9.9999999999999995E-8</v>
      </c>
      <c r="HM7">
        <v>6.2499999999999997E-8</v>
      </c>
      <c r="HN7">
        <v>0.01</v>
      </c>
      <c r="HO7">
        <v>8.3333333333333339E-4</v>
      </c>
      <c r="HP7">
        <v>1.8333333333333334E-4</v>
      </c>
      <c r="HQ7">
        <v>6.666666666666667E-5</v>
      </c>
      <c r="HR7">
        <v>1.1666666666666666E-5</v>
      </c>
      <c r="HS7">
        <v>3.0000000000000001E-6</v>
      </c>
      <c r="HT7">
        <v>3.0000000000000001E-6</v>
      </c>
      <c r="HU7">
        <v>6.6666666666666668E-8</v>
      </c>
      <c r="HV7">
        <v>4.1666666666666663E-8</v>
      </c>
      <c r="HW7">
        <v>0.01</v>
      </c>
      <c r="HX7">
        <v>5.0000000000000001E-4</v>
      </c>
      <c r="HY7">
        <v>1.1E-4</v>
      </c>
      <c r="HZ7">
        <v>4.0000000000000003E-5</v>
      </c>
      <c r="IA7">
        <v>6.999999999999999E-6</v>
      </c>
      <c r="IB7">
        <v>1.8000000000000001E-6</v>
      </c>
      <c r="IC7">
        <v>1.8000000000000001E-6</v>
      </c>
      <c r="ID7">
        <v>4.0000000000000001E-8</v>
      </c>
      <c r="IE7">
        <v>2.4999999999999999E-8</v>
      </c>
      <c r="IF7" s="1">
        <f>Table15678911[[#This Row],[Total_Cost_MUSD]]*1000000*Table15678911[[#This Row],[prob500-failure_rating1]]/500</f>
        <v>184.83324874000002</v>
      </c>
      <c r="IG7" s="1">
        <f>Table15678911[[#This Row],[Total_Cost_MUSD]]*1000000*Table15678911[[#This Row],[prob500-failure_rating2]]/500</f>
        <v>92.416624370000008</v>
      </c>
      <c r="IH7" s="1">
        <f>Table15678911[[#This Row],[Total_Cost_MUSD]]*1000000*Table15678911[[#This Row],[prob500-failure_rating3]]/500</f>
        <v>20.331657361400005</v>
      </c>
      <c r="II7" s="1">
        <f>Table15678911[[#This Row],[Total_Cost_MUSD]]*1000000*Table15678911[[#This Row],[prob500-failure_rating4]]/500</f>
        <v>7.3933299496000009</v>
      </c>
      <c r="IJ7" s="1">
        <f>Table15678911[[#This Row],[Total_Cost_MUSD]]*1000000*Table15678911[[#This Row],[prob500-failure_rating5]]/500</f>
        <v>1.2938327411800001</v>
      </c>
      <c r="IK7" s="1">
        <f>Table15678911[[#This Row],[Total_Cost_MUSD]]*1000000*Table15678911[[#This Row],[prob500-failure_rating6]]/500</f>
        <v>0.33269984773200001</v>
      </c>
      <c r="IL7" s="1">
        <f>Table15678911[[#This Row],[Total_Cost_MUSD]]*1000000*Table15678911[[#This Row],[prob500-failure_rating7]]/500</f>
        <v>0.33269984773200001</v>
      </c>
      <c r="IM7" s="1">
        <f>Table15678911[[#This Row],[Total_Cost_MUSD]]*1000000*Table15678911[[#This Row],[prob500-failure_rating8]]/500</f>
        <v>7.3933299495999999E-3</v>
      </c>
      <c r="IN7" s="1">
        <f>Table15678911[[#This Row],[Total_Cost_MUSD]]*1000000*Table15678911[[#This Row],[prob500-failure_rating9]]/500</f>
        <v>4.6208312184999999E-3</v>
      </c>
      <c r="IO7" s="1">
        <f>Table15678911[[#This Row],[Total_Cost_MUSD]]*1000000*Table15678911[[#This Row],[prob100-failure_rating1]]/100</f>
        <v>924.1662437</v>
      </c>
      <c r="IP7" s="1">
        <f>Table15678911[[#This Row],[Total_Cost_MUSD]]*1000000*Table15678911[[#This Row],[prob100-failure_rating2]]/100</f>
        <v>115.5207804625</v>
      </c>
      <c r="IQ7" s="1">
        <f>Table15678911[[#This Row],[Total_Cost_MUSD]]*1000000*Table15678911[[#This Row],[prob100-failure_rating3]]/100</f>
        <v>25.414571701750006</v>
      </c>
      <c r="IR7" s="1">
        <f>Table15678911[[#This Row],[Total_Cost_MUSD]]*1000000*Table15678911[[#This Row],[prob100-failure_rating4]]/100</f>
        <v>9.2416624370000005</v>
      </c>
      <c r="IS7" s="1">
        <f>Table15678911[[#This Row],[Total_Cost_MUSD]]*1000000*Table15678911[[#This Row],[prob100-failure_rating5]]/100</f>
        <v>1.6172909264750002</v>
      </c>
      <c r="IT7" s="1">
        <f>Table15678911[[#This Row],[Total_Cost_MUSD]]*1000000*Table15678911[[#This Row],[prob100-failure_rating6]]/100</f>
        <v>0.41587480966500001</v>
      </c>
      <c r="IU7" s="1">
        <f>Table15678911[[#This Row],[Total_Cost_MUSD]]*1000000*Table15678911[[#This Row],[prob100-failure_rating7]]/100</f>
        <v>0.41587480966500001</v>
      </c>
      <c r="IV7" s="1">
        <f>Table15678911[[#This Row],[Total_Cost_MUSD]]*1000000*Table15678911[[#This Row],[prob100-failure_rating8]]/100</f>
        <v>9.2416624369999999E-3</v>
      </c>
      <c r="IW7" s="1">
        <f>Table15678911[[#This Row],[Total_Cost_MUSD]]*1000000*Table15678911[[#This Row],[prob100-failure_rating9]]/100</f>
        <v>5.7760390231250004E-3</v>
      </c>
      <c r="IX7" s="1">
        <f>Table15678911[[#This Row],[Total_Cost_MUSD]]*1000000*Table15678911[[#This Row],[prob50-failure_rating1]]/50</f>
        <v>1848.3324874</v>
      </c>
      <c r="IY7" s="1">
        <f>Table15678911[[#This Row],[Total_Cost_MUSD]]*1000000*Table15678911[[#This Row],[prob50-failure_rating2]]/50</f>
        <v>154.02770728333337</v>
      </c>
      <c r="IZ7" s="1">
        <f>Table15678911[[#This Row],[Total_Cost_MUSD]]*1000000*Table15678911[[#This Row],[prob50-failure_rating3]]/50</f>
        <v>33.886095602333334</v>
      </c>
      <c r="JA7" s="1">
        <f>Table15678911[[#This Row],[Total_Cost_MUSD]]*1000000*Table15678911[[#This Row],[prob50-failure_rating4]]/50</f>
        <v>12.322216582666668</v>
      </c>
      <c r="JB7" s="1">
        <f>Table15678911[[#This Row],[Total_Cost_MUSD]]*1000000*Table15678911[[#This Row],[prob50-failure_rating5]]/50</f>
        <v>2.1563879019666667</v>
      </c>
      <c r="JC7" s="1">
        <f>Table15678911[[#This Row],[Total_Cost_MUSD]]*1000000*Table15678911[[#This Row],[prob50-failure_rating6]]/50</f>
        <v>0.55449974622000009</v>
      </c>
      <c r="JD7" s="1">
        <f>Table15678911[[#This Row],[Total_Cost_MUSD]]*1000000*Table15678911[[#This Row],[prob50-failure_rating7]]/50</f>
        <v>0.55449974622000009</v>
      </c>
      <c r="JE7" s="1">
        <f>Table15678911[[#This Row],[Total_Cost_MUSD]]*1000000*Table15678911[[#This Row],[prob50-failure_rating8]]/50</f>
        <v>1.2322216582666667E-2</v>
      </c>
      <c r="JF7" s="1">
        <f>Table15678911[[#This Row],[Total_Cost_MUSD]]*1000000*Table15678911[[#This Row],[prob50-failure_rating9]]/50</f>
        <v>7.7013853641666663E-3</v>
      </c>
      <c r="JG7" s="1">
        <f>Table15678911[[#This Row],[Total_Cost_MUSD]]*1000000*Table15678911[[#This Row],[prob10-failure_rating1]]/10</f>
        <v>9241.6624370000009</v>
      </c>
      <c r="JH7" s="1">
        <f>Table15678911[[#This Row],[Total_Cost_MUSD]]*1000000*Table15678911[[#This Row],[prob10-failure_rating2]]/10</f>
        <v>462.08312185000005</v>
      </c>
      <c r="JI7" s="1">
        <f>Table15678911[[#This Row],[Total_Cost_MUSD]]*1000000*Table15678911[[#This Row],[prob10-failure_rating3]]/10</f>
        <v>101.65828680700001</v>
      </c>
      <c r="JJ7" s="1">
        <f>Table15678911[[#This Row],[Total_Cost_MUSD]]*1000000*Table15678911[[#This Row],[prob10-failure_rating4]]/10</f>
        <v>36.966649748000009</v>
      </c>
      <c r="JK7" s="1">
        <f>Table15678911[[#This Row],[Total_Cost_MUSD]]*1000000*Table15678911[[#This Row],[prob10-failure_rating5]]/10</f>
        <v>6.4691637058999998</v>
      </c>
      <c r="JL7" s="1">
        <f>Table15678911[[#This Row],[Total_Cost_MUSD]]*1000000*Table15678911[[#This Row],[prob10-failure_rating6]]/10</f>
        <v>1.6634992386600005</v>
      </c>
      <c r="JM7" s="1">
        <f>Table15678911[[#This Row],[Total_Cost_MUSD]]*1000000*Table15678911[[#This Row],[prob10-failure_rating7]]/10</f>
        <v>1.6634992386600005</v>
      </c>
      <c r="JN7" s="1">
        <f>Table15678911[[#This Row],[Total_Cost_MUSD]]*1000000*Table15678911[[#This Row],[prob10-failure_rating8]]/10</f>
        <v>3.6966649747999999E-2</v>
      </c>
      <c r="JO7" s="1">
        <f>Table15678911[[#This Row],[Total_Cost_MUSD]]*1000000*Table15678911[[#This Row],[prob10-failure_rating9]]/10</f>
        <v>2.3104156092500001E-2</v>
      </c>
      <c r="JP7" s="1">
        <f>Table15678911[[#This Row],[FailureCost_Rating1]]</f>
        <v>824.04823396583345</v>
      </c>
      <c r="JQ7" s="1">
        <f>Table15678911[[#This Row],[FailureCost_Rating2]]</f>
        <v>824.04823396583345</v>
      </c>
      <c r="JR7" s="1">
        <f>(Table15678911[[#This Row],[failurecost500_rating2]]+Table15678911[[#This Row],[failurecost100_rating2]]+Table15678911[[#This Row],[failurecost50_rating2]]+Table15678911[[#This Row],[failurecost10_rating2]])</f>
        <v>824.04823396583345</v>
      </c>
      <c r="JS7" s="1">
        <f>(Table15678911[[#This Row],[failurecost500_rating3]]+Table15678911[[#This Row],[failurecost100_rating3]]+Table15678911[[#This Row],[failurecost50_rating3]]+Table15678911[[#This Row],[failurecost10_rating3]])</f>
        <v>181.29061147248336</v>
      </c>
      <c r="JT7" s="1">
        <f>(Table15678911[[#This Row],[failurecost500_rating4]]+Table15678911[[#This Row],[failurecost100_rating4]]+Table15678911[[#This Row],[failurecost50_rating4]]+Table15678911[[#This Row],[failurecost10_rating4]])</f>
        <v>65.923858717266683</v>
      </c>
      <c r="JU7" s="1">
        <f>(Table15678911[[#This Row],[failurecost500_rating5]]+Table15678911[[#This Row],[failurecost100_rating5]]+Table15678911[[#This Row],[failurecost50_rating5]]+Table15678911[[#This Row],[failurecost10_rating5]])</f>
        <v>11.536675275521667</v>
      </c>
      <c r="JV7" s="1">
        <f>(Table15678911[[#This Row],[failurecost500_rating6]]+Table15678911[[#This Row],[failurecost100_rating6]]+Table15678911[[#This Row],[failurecost50_rating6]]+Table15678911[[#This Row],[failurecost10_rating6]])</f>
        <v>2.9665736422770008</v>
      </c>
      <c r="JW7" s="1">
        <f>(Table15678911[[#This Row],[failurecost500_rating7]]+Table15678911[[#This Row],[failurecost100_rating7]]+Table15678911[[#This Row],[failurecost50_rating7]]+Table15678911[[#This Row],[failurecost10_rating7]])</f>
        <v>2.9665736422770008</v>
      </c>
      <c r="JX7" s="1">
        <f>(Table15678911[[#This Row],[failurecost500_rating8]]+Table15678911[[#This Row],[failurecost100_rating8]]+Table15678911[[#This Row],[failurecost50_rating8]]+Table15678911[[#This Row],[failurecost10_rating8]])</f>
        <v>6.5923858717266665E-2</v>
      </c>
      <c r="JY7" s="1">
        <f>(Table15678911[[#This Row],[failurecost500_rating9]]+Table15678911[[#This Row],[failurecost100_rating9]]+Table15678911[[#This Row],[failurecost50_rating9]]+Table15678911[[#This Row],[failurecost10_rating9]])</f>
        <v>4.1202411698291669E-2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Table15678911[[#This Row],[Depth10_Soil_vol]]*(9.353+9.027)+(Table15678911[[#This Row],[Depth10_Soil_vol]]/2.5)*20*1.053+(PI()*Table15678911[[#This Row],[Depth10_Scour]])*Table15678911[[#This Row],[DECK_WIDTH_MT_052]]*1.062</f>
        <v>16463.256386162553</v>
      </c>
      <c r="AR8" s="1">
        <f>Table15678911[[#This Row],[Depth50_Soil_vol]]*(9.353+9.027)+(Table15678911[[#This Row],[Depth50_Soil_vol]]/2.5)*20*1.053+(PI()*Table15678911[[#This Row],[Depth50_Scour]])*Table15678911[[#This Row],[DECK_WIDTH_MT_052]]*1.062</f>
        <v>18935.802677782114</v>
      </c>
      <c r="AS8" s="1">
        <f>Table15678911[[#This Row],[Depth100_Soil_vol]]*(9.353+9.027)+(Table15678911[[#This Row],[Depth100_Soil_vol]]/2.5)*20*1.053+(PI()*Table15678911[[#This Row],[Depth100_Scour]])*Table15678911[[#This Row],[DECK_WIDTH_MT_052]]*1.062</f>
        <v>19959.892643325038</v>
      </c>
      <c r="AT8" s="1">
        <f>Table15678911[[#This Row],[Depth500_Soil_vol]]*(9.353+9.027)+(Table15678911[[#This Row],[Depth500_Soil_vol]]/2.5)*20*1.053+(PI()*Table15678911[[#This Row],[Depth500_Scour]])*Table15678911[[#This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0.52800000000000002</v>
      </c>
      <c r="GF8" s="1">
        <v>47.935071469999997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42608.952417777771</v>
      </c>
      <c r="GM8" s="1">
        <f>Sheet4!R38*$GF8*1000000</f>
        <v>23967.535735000001</v>
      </c>
      <c r="GN8" s="1">
        <f>Sheet4!S38*$GF8*1000000</f>
        <v>15339.222870399999</v>
      </c>
      <c r="GO8" s="1">
        <f>Sheet4!T38*$GF8*1000000</f>
        <v>10652.238104444443</v>
      </c>
      <c r="GP8" s="1">
        <f>Sheet4!U38*$GF8*1000000</f>
        <v>7826.1341175510197</v>
      </c>
      <c r="GQ8" s="1">
        <f>Sheet4!V38*$GF8*1000000</f>
        <v>5991.8839337500003</v>
      </c>
      <c r="GR8" s="1">
        <f>Sheet4!W38*$GF8*1000000</f>
        <v>4734.3280464197533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>
        <v>0.01</v>
      </c>
      <c r="HF8">
        <v>1.25E-3</v>
      </c>
      <c r="HG8">
        <v>2.7500000000000002E-4</v>
      </c>
      <c r="HH8">
        <v>1E-4</v>
      </c>
      <c r="HI8">
        <v>1.7499999999999998E-5</v>
      </c>
      <c r="HJ8">
        <v>4.5000000000000001E-6</v>
      </c>
      <c r="HK8">
        <v>4.5000000000000001E-6</v>
      </c>
      <c r="HL8">
        <v>9.9999999999999995E-8</v>
      </c>
      <c r="HM8">
        <v>6.2499999999999997E-8</v>
      </c>
      <c r="HN8">
        <v>0.01</v>
      </c>
      <c r="HO8">
        <v>8.3333333333333339E-4</v>
      </c>
      <c r="HP8">
        <v>1.8333333333333334E-4</v>
      </c>
      <c r="HQ8">
        <v>6.666666666666667E-5</v>
      </c>
      <c r="HR8">
        <v>1.1666666666666666E-5</v>
      </c>
      <c r="HS8">
        <v>3.0000000000000001E-6</v>
      </c>
      <c r="HT8">
        <v>3.0000000000000001E-6</v>
      </c>
      <c r="HU8">
        <v>6.6666666666666668E-8</v>
      </c>
      <c r="HV8">
        <v>4.1666666666666663E-8</v>
      </c>
      <c r="HW8">
        <v>0.01</v>
      </c>
      <c r="HX8">
        <v>5.0000000000000001E-4</v>
      </c>
      <c r="HY8">
        <v>1.1E-4</v>
      </c>
      <c r="HZ8">
        <v>4.0000000000000003E-5</v>
      </c>
      <c r="IA8">
        <v>6.999999999999999E-6</v>
      </c>
      <c r="IB8">
        <v>1.8000000000000001E-6</v>
      </c>
      <c r="IC8">
        <v>1.8000000000000001E-6</v>
      </c>
      <c r="ID8">
        <v>4.0000000000000001E-8</v>
      </c>
      <c r="IE8">
        <v>2.4999999999999999E-8</v>
      </c>
      <c r="IF8" s="1">
        <f>Table15678911[[#This Row],[Total_Cost_MUSD]]*1000000*Table15678911[[#This Row],[prob500-failure_rating1]]/500</f>
        <v>958.70142940000005</v>
      </c>
      <c r="IG8" s="1">
        <f>Table15678911[[#This Row],[Total_Cost_MUSD]]*1000000*Table15678911[[#This Row],[prob500-failure_rating2]]/500</f>
        <v>479.35071470000003</v>
      </c>
      <c r="IH8" s="1">
        <f>Table15678911[[#This Row],[Total_Cost_MUSD]]*1000000*Table15678911[[#This Row],[prob500-failure_rating3]]/500</f>
        <v>105.45715723399999</v>
      </c>
      <c r="II8" s="1">
        <f>Table15678911[[#This Row],[Total_Cost_MUSD]]*1000000*Table15678911[[#This Row],[prob500-failure_rating4]]/500</f>
        <v>38.348057176000005</v>
      </c>
      <c r="IJ8" s="1">
        <f>Table15678911[[#This Row],[Total_Cost_MUSD]]*1000000*Table15678911[[#This Row],[prob500-failure_rating5]]/500</f>
        <v>6.7109100057999997</v>
      </c>
      <c r="IK8" s="1">
        <f>Table15678911[[#This Row],[Total_Cost_MUSD]]*1000000*Table15678911[[#This Row],[prob500-failure_rating6]]/500</f>
        <v>1.7256625729199999</v>
      </c>
      <c r="IL8" s="1">
        <f>Table15678911[[#This Row],[Total_Cost_MUSD]]*1000000*Table15678911[[#This Row],[prob500-failure_rating7]]/500</f>
        <v>1.7256625729199999</v>
      </c>
      <c r="IM8" s="1">
        <f>Table15678911[[#This Row],[Total_Cost_MUSD]]*1000000*Table15678911[[#This Row],[prob500-failure_rating8]]/500</f>
        <v>3.8348057175999997E-2</v>
      </c>
      <c r="IN8" s="1">
        <f>Table15678911[[#This Row],[Total_Cost_MUSD]]*1000000*Table15678911[[#This Row],[prob500-failure_rating9]]/500</f>
        <v>2.3967535735E-2</v>
      </c>
      <c r="IO8" s="1">
        <f>Table15678911[[#This Row],[Total_Cost_MUSD]]*1000000*Table15678911[[#This Row],[prob100-failure_rating1]]/100</f>
        <v>4793.5071470000003</v>
      </c>
      <c r="IP8" s="1">
        <f>Table15678911[[#This Row],[Total_Cost_MUSD]]*1000000*Table15678911[[#This Row],[prob100-failure_rating2]]/100</f>
        <v>599.18839337500003</v>
      </c>
      <c r="IQ8" s="1">
        <f>Table15678911[[#This Row],[Total_Cost_MUSD]]*1000000*Table15678911[[#This Row],[prob100-failure_rating3]]/100</f>
        <v>131.82144654249998</v>
      </c>
      <c r="IR8" s="1">
        <f>Table15678911[[#This Row],[Total_Cost_MUSD]]*1000000*Table15678911[[#This Row],[prob100-failure_rating4]]/100</f>
        <v>47.935071470000004</v>
      </c>
      <c r="IS8" s="1">
        <f>Table15678911[[#This Row],[Total_Cost_MUSD]]*1000000*Table15678911[[#This Row],[prob100-failure_rating5]]/100</f>
        <v>8.3886375072499995</v>
      </c>
      <c r="IT8" s="1">
        <f>Table15678911[[#This Row],[Total_Cost_MUSD]]*1000000*Table15678911[[#This Row],[prob100-failure_rating6]]/100</f>
        <v>2.1570782161499999</v>
      </c>
      <c r="IU8" s="1">
        <f>Table15678911[[#This Row],[Total_Cost_MUSD]]*1000000*Table15678911[[#This Row],[prob100-failure_rating7]]/100</f>
        <v>2.1570782161499999</v>
      </c>
      <c r="IV8" s="1">
        <f>Table15678911[[#This Row],[Total_Cost_MUSD]]*1000000*Table15678911[[#This Row],[prob100-failure_rating8]]/100</f>
        <v>4.793507147E-2</v>
      </c>
      <c r="IW8" s="1">
        <f>Table15678911[[#This Row],[Total_Cost_MUSD]]*1000000*Table15678911[[#This Row],[prob100-failure_rating9]]/100</f>
        <v>2.9959419668749997E-2</v>
      </c>
      <c r="IX8" s="1">
        <f>Table15678911[[#This Row],[Total_Cost_MUSD]]*1000000*Table15678911[[#This Row],[prob50-failure_rating1]]/50</f>
        <v>9587.0142940000005</v>
      </c>
      <c r="IY8" s="1">
        <f>Table15678911[[#This Row],[Total_Cost_MUSD]]*1000000*Table15678911[[#This Row],[prob50-failure_rating2]]/50</f>
        <v>798.91785783333341</v>
      </c>
      <c r="IZ8" s="1">
        <f>Table15678911[[#This Row],[Total_Cost_MUSD]]*1000000*Table15678911[[#This Row],[prob50-failure_rating3]]/50</f>
        <v>175.76192872333334</v>
      </c>
      <c r="JA8" s="1">
        <f>Table15678911[[#This Row],[Total_Cost_MUSD]]*1000000*Table15678911[[#This Row],[prob50-failure_rating4]]/50</f>
        <v>63.913428626666665</v>
      </c>
      <c r="JB8" s="1">
        <f>Table15678911[[#This Row],[Total_Cost_MUSD]]*1000000*Table15678911[[#This Row],[prob50-failure_rating5]]/50</f>
        <v>11.184850009666667</v>
      </c>
      <c r="JC8" s="1">
        <f>Table15678911[[#This Row],[Total_Cost_MUSD]]*1000000*Table15678911[[#This Row],[prob50-failure_rating6]]/50</f>
        <v>2.8761042881999996</v>
      </c>
      <c r="JD8" s="1">
        <f>Table15678911[[#This Row],[Total_Cost_MUSD]]*1000000*Table15678911[[#This Row],[prob50-failure_rating7]]/50</f>
        <v>2.8761042881999996</v>
      </c>
      <c r="JE8" s="1">
        <f>Table15678911[[#This Row],[Total_Cost_MUSD]]*1000000*Table15678911[[#This Row],[prob50-failure_rating8]]/50</f>
        <v>6.3913428626666671E-2</v>
      </c>
      <c r="JF8" s="1">
        <f>Table15678911[[#This Row],[Total_Cost_MUSD]]*1000000*Table15678911[[#This Row],[prob50-failure_rating9]]/50</f>
        <v>3.9945892891666661E-2</v>
      </c>
      <c r="JG8" s="1">
        <f>Table15678911[[#This Row],[Total_Cost_MUSD]]*1000000*Table15678911[[#This Row],[prob10-failure_rating1]]/10</f>
        <v>47935.071470000003</v>
      </c>
      <c r="JH8" s="1">
        <f>Table15678911[[#This Row],[Total_Cost_MUSD]]*1000000*Table15678911[[#This Row],[prob10-failure_rating2]]/10</f>
        <v>2396.7535735000001</v>
      </c>
      <c r="JI8" s="1">
        <f>Table15678911[[#This Row],[Total_Cost_MUSD]]*1000000*Table15678911[[#This Row],[prob10-failure_rating3]]/10</f>
        <v>527.28578617000005</v>
      </c>
      <c r="JJ8" s="1">
        <f>Table15678911[[#This Row],[Total_Cost_MUSD]]*1000000*Table15678911[[#This Row],[prob10-failure_rating4]]/10</f>
        <v>191.74028588000002</v>
      </c>
      <c r="JK8" s="1">
        <f>Table15678911[[#This Row],[Total_Cost_MUSD]]*1000000*Table15678911[[#This Row],[prob10-failure_rating5]]/10</f>
        <v>33.554550028999998</v>
      </c>
      <c r="JL8" s="1">
        <f>Table15678911[[#This Row],[Total_Cost_MUSD]]*1000000*Table15678911[[#This Row],[prob10-failure_rating6]]/10</f>
        <v>8.6283128646000016</v>
      </c>
      <c r="JM8" s="1">
        <f>Table15678911[[#This Row],[Total_Cost_MUSD]]*1000000*Table15678911[[#This Row],[prob10-failure_rating7]]/10</f>
        <v>8.6283128646000016</v>
      </c>
      <c r="JN8" s="1">
        <f>Table15678911[[#This Row],[Total_Cost_MUSD]]*1000000*Table15678911[[#This Row],[prob10-failure_rating8]]/10</f>
        <v>0.19174028588</v>
      </c>
      <c r="JO8" s="1">
        <f>Table15678911[[#This Row],[Total_Cost_MUSD]]*1000000*Table15678911[[#This Row],[prob10-failure_rating9]]/10</f>
        <v>0.11983767867499999</v>
      </c>
      <c r="JP8" s="1">
        <f>Table15678911[[#This Row],[FailureCost_Rating1]]</f>
        <v>4274.2105394083337</v>
      </c>
      <c r="JQ8" s="1">
        <f>Table15678911[[#This Row],[FailureCost_Rating2]]</f>
        <v>4274.2105394083337</v>
      </c>
      <c r="JR8" s="1">
        <f>(Table15678911[[#This Row],[failurecost500_rating2]]+Table15678911[[#This Row],[failurecost100_rating2]]+Table15678911[[#This Row],[failurecost50_rating2]]+Table15678911[[#This Row],[failurecost10_rating2]])</f>
        <v>4274.2105394083337</v>
      </c>
      <c r="JS8" s="1">
        <f>(Table15678911[[#This Row],[failurecost500_rating3]]+Table15678911[[#This Row],[failurecost100_rating3]]+Table15678911[[#This Row],[failurecost50_rating3]]+Table15678911[[#This Row],[failurecost10_rating3]])</f>
        <v>940.32631866983343</v>
      </c>
      <c r="JT8" s="1">
        <f>(Table15678911[[#This Row],[failurecost500_rating4]]+Table15678911[[#This Row],[failurecost100_rating4]]+Table15678911[[#This Row],[failurecost50_rating4]]+Table15678911[[#This Row],[failurecost10_rating4]])</f>
        <v>341.93684315266671</v>
      </c>
      <c r="JU8" s="1">
        <f>(Table15678911[[#This Row],[failurecost500_rating5]]+Table15678911[[#This Row],[failurecost100_rating5]]+Table15678911[[#This Row],[failurecost50_rating5]]+Table15678911[[#This Row],[failurecost10_rating5]])</f>
        <v>59.838947551716664</v>
      </c>
      <c r="JV8" s="1">
        <f>(Table15678911[[#This Row],[failurecost500_rating6]]+Table15678911[[#This Row],[failurecost100_rating6]]+Table15678911[[#This Row],[failurecost50_rating6]]+Table15678911[[#This Row],[failurecost10_rating6]])</f>
        <v>15.387157941870001</v>
      </c>
      <c r="JW8" s="1">
        <f>(Table15678911[[#This Row],[failurecost500_rating7]]+Table15678911[[#This Row],[failurecost100_rating7]]+Table15678911[[#This Row],[failurecost50_rating7]]+Table15678911[[#This Row],[failurecost10_rating7]])</f>
        <v>15.387157941870001</v>
      </c>
      <c r="JX8" s="1">
        <f>(Table15678911[[#This Row],[failurecost500_rating8]]+Table15678911[[#This Row],[failurecost100_rating8]]+Table15678911[[#This Row],[failurecost50_rating8]]+Table15678911[[#This Row],[failurecost10_rating8]])</f>
        <v>0.3419368431526667</v>
      </c>
      <c r="JY8" s="1">
        <f>(Table15678911[[#This Row],[failurecost500_rating9]]+Table15678911[[#This Row],[failurecost100_rating9]]+Table15678911[[#This Row],[failurecost50_rating9]]+Table15678911[[#This Row],[failurecost10_rating9]])</f>
        <v>0.21371052697041665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Table15678911[[#This Row],[Depth10_Soil_vol]]*(9.353+9.027)+(Table15678911[[#This Row],[Depth10_Soil_vol]]/2.5)*20*1.053+(PI()*Table15678911[[#This Row],[Depth10_Scour]])*Table15678911[[#This Row],[DECK_WIDTH_MT_052]]*1.062</f>
        <v>6829.712539120831</v>
      </c>
      <c r="AR9" s="1">
        <f>Table15678911[[#This Row],[Depth50_Soil_vol]]*(9.353+9.027)+(Table15678911[[#This Row],[Depth50_Soil_vol]]/2.5)*20*1.053+(PI()*Table15678911[[#This Row],[Depth50_Scour]])*Table15678911[[#This Row],[DECK_WIDTH_MT_052]]*1.062</f>
        <v>7284.9335218547822</v>
      </c>
      <c r="AS9" s="1">
        <f>Table15678911[[#This Row],[Depth100_Soil_vol]]*(9.353+9.027)+(Table15678911[[#This Row],[Depth100_Soil_vol]]/2.5)*20*1.053+(PI()*Table15678911[[#This Row],[Depth100_Scour]])*Table15678911[[#This Row],[DECK_WIDTH_MT_052]]*1.062</f>
        <v>7678.6049905512346</v>
      </c>
      <c r="AT9" s="1">
        <f>Table15678911[[#This Row],[Depth500_Soil_vol]]*(9.353+9.027)+(Table15678911[[#This Row],[Depth500_Soil_vol]]/2.5)*20*1.053+(PI()*Table15678911[[#This Row],[Depth500_Scour]])*Table15678911[[#This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9" s="1">
        <v>42.732621100000003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37984.552088888886</v>
      </c>
      <c r="GM9" s="1">
        <f>Sheet4!R39*$GF9*1000000</f>
        <v>21366.310550000002</v>
      </c>
      <c r="GN9" s="1">
        <f>Sheet4!S39*$GF9*1000000</f>
        <v>13674.438752000004</v>
      </c>
      <c r="GO9" s="1">
        <f>Sheet4!T39*$GF9*1000000</f>
        <v>9496.1380222222215</v>
      </c>
      <c r="GP9" s="1">
        <f>Sheet4!U39*$GF9*1000000</f>
        <v>6976.7544653061223</v>
      </c>
      <c r="GQ9" s="1">
        <f>Sheet4!V39*$GF9*1000000</f>
        <v>5341.5776375000005</v>
      </c>
      <c r="GR9" s="1">
        <f>Sheet4!W39*$GF9*1000000</f>
        <v>4220.5057876543215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>
        <v>0.01</v>
      </c>
      <c r="HF9">
        <v>1.25E-3</v>
      </c>
      <c r="HG9">
        <v>2.7500000000000002E-4</v>
      </c>
      <c r="HH9">
        <v>1E-4</v>
      </c>
      <c r="HI9">
        <v>1.7499999999999998E-5</v>
      </c>
      <c r="HJ9">
        <v>4.5000000000000001E-6</v>
      </c>
      <c r="HK9">
        <v>4.5000000000000001E-6</v>
      </c>
      <c r="HL9">
        <v>9.9999999999999995E-8</v>
      </c>
      <c r="HM9">
        <v>6.2499999999999997E-8</v>
      </c>
      <c r="HN9">
        <v>0.01</v>
      </c>
      <c r="HO9">
        <v>8.3333333333333339E-4</v>
      </c>
      <c r="HP9">
        <v>1.8333333333333334E-4</v>
      </c>
      <c r="HQ9">
        <v>6.666666666666667E-5</v>
      </c>
      <c r="HR9">
        <v>1.1666666666666666E-5</v>
      </c>
      <c r="HS9">
        <v>3.0000000000000001E-6</v>
      </c>
      <c r="HT9">
        <v>3.0000000000000001E-6</v>
      </c>
      <c r="HU9">
        <v>6.6666666666666668E-8</v>
      </c>
      <c r="HV9">
        <v>4.1666666666666663E-8</v>
      </c>
      <c r="HW9">
        <v>0.01</v>
      </c>
      <c r="HX9">
        <v>5.0000000000000001E-4</v>
      </c>
      <c r="HY9">
        <v>1.1E-4</v>
      </c>
      <c r="HZ9">
        <v>4.0000000000000003E-5</v>
      </c>
      <c r="IA9">
        <v>6.999999999999999E-6</v>
      </c>
      <c r="IB9">
        <v>1.8000000000000001E-6</v>
      </c>
      <c r="IC9">
        <v>1.8000000000000001E-6</v>
      </c>
      <c r="ID9">
        <v>4.0000000000000001E-8</v>
      </c>
      <c r="IE9">
        <v>2.4999999999999999E-8</v>
      </c>
      <c r="IF9" s="1">
        <f>Table15678911[[#This Row],[Total_Cost_MUSD]]*1000000*Table15678911[[#This Row],[prob500-failure_rating1]]/500</f>
        <v>854.652422</v>
      </c>
      <c r="IG9" s="1">
        <f>Table15678911[[#This Row],[Total_Cost_MUSD]]*1000000*Table15678911[[#This Row],[prob500-failure_rating2]]/500</f>
        <v>427.326211</v>
      </c>
      <c r="IH9" s="1">
        <f>Table15678911[[#This Row],[Total_Cost_MUSD]]*1000000*Table15678911[[#This Row],[prob500-failure_rating3]]/500</f>
        <v>94.011766420000015</v>
      </c>
      <c r="II9" s="1">
        <f>Table15678911[[#This Row],[Total_Cost_MUSD]]*1000000*Table15678911[[#This Row],[prob500-failure_rating4]]/500</f>
        <v>34.186096880000008</v>
      </c>
      <c r="IJ9" s="1">
        <f>Table15678911[[#This Row],[Total_Cost_MUSD]]*1000000*Table15678911[[#This Row],[prob500-failure_rating5]]/500</f>
        <v>5.9825669540000002</v>
      </c>
      <c r="IK9" s="1">
        <f>Table15678911[[#This Row],[Total_Cost_MUSD]]*1000000*Table15678911[[#This Row],[prob500-failure_rating6]]/500</f>
        <v>1.5383743596000001</v>
      </c>
      <c r="IL9" s="1">
        <f>Table15678911[[#This Row],[Total_Cost_MUSD]]*1000000*Table15678911[[#This Row],[prob500-failure_rating7]]/500</f>
        <v>1.5383743596000001</v>
      </c>
      <c r="IM9" s="1">
        <f>Table15678911[[#This Row],[Total_Cost_MUSD]]*1000000*Table15678911[[#This Row],[prob500-failure_rating8]]/500</f>
        <v>3.4186096880000003E-2</v>
      </c>
      <c r="IN9" s="1">
        <f>Table15678911[[#This Row],[Total_Cost_MUSD]]*1000000*Table15678911[[#This Row],[prob500-failure_rating9]]/500</f>
        <v>2.136631055E-2</v>
      </c>
      <c r="IO9" s="1">
        <f>Table15678911[[#This Row],[Total_Cost_MUSD]]*1000000*Table15678911[[#This Row],[prob100-failure_rating1]]/100</f>
        <v>4273.2621099999997</v>
      </c>
      <c r="IP9" s="1">
        <f>Table15678911[[#This Row],[Total_Cost_MUSD]]*1000000*Table15678911[[#This Row],[prob100-failure_rating2]]/100</f>
        <v>534.15776374999996</v>
      </c>
      <c r="IQ9" s="1">
        <f>Table15678911[[#This Row],[Total_Cost_MUSD]]*1000000*Table15678911[[#This Row],[prob100-failure_rating3]]/100</f>
        <v>117.51470802500002</v>
      </c>
      <c r="IR9" s="1">
        <f>Table15678911[[#This Row],[Total_Cost_MUSD]]*1000000*Table15678911[[#This Row],[prob100-failure_rating4]]/100</f>
        <v>42.732621100000003</v>
      </c>
      <c r="IS9" s="1">
        <f>Table15678911[[#This Row],[Total_Cost_MUSD]]*1000000*Table15678911[[#This Row],[prob100-failure_rating5]]/100</f>
        <v>7.4782086925</v>
      </c>
      <c r="IT9" s="1">
        <f>Table15678911[[#This Row],[Total_Cost_MUSD]]*1000000*Table15678911[[#This Row],[prob100-failure_rating6]]/100</f>
        <v>1.9229679495000003</v>
      </c>
      <c r="IU9" s="1">
        <f>Table15678911[[#This Row],[Total_Cost_MUSD]]*1000000*Table15678911[[#This Row],[prob100-failure_rating7]]/100</f>
        <v>1.9229679495000003</v>
      </c>
      <c r="IV9" s="1">
        <f>Table15678911[[#This Row],[Total_Cost_MUSD]]*1000000*Table15678911[[#This Row],[prob100-failure_rating8]]/100</f>
        <v>4.27326211E-2</v>
      </c>
      <c r="IW9" s="1">
        <f>Table15678911[[#This Row],[Total_Cost_MUSD]]*1000000*Table15678911[[#This Row],[prob100-failure_rating9]]/100</f>
        <v>2.6707888187500001E-2</v>
      </c>
      <c r="IX9" s="1">
        <f>Table15678911[[#This Row],[Total_Cost_MUSD]]*1000000*Table15678911[[#This Row],[prob50-failure_rating1]]/50</f>
        <v>8546.5242199999993</v>
      </c>
      <c r="IY9" s="1">
        <f>Table15678911[[#This Row],[Total_Cost_MUSD]]*1000000*Table15678911[[#This Row],[prob50-failure_rating2]]/50</f>
        <v>712.21035166666672</v>
      </c>
      <c r="IZ9" s="1">
        <f>Table15678911[[#This Row],[Total_Cost_MUSD]]*1000000*Table15678911[[#This Row],[prob50-failure_rating3]]/50</f>
        <v>156.68627736666667</v>
      </c>
      <c r="JA9" s="1">
        <f>Table15678911[[#This Row],[Total_Cost_MUSD]]*1000000*Table15678911[[#This Row],[prob50-failure_rating4]]/50</f>
        <v>56.976828133333335</v>
      </c>
      <c r="JB9" s="1">
        <f>Table15678911[[#This Row],[Total_Cost_MUSD]]*1000000*Table15678911[[#This Row],[prob50-failure_rating5]]/50</f>
        <v>9.9709449233333327</v>
      </c>
      <c r="JC9" s="1">
        <f>Table15678911[[#This Row],[Total_Cost_MUSD]]*1000000*Table15678911[[#This Row],[prob50-failure_rating6]]/50</f>
        <v>2.5639572660000001</v>
      </c>
      <c r="JD9" s="1">
        <f>Table15678911[[#This Row],[Total_Cost_MUSD]]*1000000*Table15678911[[#This Row],[prob50-failure_rating7]]/50</f>
        <v>2.5639572660000001</v>
      </c>
      <c r="JE9" s="1">
        <f>Table15678911[[#This Row],[Total_Cost_MUSD]]*1000000*Table15678911[[#This Row],[prob50-failure_rating8]]/50</f>
        <v>5.6976828133333338E-2</v>
      </c>
      <c r="JF9" s="1">
        <f>Table15678911[[#This Row],[Total_Cost_MUSD]]*1000000*Table15678911[[#This Row],[prob50-failure_rating9]]/50</f>
        <v>3.5610517583333327E-2</v>
      </c>
      <c r="JG9" s="1">
        <f>Table15678911[[#This Row],[Total_Cost_MUSD]]*1000000*Table15678911[[#This Row],[prob10-failure_rating1]]/10</f>
        <v>42732.621100000004</v>
      </c>
      <c r="JH9" s="1">
        <f>Table15678911[[#This Row],[Total_Cost_MUSD]]*1000000*Table15678911[[#This Row],[prob10-failure_rating2]]/10</f>
        <v>2136.6310550000003</v>
      </c>
      <c r="JI9" s="1">
        <f>Table15678911[[#This Row],[Total_Cost_MUSD]]*1000000*Table15678911[[#This Row],[prob10-failure_rating3]]/10</f>
        <v>470.05883210000002</v>
      </c>
      <c r="JJ9" s="1">
        <f>Table15678911[[#This Row],[Total_Cost_MUSD]]*1000000*Table15678911[[#This Row],[prob10-failure_rating4]]/10</f>
        <v>170.93048440000001</v>
      </c>
      <c r="JK9" s="1">
        <f>Table15678911[[#This Row],[Total_Cost_MUSD]]*1000000*Table15678911[[#This Row],[prob10-failure_rating5]]/10</f>
        <v>29.912834769999996</v>
      </c>
      <c r="JL9" s="1">
        <f>Table15678911[[#This Row],[Total_Cost_MUSD]]*1000000*Table15678911[[#This Row],[prob10-failure_rating6]]/10</f>
        <v>7.6918717980000011</v>
      </c>
      <c r="JM9" s="1">
        <f>Table15678911[[#This Row],[Total_Cost_MUSD]]*1000000*Table15678911[[#This Row],[prob10-failure_rating7]]/10</f>
        <v>7.6918717980000011</v>
      </c>
      <c r="JN9" s="1">
        <f>Table15678911[[#This Row],[Total_Cost_MUSD]]*1000000*Table15678911[[#This Row],[prob10-failure_rating8]]/10</f>
        <v>0.1709304844</v>
      </c>
      <c r="JO9" s="1">
        <f>Table15678911[[#This Row],[Total_Cost_MUSD]]*1000000*Table15678911[[#This Row],[prob10-failure_rating9]]/10</f>
        <v>0.10683155275</v>
      </c>
      <c r="JP9" s="1">
        <f>Table15678911[[#This Row],[FailureCost_Rating1]]</f>
        <v>3810.3253814166669</v>
      </c>
      <c r="JQ9" s="1">
        <f>Table15678911[[#This Row],[FailureCost_Rating2]]</f>
        <v>3810.3253814166669</v>
      </c>
      <c r="JR9" s="1">
        <f>(Table15678911[[#This Row],[failurecost500_rating2]]+Table15678911[[#This Row],[failurecost100_rating2]]+Table15678911[[#This Row],[failurecost50_rating2]]+Table15678911[[#This Row],[failurecost10_rating2]])</f>
        <v>3810.3253814166669</v>
      </c>
      <c r="JS9" s="1">
        <f>(Table15678911[[#This Row],[failurecost500_rating3]]+Table15678911[[#This Row],[failurecost100_rating3]]+Table15678911[[#This Row],[failurecost50_rating3]]+Table15678911[[#This Row],[failurecost10_rating3]])</f>
        <v>838.27158391166677</v>
      </c>
      <c r="JT9" s="1">
        <f>(Table15678911[[#This Row],[failurecost500_rating4]]+Table15678911[[#This Row],[failurecost100_rating4]]+Table15678911[[#This Row],[failurecost50_rating4]]+Table15678911[[#This Row],[failurecost10_rating4]])</f>
        <v>304.82603051333336</v>
      </c>
      <c r="JU9" s="1">
        <f>(Table15678911[[#This Row],[failurecost500_rating5]]+Table15678911[[#This Row],[failurecost100_rating5]]+Table15678911[[#This Row],[failurecost50_rating5]]+Table15678911[[#This Row],[failurecost10_rating5]])</f>
        <v>53.344555339833327</v>
      </c>
      <c r="JV9" s="1">
        <f>(Table15678911[[#This Row],[failurecost500_rating6]]+Table15678911[[#This Row],[failurecost100_rating6]]+Table15678911[[#This Row],[failurecost50_rating6]]+Table15678911[[#This Row],[failurecost10_rating6]])</f>
        <v>13.717171373100001</v>
      </c>
      <c r="JW9" s="1">
        <f>(Table15678911[[#This Row],[failurecost500_rating7]]+Table15678911[[#This Row],[failurecost100_rating7]]+Table15678911[[#This Row],[failurecost50_rating7]]+Table15678911[[#This Row],[failurecost10_rating7]])</f>
        <v>13.717171373100001</v>
      </c>
      <c r="JX9" s="1">
        <f>(Table15678911[[#This Row],[failurecost500_rating8]]+Table15678911[[#This Row],[failurecost100_rating8]]+Table15678911[[#This Row],[failurecost50_rating8]]+Table15678911[[#This Row],[failurecost10_rating8]])</f>
        <v>0.30482603051333335</v>
      </c>
      <c r="JY9" s="1">
        <f>(Table15678911[[#This Row],[failurecost500_rating9]]+Table15678911[[#This Row],[failurecost100_rating9]]+Table15678911[[#This Row],[failurecost50_rating9]]+Table15678911[[#This Row],[failurecost10_rating9]])</f>
        <v>0.19051626907083333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Table15678911[[#This Row],[Depth10_Soil_vol]]*(9.353+9.027)+(Table15678911[[#This Row],[Depth10_Soil_vol]]/2.5)*20*1.053+(PI()*Table15678911[[#This Row],[Depth10_Scour]])*Table15678911[[#This Row],[DECK_WIDTH_MT_052]]*1.062</f>
        <v>2767.3671308174216</v>
      </c>
      <c r="AR10" s="1">
        <f>Table15678911[[#This Row],[Depth50_Soil_vol]]*(9.353+9.027)+(Table15678911[[#This Row],[Depth50_Soil_vol]]/2.5)*20*1.053+(PI()*Table15678911[[#This Row],[Depth50_Scour]])*Table15678911[[#This Row],[DECK_WIDTH_MT_052]]*1.062</f>
        <v>2942.0444801705157</v>
      </c>
      <c r="AS10" s="1">
        <f>Table15678911[[#This Row],[Depth100_Soil_vol]]*(9.353+9.027)+(Table15678911[[#This Row],[Depth100_Soil_vol]]/2.5)*20*1.053+(PI()*Table15678911[[#This Row],[Depth100_Scour]])*Table15678911[[#This Row],[DECK_WIDTH_MT_052]]*1.062</f>
        <v>3019.9468768096358</v>
      </c>
      <c r="AT10" s="1">
        <f>Table15678911[[#This Row],[Depth500_Soil_vol]]*(9.353+9.027)+(Table15678911[[#This Row],[Depth500_Soil_vol]]/2.5)*20*1.053+(PI()*Table15678911[[#This Row],[Depth500_Scour]])*Table15678911[[#This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10" s="1">
        <v>17.884614809999999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15897.435386666666</v>
      </c>
      <c r="GM10" s="1">
        <f>Sheet4!R40*$GF10*1000000</f>
        <v>8942.3074049999996</v>
      </c>
      <c r="GN10" s="1">
        <f>Sheet4!S40*$GF10*1000000</f>
        <v>5723.0767392000016</v>
      </c>
      <c r="GO10" s="1">
        <f>Sheet4!T40*$GF10*1000000</f>
        <v>3974.3588466666665</v>
      </c>
      <c r="GP10" s="1">
        <f>Sheet4!U40*$GF10*1000000</f>
        <v>2919.9371118367344</v>
      </c>
      <c r="GQ10" s="1">
        <f>Sheet4!V40*$GF10*1000000</f>
        <v>2235.5768512499999</v>
      </c>
      <c r="GR10" s="1">
        <f>Sheet4!W40*$GF10*1000000</f>
        <v>1766.3817096296293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>
        <v>0.01</v>
      </c>
      <c r="HF10">
        <v>1.25E-3</v>
      </c>
      <c r="HG10">
        <v>2.7500000000000002E-4</v>
      </c>
      <c r="HH10">
        <v>1E-4</v>
      </c>
      <c r="HI10">
        <v>1.7499999999999998E-5</v>
      </c>
      <c r="HJ10">
        <v>4.5000000000000001E-6</v>
      </c>
      <c r="HK10">
        <v>4.5000000000000001E-6</v>
      </c>
      <c r="HL10">
        <v>9.9999999999999995E-8</v>
      </c>
      <c r="HM10">
        <v>6.2499999999999997E-8</v>
      </c>
      <c r="HN10">
        <v>0.01</v>
      </c>
      <c r="HO10">
        <v>8.3333333333333339E-4</v>
      </c>
      <c r="HP10">
        <v>1.8333333333333334E-4</v>
      </c>
      <c r="HQ10">
        <v>6.666666666666667E-5</v>
      </c>
      <c r="HR10">
        <v>1.1666666666666666E-5</v>
      </c>
      <c r="HS10">
        <v>3.0000000000000001E-6</v>
      </c>
      <c r="HT10">
        <v>3.0000000000000001E-6</v>
      </c>
      <c r="HU10">
        <v>6.6666666666666668E-8</v>
      </c>
      <c r="HV10">
        <v>4.1666666666666663E-8</v>
      </c>
      <c r="HW10">
        <v>0.01</v>
      </c>
      <c r="HX10">
        <v>5.0000000000000001E-4</v>
      </c>
      <c r="HY10">
        <v>1.1E-4</v>
      </c>
      <c r="HZ10">
        <v>4.0000000000000003E-5</v>
      </c>
      <c r="IA10">
        <v>6.999999999999999E-6</v>
      </c>
      <c r="IB10">
        <v>1.8000000000000001E-6</v>
      </c>
      <c r="IC10">
        <v>1.8000000000000001E-6</v>
      </c>
      <c r="ID10">
        <v>4.0000000000000001E-8</v>
      </c>
      <c r="IE10">
        <v>2.4999999999999999E-8</v>
      </c>
      <c r="IF10" s="1">
        <f>Table15678911[[#This Row],[Total_Cost_MUSD]]*1000000*Table15678911[[#This Row],[prob500-failure_rating1]]/500</f>
        <v>357.69229619999999</v>
      </c>
      <c r="IG10" s="1">
        <f>Table15678911[[#This Row],[Total_Cost_MUSD]]*1000000*Table15678911[[#This Row],[prob500-failure_rating2]]/500</f>
        <v>178.84614809999999</v>
      </c>
      <c r="IH10" s="1">
        <f>Table15678911[[#This Row],[Total_Cost_MUSD]]*1000000*Table15678911[[#This Row],[prob500-failure_rating3]]/500</f>
        <v>39.346152582000002</v>
      </c>
      <c r="II10" s="1">
        <f>Table15678911[[#This Row],[Total_Cost_MUSD]]*1000000*Table15678911[[#This Row],[prob500-failure_rating4]]/500</f>
        <v>14.307691848000001</v>
      </c>
      <c r="IJ10" s="1">
        <f>Table15678911[[#This Row],[Total_Cost_MUSD]]*1000000*Table15678911[[#This Row],[prob500-failure_rating5]]/500</f>
        <v>2.5038460733999996</v>
      </c>
      <c r="IK10" s="1">
        <f>Table15678911[[#This Row],[Total_Cost_MUSD]]*1000000*Table15678911[[#This Row],[prob500-failure_rating6]]/500</f>
        <v>0.64384613316000006</v>
      </c>
      <c r="IL10" s="1">
        <f>Table15678911[[#This Row],[Total_Cost_MUSD]]*1000000*Table15678911[[#This Row],[prob500-failure_rating7]]/500</f>
        <v>0.64384613316000006</v>
      </c>
      <c r="IM10" s="1">
        <f>Table15678911[[#This Row],[Total_Cost_MUSD]]*1000000*Table15678911[[#This Row],[prob500-failure_rating8]]/500</f>
        <v>1.4307691847999997E-2</v>
      </c>
      <c r="IN10" s="1">
        <f>Table15678911[[#This Row],[Total_Cost_MUSD]]*1000000*Table15678911[[#This Row],[prob500-failure_rating9]]/500</f>
        <v>8.9423074049999988E-3</v>
      </c>
      <c r="IO10" s="1">
        <f>Table15678911[[#This Row],[Total_Cost_MUSD]]*1000000*Table15678911[[#This Row],[prob100-failure_rating1]]/100</f>
        <v>1788.4614809999998</v>
      </c>
      <c r="IP10" s="1">
        <f>Table15678911[[#This Row],[Total_Cost_MUSD]]*1000000*Table15678911[[#This Row],[prob100-failure_rating2]]/100</f>
        <v>223.55768512499998</v>
      </c>
      <c r="IQ10" s="1">
        <f>Table15678911[[#This Row],[Total_Cost_MUSD]]*1000000*Table15678911[[#This Row],[prob100-failure_rating3]]/100</f>
        <v>49.182690727500002</v>
      </c>
      <c r="IR10" s="1">
        <f>Table15678911[[#This Row],[Total_Cost_MUSD]]*1000000*Table15678911[[#This Row],[prob100-failure_rating4]]/100</f>
        <v>17.884614810000002</v>
      </c>
      <c r="IS10" s="1">
        <f>Table15678911[[#This Row],[Total_Cost_MUSD]]*1000000*Table15678911[[#This Row],[prob100-failure_rating5]]/100</f>
        <v>3.1298075917499997</v>
      </c>
      <c r="IT10" s="1">
        <f>Table15678911[[#This Row],[Total_Cost_MUSD]]*1000000*Table15678911[[#This Row],[prob100-failure_rating6]]/100</f>
        <v>0.80480766645000001</v>
      </c>
      <c r="IU10" s="1">
        <f>Table15678911[[#This Row],[Total_Cost_MUSD]]*1000000*Table15678911[[#This Row],[prob100-failure_rating7]]/100</f>
        <v>0.80480766645000001</v>
      </c>
      <c r="IV10" s="1">
        <f>Table15678911[[#This Row],[Total_Cost_MUSD]]*1000000*Table15678911[[#This Row],[prob100-failure_rating8]]/100</f>
        <v>1.7884614809999998E-2</v>
      </c>
      <c r="IW10" s="1">
        <f>Table15678911[[#This Row],[Total_Cost_MUSD]]*1000000*Table15678911[[#This Row],[prob100-failure_rating9]]/100</f>
        <v>1.1177884256249999E-2</v>
      </c>
      <c r="IX10" s="1">
        <f>Table15678911[[#This Row],[Total_Cost_MUSD]]*1000000*Table15678911[[#This Row],[prob50-failure_rating1]]/50</f>
        <v>3576.9229619999996</v>
      </c>
      <c r="IY10" s="1">
        <f>Table15678911[[#This Row],[Total_Cost_MUSD]]*1000000*Table15678911[[#This Row],[prob50-failure_rating2]]/50</f>
        <v>298.07691349999999</v>
      </c>
      <c r="IZ10" s="1">
        <f>Table15678911[[#This Row],[Total_Cost_MUSD]]*1000000*Table15678911[[#This Row],[prob50-failure_rating3]]/50</f>
        <v>65.576920969999989</v>
      </c>
      <c r="JA10" s="1">
        <f>Table15678911[[#This Row],[Total_Cost_MUSD]]*1000000*Table15678911[[#This Row],[prob50-failure_rating4]]/50</f>
        <v>23.846153080000001</v>
      </c>
      <c r="JB10" s="1">
        <f>Table15678911[[#This Row],[Total_Cost_MUSD]]*1000000*Table15678911[[#This Row],[prob50-failure_rating5]]/50</f>
        <v>4.1730767889999996</v>
      </c>
      <c r="JC10" s="1">
        <f>Table15678911[[#This Row],[Total_Cost_MUSD]]*1000000*Table15678911[[#This Row],[prob50-failure_rating6]]/50</f>
        <v>1.0730768885999999</v>
      </c>
      <c r="JD10" s="1">
        <f>Table15678911[[#This Row],[Total_Cost_MUSD]]*1000000*Table15678911[[#This Row],[prob50-failure_rating7]]/50</f>
        <v>1.0730768885999999</v>
      </c>
      <c r="JE10" s="1">
        <f>Table15678911[[#This Row],[Total_Cost_MUSD]]*1000000*Table15678911[[#This Row],[prob50-failure_rating8]]/50</f>
        <v>2.3846153079999998E-2</v>
      </c>
      <c r="JF10" s="1">
        <f>Table15678911[[#This Row],[Total_Cost_MUSD]]*1000000*Table15678911[[#This Row],[prob50-failure_rating9]]/50</f>
        <v>1.4903845674999998E-2</v>
      </c>
      <c r="JG10" s="1">
        <f>Table15678911[[#This Row],[Total_Cost_MUSD]]*1000000*Table15678911[[#This Row],[prob10-failure_rating1]]/10</f>
        <v>17884.614809999999</v>
      </c>
      <c r="JH10" s="1">
        <f>Table15678911[[#This Row],[Total_Cost_MUSD]]*1000000*Table15678911[[#This Row],[prob10-failure_rating2]]/10</f>
        <v>894.23074049999991</v>
      </c>
      <c r="JI10" s="1">
        <f>Table15678911[[#This Row],[Total_Cost_MUSD]]*1000000*Table15678911[[#This Row],[prob10-failure_rating3]]/10</f>
        <v>196.73076291000001</v>
      </c>
      <c r="JJ10" s="1">
        <f>Table15678911[[#This Row],[Total_Cost_MUSD]]*1000000*Table15678911[[#This Row],[prob10-failure_rating4]]/10</f>
        <v>71.538459239999995</v>
      </c>
      <c r="JK10" s="1">
        <f>Table15678911[[#This Row],[Total_Cost_MUSD]]*1000000*Table15678911[[#This Row],[prob10-failure_rating5]]/10</f>
        <v>12.519230366999997</v>
      </c>
      <c r="JL10" s="1">
        <f>Table15678911[[#This Row],[Total_Cost_MUSD]]*1000000*Table15678911[[#This Row],[prob10-failure_rating6]]/10</f>
        <v>3.2192306658000001</v>
      </c>
      <c r="JM10" s="1">
        <f>Table15678911[[#This Row],[Total_Cost_MUSD]]*1000000*Table15678911[[#This Row],[prob10-failure_rating7]]/10</f>
        <v>3.2192306658000001</v>
      </c>
      <c r="JN10" s="1">
        <f>Table15678911[[#This Row],[Total_Cost_MUSD]]*1000000*Table15678911[[#This Row],[prob10-failure_rating8]]/10</f>
        <v>7.1538459239999991E-2</v>
      </c>
      <c r="JO10" s="1">
        <f>Table15678911[[#This Row],[Total_Cost_MUSD]]*1000000*Table15678911[[#This Row],[prob10-failure_rating9]]/10</f>
        <v>4.4711537024999991E-2</v>
      </c>
      <c r="JP10" s="1">
        <f>Table15678911[[#This Row],[FailureCost_Rating1]]</f>
        <v>1594.7114872249999</v>
      </c>
      <c r="JQ10" s="1">
        <f>Table15678911[[#This Row],[FailureCost_Rating2]]</f>
        <v>1594.7114872249999</v>
      </c>
      <c r="JR10" s="1">
        <f>(Table15678911[[#This Row],[failurecost500_rating2]]+Table15678911[[#This Row],[failurecost100_rating2]]+Table15678911[[#This Row],[failurecost50_rating2]]+Table15678911[[#This Row],[failurecost10_rating2]])</f>
        <v>1594.7114872249999</v>
      </c>
      <c r="JS10" s="1">
        <f>(Table15678911[[#This Row],[failurecost500_rating3]]+Table15678911[[#This Row],[failurecost100_rating3]]+Table15678911[[#This Row],[failurecost50_rating3]]+Table15678911[[#This Row],[failurecost10_rating3]])</f>
        <v>350.83652718949998</v>
      </c>
      <c r="JT10" s="1">
        <f>(Table15678911[[#This Row],[failurecost500_rating4]]+Table15678911[[#This Row],[failurecost100_rating4]]+Table15678911[[#This Row],[failurecost50_rating4]]+Table15678911[[#This Row],[failurecost10_rating4]])</f>
        <v>127.57691897800001</v>
      </c>
      <c r="JU10" s="1">
        <f>(Table15678911[[#This Row],[failurecost500_rating5]]+Table15678911[[#This Row],[failurecost100_rating5]]+Table15678911[[#This Row],[failurecost50_rating5]]+Table15678911[[#This Row],[failurecost10_rating5]])</f>
        <v>22.325960821149998</v>
      </c>
      <c r="JV10" s="1">
        <f>(Table15678911[[#This Row],[failurecost500_rating6]]+Table15678911[[#This Row],[failurecost100_rating6]]+Table15678911[[#This Row],[failurecost50_rating6]]+Table15678911[[#This Row],[failurecost10_rating6]])</f>
        <v>5.7409613540100004</v>
      </c>
      <c r="JW10" s="1">
        <f>(Table15678911[[#This Row],[failurecost500_rating7]]+Table15678911[[#This Row],[failurecost100_rating7]]+Table15678911[[#This Row],[failurecost50_rating7]]+Table15678911[[#This Row],[failurecost10_rating7]])</f>
        <v>5.7409613540100004</v>
      </c>
      <c r="JX10" s="1">
        <f>(Table15678911[[#This Row],[failurecost500_rating8]]+Table15678911[[#This Row],[failurecost100_rating8]]+Table15678911[[#This Row],[failurecost50_rating8]]+Table15678911[[#This Row],[failurecost10_rating8]])</f>
        <v>0.127576918978</v>
      </c>
      <c r="JY10" s="1">
        <f>(Table15678911[[#This Row],[failurecost500_rating9]]+Table15678911[[#This Row],[failurecost100_rating9]]+Table15678911[[#This Row],[failurecost50_rating9]]+Table15678911[[#This Row],[failurecost10_rating9]])</f>
        <v>7.9735574361249978E-2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Table15678911[[#This Row],[Depth10_Soil_vol]]*(9.353+9.027)+(Table15678911[[#This Row],[Depth10_Soil_vol]]/2.5)*20*1.053+(PI()*Table15678911[[#This Row],[Depth10_Scour]])*Table15678911[[#This Row],[DECK_WIDTH_MT_052]]*1.062</f>
        <v>12912.070383440046</v>
      </c>
      <c r="AR11" s="1">
        <f>Table15678911[[#This Row],[Depth50_Soil_vol]]*(9.353+9.027)+(Table15678911[[#This Row],[Depth50_Soil_vol]]/2.5)*20*1.053+(PI()*Table15678911[[#This Row],[Depth50_Scour]])*Table15678911[[#This Row],[DECK_WIDTH_MT_052]]*1.062</f>
        <v>13809.829327894035</v>
      </c>
      <c r="AS11" s="1">
        <f>Table15678911[[#This Row],[Depth100_Soil_vol]]*(9.353+9.027)+(Table15678911[[#This Row],[Depth100_Soil_vol]]/2.5)*20*1.053+(PI()*Table15678911[[#This Row],[Depth100_Scour]])*Table15678911[[#This Row],[DECK_WIDTH_MT_052]]*1.062</f>
        <v>14209.20261771438</v>
      </c>
      <c r="AT11" s="1">
        <f>Table15678911[[#This Row],[Depth500_Soil_vol]]*(9.353+9.027)+(Table15678911[[#This Row],[Depth500_Soil_vol]]/2.5)*20*1.053+(PI()*Table15678911[[#This Row],[Depth500_Scour]])*Table15678911[[#This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11" s="1">
        <v>61.928876150000001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55047.889911111102</v>
      </c>
      <c r="GM11" s="1">
        <f>Sheet4!R41*$GF11*1000000</f>
        <v>30964.438074999998</v>
      </c>
      <c r="GN11" s="1">
        <f>Sheet4!S41*$GF11*1000000</f>
        <v>19817.240368000002</v>
      </c>
      <c r="GO11" s="1">
        <f>Sheet4!T41*$GF11*1000000</f>
        <v>13761.972477777776</v>
      </c>
      <c r="GP11" s="1">
        <f>Sheet4!U41*$GF11*1000000</f>
        <v>10110.83692244898</v>
      </c>
      <c r="GQ11" s="1">
        <f>Sheet4!V41*$GF11*1000000</f>
        <v>7741.1095187499996</v>
      </c>
      <c r="GR11" s="1">
        <f>Sheet4!W41*$GF11*1000000</f>
        <v>6116.4322123456786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>
        <v>0.01</v>
      </c>
      <c r="HF11">
        <v>1.25E-3</v>
      </c>
      <c r="HG11">
        <v>2.7500000000000002E-4</v>
      </c>
      <c r="HH11">
        <v>1E-4</v>
      </c>
      <c r="HI11">
        <v>1.7499999999999998E-5</v>
      </c>
      <c r="HJ11">
        <v>4.5000000000000001E-6</v>
      </c>
      <c r="HK11">
        <v>4.5000000000000001E-6</v>
      </c>
      <c r="HL11">
        <v>9.9999999999999995E-8</v>
      </c>
      <c r="HM11">
        <v>6.2499999999999997E-8</v>
      </c>
      <c r="HN11">
        <v>0.01</v>
      </c>
      <c r="HO11">
        <v>8.3333333333333339E-4</v>
      </c>
      <c r="HP11">
        <v>1.8333333333333334E-4</v>
      </c>
      <c r="HQ11">
        <v>6.666666666666667E-5</v>
      </c>
      <c r="HR11">
        <v>1.1666666666666666E-5</v>
      </c>
      <c r="HS11">
        <v>3.0000000000000001E-6</v>
      </c>
      <c r="HT11">
        <v>3.0000000000000001E-6</v>
      </c>
      <c r="HU11">
        <v>6.6666666666666668E-8</v>
      </c>
      <c r="HV11">
        <v>4.1666666666666663E-8</v>
      </c>
      <c r="HW11">
        <v>0.01</v>
      </c>
      <c r="HX11">
        <v>5.0000000000000001E-4</v>
      </c>
      <c r="HY11">
        <v>1.1E-4</v>
      </c>
      <c r="HZ11">
        <v>4.0000000000000003E-5</v>
      </c>
      <c r="IA11">
        <v>6.999999999999999E-6</v>
      </c>
      <c r="IB11">
        <v>1.8000000000000001E-6</v>
      </c>
      <c r="IC11">
        <v>1.8000000000000001E-6</v>
      </c>
      <c r="ID11">
        <v>4.0000000000000001E-8</v>
      </c>
      <c r="IE11">
        <v>2.4999999999999999E-8</v>
      </c>
      <c r="IF11" s="1">
        <f>Table15678911[[#This Row],[Total_Cost_MUSD]]*1000000*Table15678911[[#This Row],[prob500-failure_rating1]]/500</f>
        <v>1238.5775230000002</v>
      </c>
      <c r="IG11" s="1">
        <f>Table15678911[[#This Row],[Total_Cost_MUSD]]*1000000*Table15678911[[#This Row],[prob500-failure_rating2]]/500</f>
        <v>619.28876150000008</v>
      </c>
      <c r="IH11" s="1">
        <f>Table15678911[[#This Row],[Total_Cost_MUSD]]*1000000*Table15678911[[#This Row],[prob500-failure_rating3]]/500</f>
        <v>136.24352752999999</v>
      </c>
      <c r="II11" s="1">
        <f>Table15678911[[#This Row],[Total_Cost_MUSD]]*1000000*Table15678911[[#This Row],[prob500-failure_rating4]]/500</f>
        <v>49.543100920000008</v>
      </c>
      <c r="IJ11" s="1">
        <f>Table15678911[[#This Row],[Total_Cost_MUSD]]*1000000*Table15678911[[#This Row],[prob500-failure_rating5]]/500</f>
        <v>8.6700426610000001</v>
      </c>
      <c r="IK11" s="1">
        <f>Table15678911[[#This Row],[Total_Cost_MUSD]]*1000000*Table15678911[[#This Row],[prob500-failure_rating6]]/500</f>
        <v>2.2294395414000001</v>
      </c>
      <c r="IL11" s="1">
        <f>Table15678911[[#This Row],[Total_Cost_MUSD]]*1000000*Table15678911[[#This Row],[prob500-failure_rating7]]/500</f>
        <v>2.2294395414000001</v>
      </c>
      <c r="IM11" s="1">
        <f>Table15678911[[#This Row],[Total_Cost_MUSD]]*1000000*Table15678911[[#This Row],[prob500-failure_rating8]]/500</f>
        <v>4.9543100919999992E-2</v>
      </c>
      <c r="IN11" s="1">
        <f>Table15678911[[#This Row],[Total_Cost_MUSD]]*1000000*Table15678911[[#This Row],[prob500-failure_rating9]]/500</f>
        <v>3.0964438074999996E-2</v>
      </c>
      <c r="IO11" s="1">
        <f>Table15678911[[#This Row],[Total_Cost_MUSD]]*1000000*Table15678911[[#This Row],[prob100-failure_rating1]]/100</f>
        <v>6192.8876150000006</v>
      </c>
      <c r="IP11" s="1">
        <f>Table15678911[[#This Row],[Total_Cost_MUSD]]*1000000*Table15678911[[#This Row],[prob100-failure_rating2]]/100</f>
        <v>774.11095187500007</v>
      </c>
      <c r="IQ11" s="1">
        <f>Table15678911[[#This Row],[Total_Cost_MUSD]]*1000000*Table15678911[[#This Row],[prob100-failure_rating3]]/100</f>
        <v>170.30440941249998</v>
      </c>
      <c r="IR11" s="1">
        <f>Table15678911[[#This Row],[Total_Cost_MUSD]]*1000000*Table15678911[[#This Row],[prob100-failure_rating4]]/100</f>
        <v>61.928876150000008</v>
      </c>
      <c r="IS11" s="1">
        <f>Table15678911[[#This Row],[Total_Cost_MUSD]]*1000000*Table15678911[[#This Row],[prob100-failure_rating5]]/100</f>
        <v>10.837553326249999</v>
      </c>
      <c r="IT11" s="1">
        <f>Table15678911[[#This Row],[Total_Cost_MUSD]]*1000000*Table15678911[[#This Row],[prob100-failure_rating6]]/100</f>
        <v>2.78679942675</v>
      </c>
      <c r="IU11" s="1">
        <f>Table15678911[[#This Row],[Total_Cost_MUSD]]*1000000*Table15678911[[#This Row],[prob100-failure_rating7]]/100</f>
        <v>2.78679942675</v>
      </c>
      <c r="IV11" s="1">
        <f>Table15678911[[#This Row],[Total_Cost_MUSD]]*1000000*Table15678911[[#This Row],[prob100-failure_rating8]]/100</f>
        <v>6.1928876149999992E-2</v>
      </c>
      <c r="IW11" s="1">
        <f>Table15678911[[#This Row],[Total_Cost_MUSD]]*1000000*Table15678911[[#This Row],[prob100-failure_rating9]]/100</f>
        <v>3.8705547593749993E-2</v>
      </c>
      <c r="IX11" s="1">
        <f>Table15678911[[#This Row],[Total_Cost_MUSD]]*1000000*Table15678911[[#This Row],[prob50-failure_rating1]]/50</f>
        <v>12385.775230000001</v>
      </c>
      <c r="IY11" s="1">
        <f>Table15678911[[#This Row],[Total_Cost_MUSD]]*1000000*Table15678911[[#This Row],[prob50-failure_rating2]]/50</f>
        <v>1032.1479358333333</v>
      </c>
      <c r="IZ11" s="1">
        <f>Table15678911[[#This Row],[Total_Cost_MUSD]]*1000000*Table15678911[[#This Row],[prob50-failure_rating3]]/50</f>
        <v>227.07254588333333</v>
      </c>
      <c r="JA11" s="1">
        <f>Table15678911[[#This Row],[Total_Cost_MUSD]]*1000000*Table15678911[[#This Row],[prob50-failure_rating4]]/50</f>
        <v>82.571834866666663</v>
      </c>
      <c r="JB11" s="1">
        <f>Table15678911[[#This Row],[Total_Cost_MUSD]]*1000000*Table15678911[[#This Row],[prob50-failure_rating5]]/50</f>
        <v>14.450071101666666</v>
      </c>
      <c r="JC11" s="1">
        <f>Table15678911[[#This Row],[Total_Cost_MUSD]]*1000000*Table15678911[[#This Row],[prob50-failure_rating6]]/50</f>
        <v>3.715732569</v>
      </c>
      <c r="JD11" s="1">
        <f>Table15678911[[#This Row],[Total_Cost_MUSD]]*1000000*Table15678911[[#This Row],[prob50-failure_rating7]]/50</f>
        <v>3.715732569</v>
      </c>
      <c r="JE11" s="1">
        <f>Table15678911[[#This Row],[Total_Cost_MUSD]]*1000000*Table15678911[[#This Row],[prob50-failure_rating8]]/50</f>
        <v>8.257183486666668E-2</v>
      </c>
      <c r="JF11" s="1">
        <f>Table15678911[[#This Row],[Total_Cost_MUSD]]*1000000*Table15678911[[#This Row],[prob50-failure_rating9]]/50</f>
        <v>5.1607396791666663E-2</v>
      </c>
      <c r="JG11" s="1">
        <f>Table15678911[[#This Row],[Total_Cost_MUSD]]*1000000*Table15678911[[#This Row],[prob10-failure_rating1]]/10</f>
        <v>61928.876150000004</v>
      </c>
      <c r="JH11" s="1">
        <f>Table15678911[[#This Row],[Total_Cost_MUSD]]*1000000*Table15678911[[#This Row],[prob10-failure_rating2]]/10</f>
        <v>3096.4438074999998</v>
      </c>
      <c r="JI11" s="1">
        <f>Table15678911[[#This Row],[Total_Cost_MUSD]]*1000000*Table15678911[[#This Row],[prob10-failure_rating3]]/10</f>
        <v>681.21763765000003</v>
      </c>
      <c r="JJ11" s="1">
        <f>Table15678911[[#This Row],[Total_Cost_MUSD]]*1000000*Table15678911[[#This Row],[prob10-failure_rating4]]/10</f>
        <v>247.71550460000003</v>
      </c>
      <c r="JK11" s="1">
        <f>Table15678911[[#This Row],[Total_Cost_MUSD]]*1000000*Table15678911[[#This Row],[prob10-failure_rating5]]/10</f>
        <v>43.350213304999997</v>
      </c>
      <c r="JL11" s="1">
        <f>Table15678911[[#This Row],[Total_Cost_MUSD]]*1000000*Table15678911[[#This Row],[prob10-failure_rating6]]/10</f>
        <v>11.147197707</v>
      </c>
      <c r="JM11" s="1">
        <f>Table15678911[[#This Row],[Total_Cost_MUSD]]*1000000*Table15678911[[#This Row],[prob10-failure_rating7]]/10</f>
        <v>11.147197707</v>
      </c>
      <c r="JN11" s="1">
        <f>Table15678911[[#This Row],[Total_Cost_MUSD]]*1000000*Table15678911[[#This Row],[prob10-failure_rating8]]/10</f>
        <v>0.2477155046</v>
      </c>
      <c r="JO11" s="1">
        <f>Table15678911[[#This Row],[Total_Cost_MUSD]]*1000000*Table15678911[[#This Row],[prob10-failure_rating9]]/10</f>
        <v>0.15482219037499997</v>
      </c>
      <c r="JP11" s="1">
        <f>Table15678911[[#This Row],[FailureCost_Rating1]]</f>
        <v>5521.9914567083333</v>
      </c>
      <c r="JQ11" s="1">
        <f>Table15678911[[#This Row],[FailureCost_Rating2]]</f>
        <v>5521.9914567083333</v>
      </c>
      <c r="JR11" s="1">
        <f>(Table15678911[[#This Row],[failurecost500_rating2]]+Table15678911[[#This Row],[failurecost100_rating2]]+Table15678911[[#This Row],[failurecost50_rating2]]+Table15678911[[#This Row],[failurecost10_rating2]])</f>
        <v>5521.9914567083333</v>
      </c>
      <c r="JS11" s="1">
        <f>(Table15678911[[#This Row],[failurecost500_rating3]]+Table15678911[[#This Row],[failurecost100_rating3]]+Table15678911[[#This Row],[failurecost50_rating3]]+Table15678911[[#This Row],[failurecost10_rating3]])</f>
        <v>1214.8381204758334</v>
      </c>
      <c r="JT11" s="1">
        <f>(Table15678911[[#This Row],[failurecost500_rating4]]+Table15678911[[#This Row],[failurecost100_rating4]]+Table15678911[[#This Row],[failurecost50_rating4]]+Table15678911[[#This Row],[failurecost10_rating4]])</f>
        <v>441.75931653666669</v>
      </c>
      <c r="JU11" s="1">
        <f>(Table15678911[[#This Row],[failurecost500_rating5]]+Table15678911[[#This Row],[failurecost100_rating5]]+Table15678911[[#This Row],[failurecost50_rating5]]+Table15678911[[#This Row],[failurecost10_rating5]])</f>
        <v>77.307880393916662</v>
      </c>
      <c r="JV11" s="1">
        <f>(Table15678911[[#This Row],[failurecost500_rating6]]+Table15678911[[#This Row],[failurecost100_rating6]]+Table15678911[[#This Row],[failurecost50_rating6]]+Table15678911[[#This Row],[failurecost10_rating6]])</f>
        <v>19.879169244149999</v>
      </c>
      <c r="JW11" s="1">
        <f>(Table15678911[[#This Row],[failurecost500_rating7]]+Table15678911[[#This Row],[failurecost100_rating7]]+Table15678911[[#This Row],[failurecost50_rating7]]+Table15678911[[#This Row],[failurecost10_rating7]])</f>
        <v>19.879169244149999</v>
      </c>
      <c r="JX11" s="1">
        <f>(Table15678911[[#This Row],[failurecost500_rating8]]+Table15678911[[#This Row],[failurecost100_rating8]]+Table15678911[[#This Row],[failurecost50_rating8]]+Table15678911[[#This Row],[failurecost10_rating8]])</f>
        <v>0.44175931653666667</v>
      </c>
      <c r="JY11" s="1">
        <f>(Table15678911[[#This Row],[failurecost500_rating9]]+Table15678911[[#This Row],[failurecost100_rating9]]+Table15678911[[#This Row],[failurecost50_rating9]]+Table15678911[[#This Row],[failurecost10_rating9]])</f>
        <v>0.27609957283541664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Table15678911[[#This Row],[Depth10_Soil_vol]]*(9.353+9.027)+(Table15678911[[#This Row],[Depth10_Soil_vol]]/2.5)*20*1.053+(PI()*Table15678911[[#This Row],[Depth10_Scour]])*Table15678911[[#This Row],[DECK_WIDTH_MT_052]]*1.062</f>
        <v>6737.4062355001524</v>
      </c>
      <c r="AR12" s="1">
        <f>Table15678911[[#This Row],[Depth50_Soil_vol]]*(9.353+9.027)+(Table15678911[[#This Row],[Depth50_Soil_vol]]/2.5)*20*1.053+(PI()*Table15678911[[#This Row],[Depth50_Scour]])*Table15678911[[#This Row],[DECK_WIDTH_MT_052]]*1.062</f>
        <v>7415.8873465101096</v>
      </c>
      <c r="AS12" s="1">
        <f>Table15678911[[#This Row],[Depth100_Soil_vol]]*(9.353+9.027)+(Table15678911[[#This Row],[Depth100_Soil_vol]]/2.5)*20*1.053+(PI()*Table15678911[[#This Row],[Depth100_Scour]])*Table15678911[[#This Row],[DECK_WIDTH_MT_052]]*1.062</f>
        <v>7705.9386938101106</v>
      </c>
      <c r="AT12" s="1">
        <f>Table15678911[[#This Row],[Depth500_Soil_vol]]*(9.353+9.027)+(Table15678911[[#This Row],[Depth500_Soil_vol]]/2.5)*20*1.053+(PI()*Table15678911[[#This Row],[Depth500_Scour]])*Table15678911[[#This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12" s="1">
        <v>12.298697430000001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10932.17549333333</v>
      </c>
      <c r="GM12" s="1">
        <f>Sheet4!R42*$GF12*1000000</f>
        <v>6149.348715000001</v>
      </c>
      <c r="GN12" s="1">
        <f>Sheet4!S42*$GF12*1000000</f>
        <v>3935.5831776</v>
      </c>
      <c r="GO12" s="1">
        <f>Sheet4!T42*$GF12*1000000</f>
        <v>2733.0438733333326</v>
      </c>
      <c r="GP12" s="1">
        <f>Sheet4!U42*$GF12*1000000</f>
        <v>2007.9506008163264</v>
      </c>
      <c r="GQ12" s="1">
        <f>Sheet4!V42*$GF12*1000000</f>
        <v>1537.3371787500002</v>
      </c>
      <c r="GR12" s="1">
        <f>Sheet4!W42*$GF12*1000000</f>
        <v>1214.6861659259259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>
        <v>0.01</v>
      </c>
      <c r="HF12">
        <v>1.25E-3</v>
      </c>
      <c r="HG12">
        <v>2.7500000000000002E-4</v>
      </c>
      <c r="HH12">
        <v>1E-4</v>
      </c>
      <c r="HI12">
        <v>1.7499999999999998E-5</v>
      </c>
      <c r="HJ12">
        <v>4.5000000000000001E-6</v>
      </c>
      <c r="HK12">
        <v>4.5000000000000001E-6</v>
      </c>
      <c r="HL12">
        <v>9.9999999999999995E-8</v>
      </c>
      <c r="HM12">
        <v>6.2499999999999997E-8</v>
      </c>
      <c r="HN12">
        <v>0.01</v>
      </c>
      <c r="HO12">
        <v>8.3333333333333339E-4</v>
      </c>
      <c r="HP12">
        <v>1.8333333333333334E-4</v>
      </c>
      <c r="HQ12">
        <v>6.666666666666667E-5</v>
      </c>
      <c r="HR12">
        <v>1.1666666666666666E-5</v>
      </c>
      <c r="HS12">
        <v>3.0000000000000001E-6</v>
      </c>
      <c r="HT12">
        <v>3.0000000000000001E-6</v>
      </c>
      <c r="HU12">
        <v>6.6666666666666668E-8</v>
      </c>
      <c r="HV12">
        <v>4.1666666666666663E-8</v>
      </c>
      <c r="HW12">
        <v>0.01</v>
      </c>
      <c r="HX12">
        <v>5.0000000000000001E-4</v>
      </c>
      <c r="HY12">
        <v>1.1E-4</v>
      </c>
      <c r="HZ12">
        <v>4.0000000000000003E-5</v>
      </c>
      <c r="IA12">
        <v>6.999999999999999E-6</v>
      </c>
      <c r="IB12">
        <v>1.8000000000000001E-6</v>
      </c>
      <c r="IC12">
        <v>1.8000000000000001E-6</v>
      </c>
      <c r="ID12">
        <v>4.0000000000000001E-8</v>
      </c>
      <c r="IE12">
        <v>2.4999999999999999E-8</v>
      </c>
      <c r="IF12" s="1">
        <f>Table15678911[[#This Row],[Total_Cost_MUSD]]*1000000*Table15678911[[#This Row],[prob500-failure_rating1]]/500</f>
        <v>245.97394860000003</v>
      </c>
      <c r="IG12" s="1">
        <f>Table15678911[[#This Row],[Total_Cost_MUSD]]*1000000*Table15678911[[#This Row],[prob500-failure_rating2]]/500</f>
        <v>122.98697430000001</v>
      </c>
      <c r="IH12" s="1">
        <f>Table15678911[[#This Row],[Total_Cost_MUSD]]*1000000*Table15678911[[#This Row],[prob500-failure_rating3]]/500</f>
        <v>27.057134346000005</v>
      </c>
      <c r="II12" s="1">
        <f>Table15678911[[#This Row],[Total_Cost_MUSD]]*1000000*Table15678911[[#This Row],[prob500-failure_rating4]]/500</f>
        <v>9.8389579440000023</v>
      </c>
      <c r="IJ12" s="1">
        <f>Table15678911[[#This Row],[Total_Cost_MUSD]]*1000000*Table15678911[[#This Row],[prob500-failure_rating5]]/500</f>
        <v>1.7218176402000001</v>
      </c>
      <c r="IK12" s="1">
        <f>Table15678911[[#This Row],[Total_Cost_MUSD]]*1000000*Table15678911[[#This Row],[prob500-failure_rating6]]/500</f>
        <v>0.44275310748000002</v>
      </c>
      <c r="IL12" s="1">
        <f>Table15678911[[#This Row],[Total_Cost_MUSD]]*1000000*Table15678911[[#This Row],[prob500-failure_rating7]]/500</f>
        <v>0.44275310748000002</v>
      </c>
      <c r="IM12" s="1">
        <f>Table15678911[[#This Row],[Total_Cost_MUSD]]*1000000*Table15678911[[#This Row],[prob500-failure_rating8]]/500</f>
        <v>9.8389579440000003E-3</v>
      </c>
      <c r="IN12" s="1">
        <f>Table15678911[[#This Row],[Total_Cost_MUSD]]*1000000*Table15678911[[#This Row],[prob500-failure_rating9]]/500</f>
        <v>6.149348715E-3</v>
      </c>
      <c r="IO12" s="1">
        <f>Table15678911[[#This Row],[Total_Cost_MUSD]]*1000000*Table15678911[[#This Row],[prob100-failure_rating1]]/100</f>
        <v>1229.8697430000002</v>
      </c>
      <c r="IP12" s="1">
        <f>Table15678911[[#This Row],[Total_Cost_MUSD]]*1000000*Table15678911[[#This Row],[prob100-failure_rating2]]/100</f>
        <v>153.73371787500002</v>
      </c>
      <c r="IQ12" s="1">
        <f>Table15678911[[#This Row],[Total_Cost_MUSD]]*1000000*Table15678911[[#This Row],[prob100-failure_rating3]]/100</f>
        <v>33.821417932500005</v>
      </c>
      <c r="IR12" s="1">
        <f>Table15678911[[#This Row],[Total_Cost_MUSD]]*1000000*Table15678911[[#This Row],[prob100-failure_rating4]]/100</f>
        <v>12.298697430000002</v>
      </c>
      <c r="IS12" s="1">
        <f>Table15678911[[#This Row],[Total_Cost_MUSD]]*1000000*Table15678911[[#This Row],[prob100-failure_rating5]]/100</f>
        <v>2.1522720502500001</v>
      </c>
      <c r="IT12" s="1">
        <f>Table15678911[[#This Row],[Total_Cost_MUSD]]*1000000*Table15678911[[#This Row],[prob100-failure_rating6]]/100</f>
        <v>0.55344138435000001</v>
      </c>
      <c r="IU12" s="1">
        <f>Table15678911[[#This Row],[Total_Cost_MUSD]]*1000000*Table15678911[[#This Row],[prob100-failure_rating7]]/100</f>
        <v>0.55344138435000001</v>
      </c>
      <c r="IV12" s="1">
        <f>Table15678911[[#This Row],[Total_Cost_MUSD]]*1000000*Table15678911[[#This Row],[prob100-failure_rating8]]/100</f>
        <v>1.229869743E-2</v>
      </c>
      <c r="IW12" s="1">
        <f>Table15678911[[#This Row],[Total_Cost_MUSD]]*1000000*Table15678911[[#This Row],[prob100-failure_rating9]]/100</f>
        <v>7.6866858937500006E-3</v>
      </c>
      <c r="IX12" s="1">
        <f>Table15678911[[#This Row],[Total_Cost_MUSD]]*1000000*Table15678911[[#This Row],[prob50-failure_rating1]]/50</f>
        <v>2459.7394860000004</v>
      </c>
      <c r="IY12" s="1">
        <f>Table15678911[[#This Row],[Total_Cost_MUSD]]*1000000*Table15678911[[#This Row],[prob50-failure_rating2]]/50</f>
        <v>204.97829050000004</v>
      </c>
      <c r="IZ12" s="1">
        <f>Table15678911[[#This Row],[Total_Cost_MUSD]]*1000000*Table15678911[[#This Row],[prob50-failure_rating3]]/50</f>
        <v>45.095223910000001</v>
      </c>
      <c r="JA12" s="1">
        <f>Table15678911[[#This Row],[Total_Cost_MUSD]]*1000000*Table15678911[[#This Row],[prob50-failure_rating4]]/50</f>
        <v>16.398263240000002</v>
      </c>
      <c r="JB12" s="1">
        <f>Table15678911[[#This Row],[Total_Cost_MUSD]]*1000000*Table15678911[[#This Row],[prob50-failure_rating5]]/50</f>
        <v>2.8696960670000005</v>
      </c>
      <c r="JC12" s="1">
        <f>Table15678911[[#This Row],[Total_Cost_MUSD]]*1000000*Table15678911[[#This Row],[prob50-failure_rating6]]/50</f>
        <v>0.73792184580000009</v>
      </c>
      <c r="JD12" s="1">
        <f>Table15678911[[#This Row],[Total_Cost_MUSD]]*1000000*Table15678911[[#This Row],[prob50-failure_rating7]]/50</f>
        <v>0.73792184580000009</v>
      </c>
      <c r="JE12" s="1">
        <f>Table15678911[[#This Row],[Total_Cost_MUSD]]*1000000*Table15678911[[#This Row],[prob50-failure_rating8]]/50</f>
        <v>1.6398263240000002E-2</v>
      </c>
      <c r="JF12" s="1">
        <f>Table15678911[[#This Row],[Total_Cost_MUSD]]*1000000*Table15678911[[#This Row],[prob50-failure_rating9]]/50</f>
        <v>1.0248914525000001E-2</v>
      </c>
      <c r="JG12" s="1">
        <f>Table15678911[[#This Row],[Total_Cost_MUSD]]*1000000*Table15678911[[#This Row],[prob10-failure_rating1]]/10</f>
        <v>12298.697430000002</v>
      </c>
      <c r="JH12" s="1">
        <f>Table15678911[[#This Row],[Total_Cost_MUSD]]*1000000*Table15678911[[#This Row],[prob10-failure_rating2]]/10</f>
        <v>614.9348715000001</v>
      </c>
      <c r="JI12" s="1">
        <f>Table15678911[[#This Row],[Total_Cost_MUSD]]*1000000*Table15678911[[#This Row],[prob10-failure_rating3]]/10</f>
        <v>135.28567173000002</v>
      </c>
      <c r="JJ12" s="1">
        <f>Table15678911[[#This Row],[Total_Cost_MUSD]]*1000000*Table15678911[[#This Row],[prob10-failure_rating4]]/10</f>
        <v>49.19478972000001</v>
      </c>
      <c r="JK12" s="1">
        <f>Table15678911[[#This Row],[Total_Cost_MUSD]]*1000000*Table15678911[[#This Row],[prob10-failure_rating5]]/10</f>
        <v>8.6090882010000005</v>
      </c>
      <c r="JL12" s="1">
        <f>Table15678911[[#This Row],[Total_Cost_MUSD]]*1000000*Table15678911[[#This Row],[prob10-failure_rating6]]/10</f>
        <v>2.2137655374000005</v>
      </c>
      <c r="JM12" s="1">
        <f>Table15678911[[#This Row],[Total_Cost_MUSD]]*1000000*Table15678911[[#This Row],[prob10-failure_rating7]]/10</f>
        <v>2.2137655374000005</v>
      </c>
      <c r="JN12" s="1">
        <f>Table15678911[[#This Row],[Total_Cost_MUSD]]*1000000*Table15678911[[#This Row],[prob10-failure_rating8]]/10</f>
        <v>4.9194789720000007E-2</v>
      </c>
      <c r="JO12" s="1">
        <f>Table15678911[[#This Row],[Total_Cost_MUSD]]*1000000*Table15678911[[#This Row],[prob10-failure_rating9]]/10</f>
        <v>3.0746743575000002E-2</v>
      </c>
      <c r="JP12" s="1">
        <f>Table15678911[[#This Row],[FailureCost_Rating1]]</f>
        <v>1096.6338541750001</v>
      </c>
      <c r="JQ12" s="1">
        <f>Table15678911[[#This Row],[FailureCost_Rating2]]</f>
        <v>1096.6338541750001</v>
      </c>
      <c r="JR12" s="1">
        <f>(Table15678911[[#This Row],[failurecost500_rating2]]+Table15678911[[#This Row],[failurecost100_rating2]]+Table15678911[[#This Row],[failurecost50_rating2]]+Table15678911[[#This Row],[failurecost10_rating2]])</f>
        <v>1096.6338541750001</v>
      </c>
      <c r="JS12" s="1">
        <f>(Table15678911[[#This Row],[failurecost500_rating3]]+Table15678911[[#This Row],[failurecost100_rating3]]+Table15678911[[#This Row],[failurecost50_rating3]]+Table15678911[[#This Row],[failurecost10_rating3]])</f>
        <v>241.25944791850003</v>
      </c>
      <c r="JT12" s="1">
        <f>(Table15678911[[#This Row],[failurecost500_rating4]]+Table15678911[[#This Row],[failurecost100_rating4]]+Table15678911[[#This Row],[failurecost50_rating4]]+Table15678911[[#This Row],[failurecost10_rating4]])</f>
        <v>87.730708334000013</v>
      </c>
      <c r="JU12" s="1">
        <f>(Table15678911[[#This Row],[failurecost500_rating5]]+Table15678911[[#This Row],[failurecost100_rating5]]+Table15678911[[#This Row],[failurecost50_rating5]]+Table15678911[[#This Row],[failurecost10_rating5]])</f>
        <v>15.352873958450001</v>
      </c>
      <c r="JV12" s="1">
        <f>(Table15678911[[#This Row],[failurecost500_rating6]]+Table15678911[[#This Row],[failurecost100_rating6]]+Table15678911[[#This Row],[failurecost50_rating6]]+Table15678911[[#This Row],[failurecost10_rating6]])</f>
        <v>3.9478818750300007</v>
      </c>
      <c r="JW12" s="1">
        <f>(Table15678911[[#This Row],[failurecost500_rating7]]+Table15678911[[#This Row],[failurecost100_rating7]]+Table15678911[[#This Row],[failurecost50_rating7]]+Table15678911[[#This Row],[failurecost10_rating7]])</f>
        <v>3.9478818750300007</v>
      </c>
      <c r="JX12" s="1">
        <f>(Table15678911[[#This Row],[failurecost500_rating8]]+Table15678911[[#This Row],[failurecost100_rating8]]+Table15678911[[#This Row],[failurecost50_rating8]]+Table15678911[[#This Row],[failurecost10_rating8]])</f>
        <v>8.7730708334000013E-2</v>
      </c>
      <c r="JY12" s="1">
        <f>(Table15678911[[#This Row],[failurecost500_rating9]]+Table15678911[[#This Row],[failurecost100_rating9]]+Table15678911[[#This Row],[failurecost50_rating9]]+Table15678911[[#This Row],[failurecost10_rating9]])</f>
        <v>5.4831692708750004E-2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Table15678911[[#This Row],[Depth10_Soil_vol]]*(9.353+9.027)+(Table15678911[[#This Row],[Depth10_Soil_vol]]/2.5)*20*1.053+(PI()*Table15678911[[#This Row],[Depth10_Scour]])*Table15678911[[#This Row],[DECK_WIDTH_MT_052]]*1.062</f>
        <v>6992.666213599131</v>
      </c>
      <c r="AR13" s="1">
        <f>Table15678911[[#This Row],[Depth50_Soil_vol]]*(9.353+9.027)+(Table15678911[[#This Row],[Depth50_Soil_vol]]/2.5)*20*1.053+(PI()*Table15678911[[#This Row],[Depth50_Scour]])*Table15678911[[#This Row],[DECK_WIDTH_MT_052]]*1.062</f>
        <v>8975.9969727162606</v>
      </c>
      <c r="AS13" s="1">
        <f>Table15678911[[#This Row],[Depth100_Soil_vol]]*(9.353+9.027)+(Table15678911[[#This Row],[Depth100_Soil_vol]]/2.5)*20*1.053+(PI()*Table15678911[[#This Row],[Depth100_Scour]])*Table15678911[[#This Row],[DECK_WIDTH_MT_052]]*1.062</f>
        <v>9724.0394899581861</v>
      </c>
      <c r="AT13" s="1">
        <f>Table15678911[[#This Row],[Depth500_Soil_vol]]*(9.353+9.027)+(Table15678911[[#This Row],[Depth500_Soil_vol]]/2.5)*20*1.053+(PI()*Table15678911[[#This Row],[Depth500_Scour]])*Table15678911[[#This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</v>
      </c>
      <c r="GF13" s="1">
        <v>25.743303220000001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22882.936195555554</v>
      </c>
      <c r="GM13" s="1">
        <f>Sheet4!R43*$GF13*1000000</f>
        <v>12871.651610000001</v>
      </c>
      <c r="GN13" s="1">
        <f>Sheet4!S43*$GF13*1000000</f>
        <v>8237.8570304000023</v>
      </c>
      <c r="GO13" s="1">
        <f>Sheet4!T43*$GF13*1000000</f>
        <v>5720.7340488888885</v>
      </c>
      <c r="GP13" s="1">
        <f>Sheet4!U43*$GF13*1000000</f>
        <v>4202.9882808163275</v>
      </c>
      <c r="GQ13" s="1">
        <f>Sheet4!V43*$GF13*1000000</f>
        <v>3217.9129025000002</v>
      </c>
      <c r="GR13" s="1">
        <f>Sheet4!W43*$GF13*1000000</f>
        <v>2542.5484661728392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>
        <v>0.01</v>
      </c>
      <c r="HF13">
        <v>1.25E-3</v>
      </c>
      <c r="HG13">
        <v>2.7500000000000002E-4</v>
      </c>
      <c r="HH13">
        <v>1E-4</v>
      </c>
      <c r="HI13">
        <v>1.7499999999999998E-5</v>
      </c>
      <c r="HJ13">
        <v>4.5000000000000001E-6</v>
      </c>
      <c r="HK13">
        <v>4.5000000000000001E-6</v>
      </c>
      <c r="HL13">
        <v>9.9999999999999995E-8</v>
      </c>
      <c r="HM13">
        <v>6.2499999999999997E-8</v>
      </c>
      <c r="HN13">
        <v>0.01</v>
      </c>
      <c r="HO13">
        <v>8.3333333333333339E-4</v>
      </c>
      <c r="HP13">
        <v>1.8333333333333334E-4</v>
      </c>
      <c r="HQ13">
        <v>6.666666666666667E-5</v>
      </c>
      <c r="HR13">
        <v>1.1666666666666666E-5</v>
      </c>
      <c r="HS13">
        <v>3.0000000000000001E-6</v>
      </c>
      <c r="HT13">
        <v>3.0000000000000001E-6</v>
      </c>
      <c r="HU13">
        <v>6.6666666666666668E-8</v>
      </c>
      <c r="HV13">
        <v>4.1666666666666663E-8</v>
      </c>
      <c r="HW13">
        <v>0.01</v>
      </c>
      <c r="HX13">
        <v>5.0000000000000001E-4</v>
      </c>
      <c r="HY13">
        <v>1.1E-4</v>
      </c>
      <c r="HZ13">
        <v>4.0000000000000003E-5</v>
      </c>
      <c r="IA13">
        <v>6.999999999999999E-6</v>
      </c>
      <c r="IB13">
        <v>1.8000000000000001E-6</v>
      </c>
      <c r="IC13">
        <v>1.8000000000000001E-6</v>
      </c>
      <c r="ID13">
        <v>4.0000000000000001E-8</v>
      </c>
      <c r="IE13">
        <v>2.4999999999999999E-8</v>
      </c>
      <c r="IF13" s="1">
        <f>Table15678911[[#This Row],[Total_Cost_MUSD]]*1000000*Table15678911[[#This Row],[prob500-failure_rating1]]/500</f>
        <v>514.86606440000014</v>
      </c>
      <c r="IG13" s="1">
        <f>Table15678911[[#This Row],[Total_Cost_MUSD]]*1000000*Table15678911[[#This Row],[prob500-failure_rating2]]/500</f>
        <v>257.43303220000007</v>
      </c>
      <c r="IH13" s="1">
        <f>Table15678911[[#This Row],[Total_Cost_MUSD]]*1000000*Table15678911[[#This Row],[prob500-failure_rating3]]/500</f>
        <v>56.635267084000006</v>
      </c>
      <c r="II13" s="1">
        <f>Table15678911[[#This Row],[Total_Cost_MUSD]]*1000000*Table15678911[[#This Row],[prob500-failure_rating4]]/500</f>
        <v>20.594642576000002</v>
      </c>
      <c r="IJ13" s="1">
        <f>Table15678911[[#This Row],[Total_Cost_MUSD]]*1000000*Table15678911[[#This Row],[prob500-failure_rating5]]/500</f>
        <v>3.6040624507999999</v>
      </c>
      <c r="IK13" s="1">
        <f>Table15678911[[#This Row],[Total_Cost_MUSD]]*1000000*Table15678911[[#This Row],[prob500-failure_rating6]]/500</f>
        <v>0.92675891592000015</v>
      </c>
      <c r="IL13" s="1">
        <f>Table15678911[[#This Row],[Total_Cost_MUSD]]*1000000*Table15678911[[#This Row],[prob500-failure_rating7]]/500</f>
        <v>0.92675891592000015</v>
      </c>
      <c r="IM13" s="1">
        <f>Table15678911[[#This Row],[Total_Cost_MUSD]]*1000000*Table15678911[[#This Row],[prob500-failure_rating8]]/500</f>
        <v>2.0594642576000001E-2</v>
      </c>
      <c r="IN13" s="1">
        <f>Table15678911[[#This Row],[Total_Cost_MUSD]]*1000000*Table15678911[[#This Row],[prob500-failure_rating9]]/500</f>
        <v>1.2871651610000001E-2</v>
      </c>
      <c r="IO13" s="1">
        <f>Table15678911[[#This Row],[Total_Cost_MUSD]]*1000000*Table15678911[[#This Row],[prob100-failure_rating1]]/100</f>
        <v>2574.3303220000003</v>
      </c>
      <c r="IP13" s="1">
        <f>Table15678911[[#This Row],[Total_Cost_MUSD]]*1000000*Table15678911[[#This Row],[prob100-failure_rating2]]/100</f>
        <v>321.79129025000003</v>
      </c>
      <c r="IQ13" s="1">
        <f>Table15678911[[#This Row],[Total_Cost_MUSD]]*1000000*Table15678911[[#This Row],[prob100-failure_rating3]]/100</f>
        <v>70.794083855000011</v>
      </c>
      <c r="IR13" s="1">
        <f>Table15678911[[#This Row],[Total_Cost_MUSD]]*1000000*Table15678911[[#This Row],[prob100-failure_rating4]]/100</f>
        <v>25.743303220000001</v>
      </c>
      <c r="IS13" s="1">
        <f>Table15678911[[#This Row],[Total_Cost_MUSD]]*1000000*Table15678911[[#This Row],[prob100-failure_rating5]]/100</f>
        <v>4.5050780635000001</v>
      </c>
      <c r="IT13" s="1">
        <f>Table15678911[[#This Row],[Total_Cost_MUSD]]*1000000*Table15678911[[#This Row],[prob100-failure_rating6]]/100</f>
        <v>1.1584486449000002</v>
      </c>
      <c r="IU13" s="1">
        <f>Table15678911[[#This Row],[Total_Cost_MUSD]]*1000000*Table15678911[[#This Row],[prob100-failure_rating7]]/100</f>
        <v>1.1584486449000002</v>
      </c>
      <c r="IV13" s="1">
        <f>Table15678911[[#This Row],[Total_Cost_MUSD]]*1000000*Table15678911[[#This Row],[prob100-failure_rating8]]/100</f>
        <v>2.5743303220000003E-2</v>
      </c>
      <c r="IW13" s="1">
        <f>Table15678911[[#This Row],[Total_Cost_MUSD]]*1000000*Table15678911[[#This Row],[prob100-failure_rating9]]/100</f>
        <v>1.6089564512500001E-2</v>
      </c>
      <c r="IX13" s="1">
        <f>Table15678911[[#This Row],[Total_Cost_MUSD]]*1000000*Table15678911[[#This Row],[prob50-failure_rating1]]/50</f>
        <v>5148.6606440000005</v>
      </c>
      <c r="IY13" s="1">
        <f>Table15678911[[#This Row],[Total_Cost_MUSD]]*1000000*Table15678911[[#This Row],[prob50-failure_rating2]]/50</f>
        <v>429.05505366666671</v>
      </c>
      <c r="IZ13" s="1">
        <f>Table15678911[[#This Row],[Total_Cost_MUSD]]*1000000*Table15678911[[#This Row],[prob50-failure_rating3]]/50</f>
        <v>94.392111806666676</v>
      </c>
      <c r="JA13" s="1">
        <f>Table15678911[[#This Row],[Total_Cost_MUSD]]*1000000*Table15678911[[#This Row],[prob50-failure_rating4]]/50</f>
        <v>34.324404293333338</v>
      </c>
      <c r="JB13" s="1">
        <f>Table15678911[[#This Row],[Total_Cost_MUSD]]*1000000*Table15678911[[#This Row],[prob50-failure_rating5]]/50</f>
        <v>6.0067707513333337</v>
      </c>
      <c r="JC13" s="1">
        <f>Table15678911[[#This Row],[Total_Cost_MUSD]]*1000000*Table15678911[[#This Row],[prob50-failure_rating6]]/50</f>
        <v>1.5445981932000001</v>
      </c>
      <c r="JD13" s="1">
        <f>Table15678911[[#This Row],[Total_Cost_MUSD]]*1000000*Table15678911[[#This Row],[prob50-failure_rating7]]/50</f>
        <v>1.5445981932000001</v>
      </c>
      <c r="JE13" s="1">
        <f>Table15678911[[#This Row],[Total_Cost_MUSD]]*1000000*Table15678911[[#This Row],[prob50-failure_rating8]]/50</f>
        <v>3.432440429333334E-2</v>
      </c>
      <c r="JF13" s="1">
        <f>Table15678911[[#This Row],[Total_Cost_MUSD]]*1000000*Table15678911[[#This Row],[prob50-failure_rating9]]/50</f>
        <v>2.1452752683333333E-2</v>
      </c>
      <c r="JG13" s="1">
        <f>Table15678911[[#This Row],[Total_Cost_MUSD]]*1000000*Table15678911[[#This Row],[prob10-failure_rating1]]/10</f>
        <v>25743.303220000005</v>
      </c>
      <c r="JH13" s="1">
        <f>Table15678911[[#This Row],[Total_Cost_MUSD]]*1000000*Table15678911[[#This Row],[prob10-failure_rating2]]/10</f>
        <v>1287.1651610000001</v>
      </c>
      <c r="JI13" s="1">
        <f>Table15678911[[#This Row],[Total_Cost_MUSD]]*1000000*Table15678911[[#This Row],[prob10-failure_rating3]]/10</f>
        <v>283.17633542000004</v>
      </c>
      <c r="JJ13" s="1">
        <f>Table15678911[[#This Row],[Total_Cost_MUSD]]*1000000*Table15678911[[#This Row],[prob10-failure_rating4]]/10</f>
        <v>102.97321288000003</v>
      </c>
      <c r="JK13" s="1">
        <f>Table15678911[[#This Row],[Total_Cost_MUSD]]*1000000*Table15678911[[#This Row],[prob10-failure_rating5]]/10</f>
        <v>18.020312253999997</v>
      </c>
      <c r="JL13" s="1">
        <f>Table15678911[[#This Row],[Total_Cost_MUSD]]*1000000*Table15678911[[#This Row],[prob10-failure_rating6]]/10</f>
        <v>4.6337945796000009</v>
      </c>
      <c r="JM13" s="1">
        <f>Table15678911[[#This Row],[Total_Cost_MUSD]]*1000000*Table15678911[[#This Row],[prob10-failure_rating7]]/10</f>
        <v>4.6337945796000009</v>
      </c>
      <c r="JN13" s="1">
        <f>Table15678911[[#This Row],[Total_Cost_MUSD]]*1000000*Table15678911[[#This Row],[prob10-failure_rating8]]/10</f>
        <v>0.10297321288000001</v>
      </c>
      <c r="JO13" s="1">
        <f>Table15678911[[#This Row],[Total_Cost_MUSD]]*1000000*Table15678911[[#This Row],[prob10-failure_rating9]]/10</f>
        <v>6.4358258050000006E-2</v>
      </c>
      <c r="JP13" s="1">
        <f>Table15678911[[#This Row],[FailureCost_Rating1]]</f>
        <v>2295.4445371166667</v>
      </c>
      <c r="JQ13" s="1">
        <f>Table15678911[[#This Row],[FailureCost_Rating2]]</f>
        <v>2295.4445371166667</v>
      </c>
      <c r="JR13" s="1">
        <f>(Table15678911[[#This Row],[failurecost500_rating2]]+Table15678911[[#This Row],[failurecost100_rating2]]+Table15678911[[#This Row],[failurecost50_rating2]]+Table15678911[[#This Row],[failurecost10_rating2]])</f>
        <v>2295.4445371166667</v>
      </c>
      <c r="JS13" s="1">
        <f>(Table15678911[[#This Row],[failurecost500_rating3]]+Table15678911[[#This Row],[failurecost100_rating3]]+Table15678911[[#This Row],[failurecost50_rating3]]+Table15678911[[#This Row],[failurecost10_rating3]])</f>
        <v>504.99779816566672</v>
      </c>
      <c r="JT13" s="1">
        <f>(Table15678911[[#This Row],[failurecost500_rating4]]+Table15678911[[#This Row],[failurecost100_rating4]]+Table15678911[[#This Row],[failurecost50_rating4]]+Table15678911[[#This Row],[failurecost10_rating4]])</f>
        <v>183.63556296933336</v>
      </c>
      <c r="JU13" s="1">
        <f>(Table15678911[[#This Row],[failurecost500_rating5]]+Table15678911[[#This Row],[failurecost100_rating5]]+Table15678911[[#This Row],[failurecost50_rating5]]+Table15678911[[#This Row],[failurecost10_rating5]])</f>
        <v>32.136223519633333</v>
      </c>
      <c r="JV13" s="1">
        <f>(Table15678911[[#This Row],[failurecost500_rating6]]+Table15678911[[#This Row],[failurecost100_rating6]]+Table15678911[[#This Row],[failurecost50_rating6]]+Table15678911[[#This Row],[failurecost10_rating6]])</f>
        <v>8.2636003336200012</v>
      </c>
      <c r="JW13" s="1">
        <f>(Table15678911[[#This Row],[failurecost500_rating7]]+Table15678911[[#This Row],[failurecost100_rating7]]+Table15678911[[#This Row],[failurecost50_rating7]]+Table15678911[[#This Row],[failurecost10_rating7]])</f>
        <v>8.2636003336200012</v>
      </c>
      <c r="JX13" s="1">
        <f>(Table15678911[[#This Row],[failurecost500_rating8]]+Table15678911[[#This Row],[failurecost100_rating8]]+Table15678911[[#This Row],[failurecost50_rating8]]+Table15678911[[#This Row],[failurecost10_rating8]])</f>
        <v>0.18363556296933337</v>
      </c>
      <c r="JY13" s="1">
        <f>(Table15678911[[#This Row],[failurecost500_rating9]]+Table15678911[[#This Row],[failurecost100_rating9]]+Table15678911[[#This Row],[failurecost50_rating9]]+Table15678911[[#This Row],[failurecost10_rating9]])</f>
        <v>0.11477222685583334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Table15678911[[#This Row],[Depth10_Soil_vol]]*(9.353+9.027)+(Table15678911[[#This Row],[Depth10_Soil_vol]]/2.5)*20*1.053+(PI()*Table15678911[[#This Row],[Depth10_Scour]])*Table15678911[[#This Row],[DECK_WIDTH_MT_052]]*1.062</f>
        <v>13653.389769605932</v>
      </c>
      <c r="AR14" s="1">
        <f>Table15678911[[#This Row],[Depth50_Soil_vol]]*(9.353+9.027)+(Table15678911[[#This Row],[Depth50_Soil_vol]]/2.5)*20*1.053+(PI()*Table15678911[[#This Row],[Depth50_Scour]])*Table15678911[[#This Row],[DECK_WIDTH_MT_052]]*1.062</f>
        <v>14501.430182908143</v>
      </c>
      <c r="AS14" s="1">
        <f>Table15678911[[#This Row],[Depth100_Soil_vol]]*(9.353+9.027)+(Table15678911[[#This Row],[Depth100_Soil_vol]]/2.5)*20*1.053+(PI()*Table15678911[[#This Row],[Depth100_Scour]])*Table15678911[[#This Row],[DECK_WIDTH_MT_052]]*1.062</f>
        <v>14880.875971506524</v>
      </c>
      <c r="AT14" s="1">
        <f>Table15678911[[#This Row],[Depth500_Soil_vol]]*(9.353+9.027)+(Table15678911[[#This Row],[Depth500_Soil_vol]]/2.5)*20*1.053+(PI()*Table15678911[[#This Row],[Depth500_Scour]])*Table15678911[[#This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0.52800000000000002</v>
      </c>
      <c r="GF14" s="1">
        <v>83.517219859999997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74237.528764444418</v>
      </c>
      <c r="GM14" s="1">
        <f>Sheet4!R44*$GF14*1000000</f>
        <v>41758.609930000013</v>
      </c>
      <c r="GN14" s="1">
        <f>Sheet4!S44*$GF14*1000000</f>
        <v>26725.510355200004</v>
      </c>
      <c r="GO14" s="1">
        <f>Sheet4!T44*$GF14*1000000</f>
        <v>18559.382191111104</v>
      </c>
      <c r="GP14" s="1">
        <f>Sheet4!U44*$GF14*1000000</f>
        <v>13635.464466938776</v>
      </c>
      <c r="GQ14" s="1">
        <f>Sheet4!V44*$GF14*1000000</f>
        <v>10439.652482500003</v>
      </c>
      <c r="GR14" s="1">
        <f>Sheet4!W44*$GF14*1000000</f>
        <v>8248.6143071604929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>
        <v>0.01</v>
      </c>
      <c r="HF14">
        <v>1.25E-3</v>
      </c>
      <c r="HG14">
        <v>2.7500000000000002E-4</v>
      </c>
      <c r="HH14">
        <v>1E-4</v>
      </c>
      <c r="HI14">
        <v>1.7499999999999998E-5</v>
      </c>
      <c r="HJ14">
        <v>4.5000000000000001E-6</v>
      </c>
      <c r="HK14">
        <v>4.5000000000000001E-6</v>
      </c>
      <c r="HL14">
        <v>9.9999999999999995E-8</v>
      </c>
      <c r="HM14">
        <v>6.2499999999999997E-8</v>
      </c>
      <c r="HN14">
        <v>0.01</v>
      </c>
      <c r="HO14">
        <v>8.3333333333333339E-4</v>
      </c>
      <c r="HP14">
        <v>1.8333333333333334E-4</v>
      </c>
      <c r="HQ14">
        <v>6.666666666666667E-5</v>
      </c>
      <c r="HR14">
        <v>1.1666666666666666E-5</v>
      </c>
      <c r="HS14">
        <v>3.0000000000000001E-6</v>
      </c>
      <c r="HT14">
        <v>3.0000000000000001E-6</v>
      </c>
      <c r="HU14">
        <v>6.6666666666666668E-8</v>
      </c>
      <c r="HV14">
        <v>4.1666666666666663E-8</v>
      </c>
      <c r="HW14">
        <v>0.01</v>
      </c>
      <c r="HX14">
        <v>5.0000000000000001E-4</v>
      </c>
      <c r="HY14">
        <v>1.1E-4</v>
      </c>
      <c r="HZ14">
        <v>4.0000000000000003E-5</v>
      </c>
      <c r="IA14">
        <v>6.999999999999999E-6</v>
      </c>
      <c r="IB14">
        <v>1.8000000000000001E-6</v>
      </c>
      <c r="IC14">
        <v>1.8000000000000001E-6</v>
      </c>
      <c r="ID14">
        <v>4.0000000000000001E-8</v>
      </c>
      <c r="IE14">
        <v>2.4999999999999999E-8</v>
      </c>
      <c r="IF14" s="1">
        <f>Table15678911[[#This Row],[Total_Cost_MUSD]]*1000000*Table15678911[[#This Row],[prob500-failure_rating1]]/500</f>
        <v>1670.3443972</v>
      </c>
      <c r="IG14" s="1">
        <f>Table15678911[[#This Row],[Total_Cost_MUSD]]*1000000*Table15678911[[#This Row],[prob500-failure_rating2]]/500</f>
        <v>835.1721986</v>
      </c>
      <c r="IH14" s="1">
        <f>Table15678911[[#This Row],[Total_Cost_MUSD]]*1000000*Table15678911[[#This Row],[prob500-failure_rating3]]/500</f>
        <v>183.737883692</v>
      </c>
      <c r="II14" s="1">
        <f>Table15678911[[#This Row],[Total_Cost_MUSD]]*1000000*Table15678911[[#This Row],[prob500-failure_rating4]]/500</f>
        <v>66.813775888000009</v>
      </c>
      <c r="IJ14" s="1">
        <f>Table15678911[[#This Row],[Total_Cost_MUSD]]*1000000*Table15678911[[#This Row],[prob500-failure_rating5]]/500</f>
        <v>11.692410780399999</v>
      </c>
      <c r="IK14" s="1">
        <f>Table15678911[[#This Row],[Total_Cost_MUSD]]*1000000*Table15678911[[#This Row],[prob500-failure_rating6]]/500</f>
        <v>3.0066199149600004</v>
      </c>
      <c r="IL14" s="1">
        <f>Table15678911[[#This Row],[Total_Cost_MUSD]]*1000000*Table15678911[[#This Row],[prob500-failure_rating7]]/500</f>
        <v>3.0066199149600004</v>
      </c>
      <c r="IM14" s="1">
        <f>Table15678911[[#This Row],[Total_Cost_MUSD]]*1000000*Table15678911[[#This Row],[prob500-failure_rating8]]/500</f>
        <v>6.6813775887999999E-2</v>
      </c>
      <c r="IN14" s="1">
        <f>Table15678911[[#This Row],[Total_Cost_MUSD]]*1000000*Table15678911[[#This Row],[prob500-failure_rating9]]/500</f>
        <v>4.1758609929999996E-2</v>
      </c>
      <c r="IO14" s="1">
        <f>Table15678911[[#This Row],[Total_Cost_MUSD]]*1000000*Table15678911[[#This Row],[prob100-failure_rating1]]/100</f>
        <v>8351.7219860000005</v>
      </c>
      <c r="IP14" s="1">
        <f>Table15678911[[#This Row],[Total_Cost_MUSD]]*1000000*Table15678911[[#This Row],[prob100-failure_rating2]]/100</f>
        <v>1043.9652482500001</v>
      </c>
      <c r="IQ14" s="1">
        <f>Table15678911[[#This Row],[Total_Cost_MUSD]]*1000000*Table15678911[[#This Row],[prob100-failure_rating3]]/100</f>
        <v>229.67235461500002</v>
      </c>
      <c r="IR14" s="1">
        <f>Table15678911[[#This Row],[Total_Cost_MUSD]]*1000000*Table15678911[[#This Row],[prob100-failure_rating4]]/100</f>
        <v>83.517219860000012</v>
      </c>
      <c r="IS14" s="1">
        <f>Table15678911[[#This Row],[Total_Cost_MUSD]]*1000000*Table15678911[[#This Row],[prob100-failure_rating5]]/100</f>
        <v>14.6155134755</v>
      </c>
      <c r="IT14" s="1">
        <f>Table15678911[[#This Row],[Total_Cost_MUSD]]*1000000*Table15678911[[#This Row],[prob100-failure_rating6]]/100</f>
        <v>3.7582748937000003</v>
      </c>
      <c r="IU14" s="1">
        <f>Table15678911[[#This Row],[Total_Cost_MUSD]]*1000000*Table15678911[[#This Row],[prob100-failure_rating7]]/100</f>
        <v>3.7582748937000003</v>
      </c>
      <c r="IV14" s="1">
        <f>Table15678911[[#This Row],[Total_Cost_MUSD]]*1000000*Table15678911[[#This Row],[prob100-failure_rating8]]/100</f>
        <v>8.3517219859999992E-2</v>
      </c>
      <c r="IW14" s="1">
        <f>Table15678911[[#This Row],[Total_Cost_MUSD]]*1000000*Table15678911[[#This Row],[prob100-failure_rating9]]/100</f>
        <v>5.2198262412500002E-2</v>
      </c>
      <c r="IX14" s="1">
        <f>Table15678911[[#This Row],[Total_Cost_MUSD]]*1000000*Table15678911[[#This Row],[prob50-failure_rating1]]/50</f>
        <v>16703.443972000001</v>
      </c>
      <c r="IY14" s="1">
        <f>Table15678911[[#This Row],[Total_Cost_MUSD]]*1000000*Table15678911[[#This Row],[prob50-failure_rating2]]/50</f>
        <v>1391.9536643333333</v>
      </c>
      <c r="IZ14" s="1">
        <f>Table15678911[[#This Row],[Total_Cost_MUSD]]*1000000*Table15678911[[#This Row],[prob50-failure_rating3]]/50</f>
        <v>306.22980615333336</v>
      </c>
      <c r="JA14" s="1">
        <f>Table15678911[[#This Row],[Total_Cost_MUSD]]*1000000*Table15678911[[#This Row],[prob50-failure_rating4]]/50</f>
        <v>111.35629314666667</v>
      </c>
      <c r="JB14" s="1">
        <f>Table15678911[[#This Row],[Total_Cost_MUSD]]*1000000*Table15678911[[#This Row],[prob50-failure_rating5]]/50</f>
        <v>19.487351300666667</v>
      </c>
      <c r="JC14" s="1">
        <f>Table15678911[[#This Row],[Total_Cost_MUSD]]*1000000*Table15678911[[#This Row],[prob50-failure_rating6]]/50</f>
        <v>5.0110331916000002</v>
      </c>
      <c r="JD14" s="1">
        <f>Table15678911[[#This Row],[Total_Cost_MUSD]]*1000000*Table15678911[[#This Row],[prob50-failure_rating7]]/50</f>
        <v>5.0110331916000002</v>
      </c>
      <c r="JE14" s="1">
        <f>Table15678911[[#This Row],[Total_Cost_MUSD]]*1000000*Table15678911[[#This Row],[prob50-failure_rating8]]/50</f>
        <v>0.11135629314666667</v>
      </c>
      <c r="JF14" s="1">
        <f>Table15678911[[#This Row],[Total_Cost_MUSD]]*1000000*Table15678911[[#This Row],[prob50-failure_rating9]]/50</f>
        <v>6.9597683216666664E-2</v>
      </c>
      <c r="JG14" s="1">
        <f>Table15678911[[#This Row],[Total_Cost_MUSD]]*1000000*Table15678911[[#This Row],[prob10-failure_rating1]]/10</f>
        <v>83517.219859999997</v>
      </c>
      <c r="JH14" s="1">
        <f>Table15678911[[#This Row],[Total_Cost_MUSD]]*1000000*Table15678911[[#This Row],[prob10-failure_rating2]]/10</f>
        <v>4175.8609930000002</v>
      </c>
      <c r="JI14" s="1">
        <f>Table15678911[[#This Row],[Total_Cost_MUSD]]*1000000*Table15678911[[#This Row],[prob10-failure_rating3]]/10</f>
        <v>918.68941845999996</v>
      </c>
      <c r="JJ14" s="1">
        <f>Table15678911[[#This Row],[Total_Cost_MUSD]]*1000000*Table15678911[[#This Row],[prob10-failure_rating4]]/10</f>
        <v>334.06887944000005</v>
      </c>
      <c r="JK14" s="1">
        <f>Table15678911[[#This Row],[Total_Cost_MUSD]]*1000000*Table15678911[[#This Row],[prob10-failure_rating5]]/10</f>
        <v>58.462053901999994</v>
      </c>
      <c r="JL14" s="1">
        <f>Table15678911[[#This Row],[Total_Cost_MUSD]]*1000000*Table15678911[[#This Row],[prob10-failure_rating6]]/10</f>
        <v>15.033099574800001</v>
      </c>
      <c r="JM14" s="1">
        <f>Table15678911[[#This Row],[Total_Cost_MUSD]]*1000000*Table15678911[[#This Row],[prob10-failure_rating7]]/10</f>
        <v>15.033099574800001</v>
      </c>
      <c r="JN14" s="1">
        <f>Table15678911[[#This Row],[Total_Cost_MUSD]]*1000000*Table15678911[[#This Row],[prob10-failure_rating8]]/10</f>
        <v>0.33406887944000002</v>
      </c>
      <c r="JO14" s="1">
        <f>Table15678911[[#This Row],[Total_Cost_MUSD]]*1000000*Table15678911[[#This Row],[prob10-failure_rating9]]/10</f>
        <v>0.20879304964999998</v>
      </c>
      <c r="JP14" s="1">
        <f>Table15678911[[#This Row],[FailureCost_Rating1]]</f>
        <v>7446.9521041833341</v>
      </c>
      <c r="JQ14" s="1">
        <f>Table15678911[[#This Row],[FailureCost_Rating2]]</f>
        <v>7446.9521041833341</v>
      </c>
      <c r="JR14" s="1">
        <f>(Table15678911[[#This Row],[failurecost500_rating2]]+Table15678911[[#This Row],[failurecost100_rating2]]+Table15678911[[#This Row],[failurecost50_rating2]]+Table15678911[[#This Row],[failurecost10_rating2]])</f>
        <v>7446.9521041833341</v>
      </c>
      <c r="JS14" s="1">
        <f>(Table15678911[[#This Row],[failurecost500_rating3]]+Table15678911[[#This Row],[failurecost100_rating3]]+Table15678911[[#This Row],[failurecost50_rating3]]+Table15678911[[#This Row],[failurecost10_rating3]])</f>
        <v>1638.3294629203333</v>
      </c>
      <c r="JT14" s="1">
        <f>(Table15678911[[#This Row],[failurecost500_rating4]]+Table15678911[[#This Row],[failurecost100_rating4]]+Table15678911[[#This Row],[failurecost50_rating4]]+Table15678911[[#This Row],[failurecost10_rating4]])</f>
        <v>595.75616833466677</v>
      </c>
      <c r="JU14" s="1">
        <f>(Table15678911[[#This Row],[failurecost500_rating5]]+Table15678911[[#This Row],[failurecost100_rating5]]+Table15678911[[#This Row],[failurecost50_rating5]]+Table15678911[[#This Row],[failurecost10_rating5]])</f>
        <v>104.25732945856666</v>
      </c>
      <c r="JV14" s="1">
        <f>(Table15678911[[#This Row],[failurecost500_rating6]]+Table15678911[[#This Row],[failurecost100_rating6]]+Table15678911[[#This Row],[failurecost50_rating6]]+Table15678911[[#This Row],[failurecost10_rating6]])</f>
        <v>26.809027575060004</v>
      </c>
      <c r="JW14" s="1">
        <f>(Table15678911[[#This Row],[failurecost500_rating7]]+Table15678911[[#This Row],[failurecost100_rating7]]+Table15678911[[#This Row],[failurecost50_rating7]]+Table15678911[[#This Row],[failurecost10_rating7]])</f>
        <v>26.809027575060004</v>
      </c>
      <c r="JX14" s="1">
        <f>(Table15678911[[#This Row],[failurecost500_rating8]]+Table15678911[[#This Row],[failurecost100_rating8]]+Table15678911[[#This Row],[failurecost50_rating8]]+Table15678911[[#This Row],[failurecost10_rating8]])</f>
        <v>0.5957561683346666</v>
      </c>
      <c r="JY14" s="1">
        <f>(Table15678911[[#This Row],[failurecost500_rating9]]+Table15678911[[#This Row],[failurecost100_rating9]]+Table15678911[[#This Row],[failurecost50_rating9]]+Table15678911[[#This Row],[failurecost10_rating9]])</f>
        <v>0.37234760520916665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Table15678911[[#This Row],[Depth10_Soil_vol]]*(9.353+9.027)+(Table15678911[[#This Row],[Depth10_Soil_vol]]/2.5)*20*1.053+(PI()*Table15678911[[#This Row],[Depth10_Scour]])*Table15678911[[#This Row],[DECK_WIDTH_MT_052]]*1.062</f>
        <v>9589.4503766877388</v>
      </c>
      <c r="AR15" s="1">
        <f>Table15678911[[#This Row],[Depth50_Soil_vol]]*(9.353+9.027)+(Table15678911[[#This Row],[Depth50_Soil_vol]]/2.5)*20*1.053+(PI()*Table15678911[[#This Row],[Depth50_Scour]])*Table15678911[[#This Row],[DECK_WIDTH_MT_052]]*1.062</f>
        <v>10089.839206196759</v>
      </c>
      <c r="AS15" s="1">
        <f>Table15678911[[#This Row],[Depth100_Soil_vol]]*(9.353+9.027)+(Table15678911[[#This Row],[Depth100_Soil_vol]]/2.5)*20*1.053+(PI()*Table15678911[[#This Row],[Depth100_Scour]])*Table15678911[[#This Row],[DECK_WIDTH_MT_052]]*1.062</f>
        <v>10312.30726316059</v>
      </c>
      <c r="AT15" s="1">
        <f>Table15678911[[#This Row],[Depth500_Soil_vol]]*(9.353+9.027)+(Table15678911[[#This Row],[Depth500_Soil_vol]]/2.5)*20*1.053+(PI()*Table15678911[[#This Row],[Depth500_Scour]])*Table15678911[[#This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0.66</v>
      </c>
      <c r="GF15" s="1">
        <v>51.219814960000001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45528.724408888891</v>
      </c>
      <c r="GM15" s="1">
        <f>Sheet4!R45*$GF15*1000000</f>
        <v>25609.907479999994</v>
      </c>
      <c r="GN15" s="1">
        <f>Sheet4!S45*$GF15*1000000</f>
        <v>16390.340787200003</v>
      </c>
      <c r="GO15" s="1">
        <f>Sheet4!T45*$GF15*1000000</f>
        <v>11382.181102222223</v>
      </c>
      <c r="GP15" s="1">
        <f>Sheet4!U45*$GF15*1000000</f>
        <v>8362.4187689795926</v>
      </c>
      <c r="GQ15" s="1">
        <f>Sheet4!V45*$GF15*1000000</f>
        <v>6402.4768699999986</v>
      </c>
      <c r="GR15" s="1">
        <f>Sheet4!W45*$GF15*1000000</f>
        <v>5058.7471565432097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>
        <v>0.01</v>
      </c>
      <c r="HF15">
        <v>1.25E-3</v>
      </c>
      <c r="HG15">
        <v>2.7500000000000002E-4</v>
      </c>
      <c r="HH15">
        <v>1E-4</v>
      </c>
      <c r="HI15">
        <v>1.7499999999999998E-5</v>
      </c>
      <c r="HJ15">
        <v>4.5000000000000001E-6</v>
      </c>
      <c r="HK15">
        <v>4.5000000000000001E-6</v>
      </c>
      <c r="HL15">
        <v>9.9999999999999995E-8</v>
      </c>
      <c r="HM15">
        <v>6.2499999999999997E-8</v>
      </c>
      <c r="HN15">
        <v>0.01</v>
      </c>
      <c r="HO15">
        <v>8.3333333333333339E-4</v>
      </c>
      <c r="HP15">
        <v>1.8333333333333334E-4</v>
      </c>
      <c r="HQ15">
        <v>6.666666666666667E-5</v>
      </c>
      <c r="HR15">
        <v>1.1666666666666666E-5</v>
      </c>
      <c r="HS15">
        <v>3.0000000000000001E-6</v>
      </c>
      <c r="HT15">
        <v>3.0000000000000001E-6</v>
      </c>
      <c r="HU15">
        <v>6.6666666666666668E-8</v>
      </c>
      <c r="HV15">
        <v>4.1666666666666663E-8</v>
      </c>
      <c r="HW15">
        <v>0.01</v>
      </c>
      <c r="HX15">
        <v>5.0000000000000001E-4</v>
      </c>
      <c r="HY15">
        <v>1.1E-4</v>
      </c>
      <c r="HZ15">
        <v>4.0000000000000003E-5</v>
      </c>
      <c r="IA15">
        <v>6.999999999999999E-6</v>
      </c>
      <c r="IB15">
        <v>1.8000000000000001E-6</v>
      </c>
      <c r="IC15">
        <v>1.8000000000000001E-6</v>
      </c>
      <c r="ID15">
        <v>4.0000000000000001E-8</v>
      </c>
      <c r="IE15">
        <v>2.4999999999999999E-8</v>
      </c>
      <c r="IF15" s="1">
        <f>Table15678911[[#This Row],[Total_Cost_MUSD]]*1000000*Table15678911[[#This Row],[prob500-failure_rating1]]/500</f>
        <v>1024.3962991999999</v>
      </c>
      <c r="IG15" s="1">
        <f>Table15678911[[#This Row],[Total_Cost_MUSD]]*1000000*Table15678911[[#This Row],[prob500-failure_rating2]]/500</f>
        <v>512.19814959999997</v>
      </c>
      <c r="IH15" s="1">
        <f>Table15678911[[#This Row],[Total_Cost_MUSD]]*1000000*Table15678911[[#This Row],[prob500-failure_rating3]]/500</f>
        <v>112.68359291200001</v>
      </c>
      <c r="II15" s="1">
        <f>Table15678911[[#This Row],[Total_Cost_MUSD]]*1000000*Table15678911[[#This Row],[prob500-failure_rating4]]/500</f>
        <v>40.975851968000001</v>
      </c>
      <c r="IJ15" s="1">
        <f>Table15678911[[#This Row],[Total_Cost_MUSD]]*1000000*Table15678911[[#This Row],[prob500-failure_rating5]]/500</f>
        <v>7.1707740943999996</v>
      </c>
      <c r="IK15" s="1">
        <f>Table15678911[[#This Row],[Total_Cost_MUSD]]*1000000*Table15678911[[#This Row],[prob500-failure_rating6]]/500</f>
        <v>1.8439133385599999</v>
      </c>
      <c r="IL15" s="1">
        <f>Table15678911[[#This Row],[Total_Cost_MUSD]]*1000000*Table15678911[[#This Row],[prob500-failure_rating7]]/500</f>
        <v>1.8439133385599999</v>
      </c>
      <c r="IM15" s="1">
        <f>Table15678911[[#This Row],[Total_Cost_MUSD]]*1000000*Table15678911[[#This Row],[prob500-failure_rating8]]/500</f>
        <v>4.0975851968E-2</v>
      </c>
      <c r="IN15" s="1">
        <f>Table15678911[[#This Row],[Total_Cost_MUSD]]*1000000*Table15678911[[#This Row],[prob500-failure_rating9]]/500</f>
        <v>2.5609907479999999E-2</v>
      </c>
      <c r="IO15" s="1">
        <f>Table15678911[[#This Row],[Total_Cost_MUSD]]*1000000*Table15678911[[#This Row],[prob100-failure_rating1]]/100</f>
        <v>5121.9814960000003</v>
      </c>
      <c r="IP15" s="1">
        <f>Table15678911[[#This Row],[Total_Cost_MUSD]]*1000000*Table15678911[[#This Row],[prob100-failure_rating2]]/100</f>
        <v>640.24768700000004</v>
      </c>
      <c r="IQ15" s="1">
        <f>Table15678911[[#This Row],[Total_Cost_MUSD]]*1000000*Table15678911[[#This Row],[prob100-failure_rating3]]/100</f>
        <v>140.85449114000002</v>
      </c>
      <c r="IR15" s="1">
        <f>Table15678911[[#This Row],[Total_Cost_MUSD]]*1000000*Table15678911[[#This Row],[prob100-failure_rating4]]/100</f>
        <v>51.219814960000001</v>
      </c>
      <c r="IS15" s="1">
        <f>Table15678911[[#This Row],[Total_Cost_MUSD]]*1000000*Table15678911[[#This Row],[prob100-failure_rating5]]/100</f>
        <v>8.9634676179999992</v>
      </c>
      <c r="IT15" s="1">
        <f>Table15678911[[#This Row],[Total_Cost_MUSD]]*1000000*Table15678911[[#This Row],[prob100-failure_rating6]]/100</f>
        <v>2.3048916732000002</v>
      </c>
      <c r="IU15" s="1">
        <f>Table15678911[[#This Row],[Total_Cost_MUSD]]*1000000*Table15678911[[#This Row],[prob100-failure_rating7]]/100</f>
        <v>2.3048916732000002</v>
      </c>
      <c r="IV15" s="1">
        <f>Table15678911[[#This Row],[Total_Cost_MUSD]]*1000000*Table15678911[[#This Row],[prob100-failure_rating8]]/100</f>
        <v>5.1219814959999999E-2</v>
      </c>
      <c r="IW15" s="1">
        <f>Table15678911[[#This Row],[Total_Cost_MUSD]]*1000000*Table15678911[[#This Row],[prob100-failure_rating9]]/100</f>
        <v>3.2012384349999999E-2</v>
      </c>
      <c r="IX15" s="1">
        <f>Table15678911[[#This Row],[Total_Cost_MUSD]]*1000000*Table15678911[[#This Row],[prob50-failure_rating1]]/50</f>
        <v>10243.962992000001</v>
      </c>
      <c r="IY15" s="1">
        <f>Table15678911[[#This Row],[Total_Cost_MUSD]]*1000000*Table15678911[[#This Row],[prob50-failure_rating2]]/50</f>
        <v>853.6635826666668</v>
      </c>
      <c r="IZ15" s="1">
        <f>Table15678911[[#This Row],[Total_Cost_MUSD]]*1000000*Table15678911[[#This Row],[prob50-failure_rating3]]/50</f>
        <v>187.80598818666667</v>
      </c>
      <c r="JA15" s="1">
        <f>Table15678911[[#This Row],[Total_Cost_MUSD]]*1000000*Table15678911[[#This Row],[prob50-failure_rating4]]/50</f>
        <v>68.29308661333333</v>
      </c>
      <c r="JB15" s="1">
        <f>Table15678911[[#This Row],[Total_Cost_MUSD]]*1000000*Table15678911[[#This Row],[prob50-failure_rating5]]/50</f>
        <v>11.951290157333332</v>
      </c>
      <c r="JC15" s="1">
        <f>Table15678911[[#This Row],[Total_Cost_MUSD]]*1000000*Table15678911[[#This Row],[prob50-failure_rating6]]/50</f>
        <v>3.0731888975999997</v>
      </c>
      <c r="JD15" s="1">
        <f>Table15678911[[#This Row],[Total_Cost_MUSD]]*1000000*Table15678911[[#This Row],[prob50-failure_rating7]]/50</f>
        <v>3.0731888975999997</v>
      </c>
      <c r="JE15" s="1">
        <f>Table15678911[[#This Row],[Total_Cost_MUSD]]*1000000*Table15678911[[#This Row],[prob50-failure_rating8]]/50</f>
        <v>6.8293086613333345E-2</v>
      </c>
      <c r="JF15" s="1">
        <f>Table15678911[[#This Row],[Total_Cost_MUSD]]*1000000*Table15678911[[#This Row],[prob50-failure_rating9]]/50</f>
        <v>4.2683179133333332E-2</v>
      </c>
      <c r="JG15" s="1">
        <f>Table15678911[[#This Row],[Total_Cost_MUSD]]*1000000*Table15678911[[#This Row],[prob10-failure_rating1]]/10</f>
        <v>51219.814960000003</v>
      </c>
      <c r="JH15" s="1">
        <f>Table15678911[[#This Row],[Total_Cost_MUSD]]*1000000*Table15678911[[#This Row],[prob10-failure_rating2]]/10</f>
        <v>2560.9907480000002</v>
      </c>
      <c r="JI15" s="1">
        <f>Table15678911[[#This Row],[Total_Cost_MUSD]]*1000000*Table15678911[[#This Row],[prob10-failure_rating3]]/10</f>
        <v>563.41796455999997</v>
      </c>
      <c r="JJ15" s="1">
        <f>Table15678911[[#This Row],[Total_Cost_MUSD]]*1000000*Table15678911[[#This Row],[prob10-failure_rating4]]/10</f>
        <v>204.87925984000003</v>
      </c>
      <c r="JK15" s="1">
        <f>Table15678911[[#This Row],[Total_Cost_MUSD]]*1000000*Table15678911[[#This Row],[prob10-failure_rating5]]/10</f>
        <v>35.853870471999997</v>
      </c>
      <c r="JL15" s="1">
        <f>Table15678911[[#This Row],[Total_Cost_MUSD]]*1000000*Table15678911[[#This Row],[prob10-failure_rating6]]/10</f>
        <v>9.2195666928000009</v>
      </c>
      <c r="JM15" s="1">
        <f>Table15678911[[#This Row],[Total_Cost_MUSD]]*1000000*Table15678911[[#This Row],[prob10-failure_rating7]]/10</f>
        <v>9.2195666928000009</v>
      </c>
      <c r="JN15" s="1">
        <f>Table15678911[[#This Row],[Total_Cost_MUSD]]*1000000*Table15678911[[#This Row],[prob10-failure_rating8]]/10</f>
        <v>0.20487925983999999</v>
      </c>
      <c r="JO15" s="1">
        <f>Table15678911[[#This Row],[Total_Cost_MUSD]]*1000000*Table15678911[[#This Row],[prob10-failure_rating9]]/10</f>
        <v>0.1280495374</v>
      </c>
      <c r="JP15" s="1">
        <f>Table15678911[[#This Row],[FailureCost_Rating1]]</f>
        <v>4567.1001672666671</v>
      </c>
      <c r="JQ15" s="1">
        <f>Table15678911[[#This Row],[FailureCost_Rating2]]</f>
        <v>4567.1001672666671</v>
      </c>
      <c r="JR15" s="1">
        <f>(Table15678911[[#This Row],[failurecost500_rating2]]+Table15678911[[#This Row],[failurecost100_rating2]]+Table15678911[[#This Row],[failurecost50_rating2]]+Table15678911[[#This Row],[failurecost10_rating2]])</f>
        <v>4567.1001672666671</v>
      </c>
      <c r="JS15" s="1">
        <f>(Table15678911[[#This Row],[failurecost500_rating3]]+Table15678911[[#This Row],[failurecost100_rating3]]+Table15678911[[#This Row],[failurecost50_rating3]]+Table15678911[[#This Row],[failurecost10_rating3]])</f>
        <v>1004.7620367986667</v>
      </c>
      <c r="JT15" s="1">
        <f>(Table15678911[[#This Row],[failurecost500_rating4]]+Table15678911[[#This Row],[failurecost100_rating4]]+Table15678911[[#This Row],[failurecost50_rating4]]+Table15678911[[#This Row],[failurecost10_rating4]])</f>
        <v>365.36801338133336</v>
      </c>
      <c r="JU15" s="1">
        <f>(Table15678911[[#This Row],[failurecost500_rating5]]+Table15678911[[#This Row],[failurecost100_rating5]]+Table15678911[[#This Row],[failurecost50_rating5]]+Table15678911[[#This Row],[failurecost10_rating5]])</f>
        <v>63.939402341733327</v>
      </c>
      <c r="JV15" s="1">
        <f>(Table15678911[[#This Row],[failurecost500_rating6]]+Table15678911[[#This Row],[failurecost100_rating6]]+Table15678911[[#This Row],[failurecost50_rating6]]+Table15678911[[#This Row],[failurecost10_rating6]])</f>
        <v>16.441560602160003</v>
      </c>
      <c r="JW15" s="1">
        <f>(Table15678911[[#This Row],[failurecost500_rating7]]+Table15678911[[#This Row],[failurecost100_rating7]]+Table15678911[[#This Row],[failurecost50_rating7]]+Table15678911[[#This Row],[failurecost10_rating7]])</f>
        <v>16.441560602160003</v>
      </c>
      <c r="JX15" s="1">
        <f>(Table15678911[[#This Row],[failurecost500_rating8]]+Table15678911[[#This Row],[failurecost100_rating8]]+Table15678911[[#This Row],[failurecost50_rating8]]+Table15678911[[#This Row],[failurecost10_rating8]])</f>
        <v>0.36536801338133335</v>
      </c>
      <c r="JY15" s="1">
        <f>(Table15678911[[#This Row],[failurecost500_rating9]]+Table15678911[[#This Row],[failurecost100_rating9]]+Table15678911[[#This Row],[failurecost50_rating9]]+Table15678911[[#This Row],[failurecost10_rating9]])</f>
        <v>0.22835500836333333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Table15678911[[#This Row],[Depth10_Soil_vol]]*(9.353+9.027)+(Table15678911[[#This Row],[Depth10_Soil_vol]]/2.5)*20*1.053+(PI()*Table15678911[[#This Row],[Depth10_Scour]])*Table15678911[[#This Row],[DECK_WIDTH_MT_052]]*1.062</f>
        <v>6758.7093437956364</v>
      </c>
      <c r="AR16" s="1">
        <f>Table15678911[[#This Row],[Depth50_Soil_vol]]*(9.353+9.027)+(Table15678911[[#This Row],[Depth50_Soil_vol]]/2.5)*20*1.053+(PI()*Table15678911[[#This Row],[Depth50_Scour]])*Table15678911[[#This Row],[DECK_WIDTH_MT_052]]*1.062</f>
        <v>7157.860599196707</v>
      </c>
      <c r="AS16" s="1">
        <f>Table15678911[[#This Row],[Depth100_Soil_vol]]*(9.353+9.027)+(Table15678911[[#This Row],[Depth100_Soil_vol]]/2.5)*20*1.053+(PI()*Table15678911[[#This Row],[Depth100_Scour]])*Table15678911[[#This Row],[DECK_WIDTH_MT_052]]*1.062</f>
        <v>7335.7235370312192</v>
      </c>
      <c r="AT16" s="1">
        <f>Table15678911[[#This Row],[Depth500_Soil_vol]]*(9.353+9.027)+(Table15678911[[#This Row],[Depth500_Soil_vol]]/2.5)*20*1.053+(PI()*Table15678911[[#This Row],[Depth500_Scour]])*Table15678911[[#This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0.66</v>
      </c>
      <c r="GF16" s="1">
        <v>73.969602710000004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65750.757964444449</v>
      </c>
      <c r="GM16" s="1">
        <f>Sheet4!R46*$GF16*1000000</f>
        <v>36984.801354999996</v>
      </c>
      <c r="GN16" s="1">
        <f>Sheet4!S46*$GF16*1000000</f>
        <v>23670.272867199998</v>
      </c>
      <c r="GO16" s="1">
        <f>Sheet4!T46*$GF16*1000000</f>
        <v>16437.689491111112</v>
      </c>
      <c r="GP16" s="1">
        <f>Sheet4!U46*$GF16*1000000</f>
        <v>12076.669830204082</v>
      </c>
      <c r="GQ16" s="1">
        <f>Sheet4!V46*$GF16*1000000</f>
        <v>9246.200338749999</v>
      </c>
      <c r="GR16" s="1">
        <f>Sheet4!W46*$GF16*1000000</f>
        <v>7305.6397738271608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>
        <v>0.01</v>
      </c>
      <c r="HF16">
        <v>1.25E-3</v>
      </c>
      <c r="HG16">
        <v>2.7500000000000002E-4</v>
      </c>
      <c r="HH16">
        <v>1E-4</v>
      </c>
      <c r="HI16">
        <v>1.7499999999999998E-5</v>
      </c>
      <c r="HJ16">
        <v>4.5000000000000001E-6</v>
      </c>
      <c r="HK16">
        <v>4.5000000000000001E-6</v>
      </c>
      <c r="HL16">
        <v>9.9999999999999995E-8</v>
      </c>
      <c r="HM16">
        <v>6.2499999999999997E-8</v>
      </c>
      <c r="HN16">
        <v>0.01</v>
      </c>
      <c r="HO16">
        <v>8.3333333333333339E-4</v>
      </c>
      <c r="HP16">
        <v>1.8333333333333334E-4</v>
      </c>
      <c r="HQ16">
        <v>6.666666666666667E-5</v>
      </c>
      <c r="HR16">
        <v>1.1666666666666666E-5</v>
      </c>
      <c r="HS16">
        <v>3.0000000000000001E-6</v>
      </c>
      <c r="HT16">
        <v>3.0000000000000001E-6</v>
      </c>
      <c r="HU16">
        <v>6.6666666666666668E-8</v>
      </c>
      <c r="HV16">
        <v>4.1666666666666663E-8</v>
      </c>
      <c r="HW16">
        <v>0.01</v>
      </c>
      <c r="HX16">
        <v>5.0000000000000001E-4</v>
      </c>
      <c r="HY16">
        <v>1.1E-4</v>
      </c>
      <c r="HZ16">
        <v>4.0000000000000003E-5</v>
      </c>
      <c r="IA16">
        <v>6.999999999999999E-6</v>
      </c>
      <c r="IB16">
        <v>1.8000000000000001E-6</v>
      </c>
      <c r="IC16">
        <v>1.8000000000000001E-6</v>
      </c>
      <c r="ID16">
        <v>4.0000000000000001E-8</v>
      </c>
      <c r="IE16">
        <v>2.4999999999999999E-8</v>
      </c>
      <c r="IF16" s="1">
        <f>Table15678911[[#This Row],[Total_Cost_MUSD]]*1000000*Table15678911[[#This Row],[prob500-failure_rating1]]/500</f>
        <v>1479.3920542000001</v>
      </c>
      <c r="IG16" s="1">
        <f>Table15678911[[#This Row],[Total_Cost_MUSD]]*1000000*Table15678911[[#This Row],[prob500-failure_rating2]]/500</f>
        <v>739.69602710000004</v>
      </c>
      <c r="IH16" s="1">
        <f>Table15678911[[#This Row],[Total_Cost_MUSD]]*1000000*Table15678911[[#This Row],[prob500-failure_rating3]]/500</f>
        <v>162.73312596200003</v>
      </c>
      <c r="II16" s="1">
        <f>Table15678911[[#This Row],[Total_Cost_MUSD]]*1000000*Table15678911[[#This Row],[prob500-failure_rating4]]/500</f>
        <v>59.175682168000009</v>
      </c>
      <c r="IJ16" s="1">
        <f>Table15678911[[#This Row],[Total_Cost_MUSD]]*1000000*Table15678911[[#This Row],[prob500-failure_rating5]]/500</f>
        <v>10.355744379400001</v>
      </c>
      <c r="IK16" s="1">
        <f>Table15678911[[#This Row],[Total_Cost_MUSD]]*1000000*Table15678911[[#This Row],[prob500-failure_rating6]]/500</f>
        <v>2.6629056975600007</v>
      </c>
      <c r="IL16" s="1">
        <f>Table15678911[[#This Row],[Total_Cost_MUSD]]*1000000*Table15678911[[#This Row],[prob500-failure_rating7]]/500</f>
        <v>2.6629056975600007</v>
      </c>
      <c r="IM16" s="1">
        <f>Table15678911[[#This Row],[Total_Cost_MUSD]]*1000000*Table15678911[[#This Row],[prob500-failure_rating8]]/500</f>
        <v>5.9175682168000003E-2</v>
      </c>
      <c r="IN16" s="1">
        <f>Table15678911[[#This Row],[Total_Cost_MUSD]]*1000000*Table15678911[[#This Row],[prob500-failure_rating9]]/500</f>
        <v>3.6984801354999999E-2</v>
      </c>
      <c r="IO16" s="1">
        <f>Table15678911[[#This Row],[Total_Cost_MUSD]]*1000000*Table15678911[[#This Row],[prob100-failure_rating1]]/100</f>
        <v>7396.9602710000008</v>
      </c>
      <c r="IP16" s="1">
        <f>Table15678911[[#This Row],[Total_Cost_MUSD]]*1000000*Table15678911[[#This Row],[prob100-failure_rating2]]/100</f>
        <v>924.6200338750001</v>
      </c>
      <c r="IQ16" s="1">
        <f>Table15678911[[#This Row],[Total_Cost_MUSD]]*1000000*Table15678911[[#This Row],[prob100-failure_rating3]]/100</f>
        <v>203.41640745250004</v>
      </c>
      <c r="IR16" s="1">
        <f>Table15678911[[#This Row],[Total_Cost_MUSD]]*1000000*Table15678911[[#This Row],[prob100-failure_rating4]]/100</f>
        <v>73.969602710000004</v>
      </c>
      <c r="IS16" s="1">
        <f>Table15678911[[#This Row],[Total_Cost_MUSD]]*1000000*Table15678911[[#This Row],[prob100-failure_rating5]]/100</f>
        <v>12.944680474250001</v>
      </c>
      <c r="IT16" s="1">
        <f>Table15678911[[#This Row],[Total_Cost_MUSD]]*1000000*Table15678911[[#This Row],[prob100-failure_rating6]]/100</f>
        <v>3.3286321219500006</v>
      </c>
      <c r="IU16" s="1">
        <f>Table15678911[[#This Row],[Total_Cost_MUSD]]*1000000*Table15678911[[#This Row],[prob100-failure_rating7]]/100</f>
        <v>3.3286321219500006</v>
      </c>
      <c r="IV16" s="1">
        <f>Table15678911[[#This Row],[Total_Cost_MUSD]]*1000000*Table15678911[[#This Row],[prob100-failure_rating8]]/100</f>
        <v>7.3969602709999999E-2</v>
      </c>
      <c r="IW16" s="1">
        <f>Table15678911[[#This Row],[Total_Cost_MUSD]]*1000000*Table15678911[[#This Row],[prob100-failure_rating9]]/100</f>
        <v>4.6231001693750003E-2</v>
      </c>
      <c r="IX16" s="1">
        <f>Table15678911[[#This Row],[Total_Cost_MUSD]]*1000000*Table15678911[[#This Row],[prob50-failure_rating1]]/50</f>
        <v>14793.920542000002</v>
      </c>
      <c r="IY16" s="1">
        <f>Table15678911[[#This Row],[Total_Cost_MUSD]]*1000000*Table15678911[[#This Row],[prob50-failure_rating2]]/50</f>
        <v>1232.8267118333335</v>
      </c>
      <c r="IZ16" s="1">
        <f>Table15678911[[#This Row],[Total_Cost_MUSD]]*1000000*Table15678911[[#This Row],[prob50-failure_rating3]]/50</f>
        <v>271.22187660333338</v>
      </c>
      <c r="JA16" s="1">
        <f>Table15678911[[#This Row],[Total_Cost_MUSD]]*1000000*Table15678911[[#This Row],[prob50-failure_rating4]]/50</f>
        <v>98.626136946666691</v>
      </c>
      <c r="JB16" s="1">
        <f>Table15678911[[#This Row],[Total_Cost_MUSD]]*1000000*Table15678911[[#This Row],[prob50-failure_rating5]]/50</f>
        <v>17.259573965666668</v>
      </c>
      <c r="JC16" s="1">
        <f>Table15678911[[#This Row],[Total_Cost_MUSD]]*1000000*Table15678911[[#This Row],[prob50-failure_rating6]]/50</f>
        <v>4.4381761626000005</v>
      </c>
      <c r="JD16" s="1">
        <f>Table15678911[[#This Row],[Total_Cost_MUSD]]*1000000*Table15678911[[#This Row],[prob50-failure_rating7]]/50</f>
        <v>4.4381761626000005</v>
      </c>
      <c r="JE16" s="1">
        <f>Table15678911[[#This Row],[Total_Cost_MUSD]]*1000000*Table15678911[[#This Row],[prob50-failure_rating8]]/50</f>
        <v>9.8626136946666693E-2</v>
      </c>
      <c r="JF16" s="1">
        <f>Table15678911[[#This Row],[Total_Cost_MUSD]]*1000000*Table15678911[[#This Row],[prob50-failure_rating9]]/50</f>
        <v>6.1641335591666666E-2</v>
      </c>
      <c r="JG16" s="1">
        <f>Table15678911[[#This Row],[Total_Cost_MUSD]]*1000000*Table15678911[[#This Row],[prob10-failure_rating1]]/10</f>
        <v>73969.602710000006</v>
      </c>
      <c r="JH16" s="1">
        <f>Table15678911[[#This Row],[Total_Cost_MUSD]]*1000000*Table15678911[[#This Row],[prob10-failure_rating2]]/10</f>
        <v>3698.4801355000004</v>
      </c>
      <c r="JI16" s="1">
        <f>Table15678911[[#This Row],[Total_Cost_MUSD]]*1000000*Table15678911[[#This Row],[prob10-failure_rating3]]/10</f>
        <v>813.66562981000015</v>
      </c>
      <c r="JJ16" s="1">
        <f>Table15678911[[#This Row],[Total_Cost_MUSD]]*1000000*Table15678911[[#This Row],[prob10-failure_rating4]]/10</f>
        <v>295.87841084000007</v>
      </c>
      <c r="JK16" s="1">
        <f>Table15678911[[#This Row],[Total_Cost_MUSD]]*1000000*Table15678911[[#This Row],[prob10-failure_rating5]]/10</f>
        <v>51.778721897000004</v>
      </c>
      <c r="JL16" s="1">
        <f>Table15678911[[#This Row],[Total_Cost_MUSD]]*1000000*Table15678911[[#This Row],[prob10-failure_rating6]]/10</f>
        <v>13.314528487800001</v>
      </c>
      <c r="JM16" s="1">
        <f>Table15678911[[#This Row],[Total_Cost_MUSD]]*1000000*Table15678911[[#This Row],[prob10-failure_rating7]]/10</f>
        <v>13.314528487800001</v>
      </c>
      <c r="JN16" s="1">
        <f>Table15678911[[#This Row],[Total_Cost_MUSD]]*1000000*Table15678911[[#This Row],[prob10-failure_rating8]]/10</f>
        <v>0.29587841084000005</v>
      </c>
      <c r="JO16" s="1">
        <f>Table15678911[[#This Row],[Total_Cost_MUSD]]*1000000*Table15678911[[#This Row],[prob10-failure_rating9]]/10</f>
        <v>0.18492400677500001</v>
      </c>
      <c r="JP16" s="1">
        <f>Table15678911[[#This Row],[FailureCost_Rating1]]</f>
        <v>6595.6229083083344</v>
      </c>
      <c r="JQ16" s="1">
        <f>Table15678911[[#This Row],[FailureCost_Rating2]]</f>
        <v>6595.6229083083344</v>
      </c>
      <c r="JR16" s="1">
        <f>(Table15678911[[#This Row],[failurecost500_rating2]]+Table15678911[[#This Row],[failurecost100_rating2]]+Table15678911[[#This Row],[failurecost50_rating2]]+Table15678911[[#This Row],[failurecost10_rating2]])</f>
        <v>6595.6229083083344</v>
      </c>
      <c r="JS16" s="1">
        <f>(Table15678911[[#This Row],[failurecost500_rating3]]+Table15678911[[#This Row],[failurecost100_rating3]]+Table15678911[[#This Row],[failurecost50_rating3]]+Table15678911[[#This Row],[failurecost10_rating3]])</f>
        <v>1451.0370398278337</v>
      </c>
      <c r="JT16" s="1">
        <f>(Table15678911[[#This Row],[failurecost500_rating4]]+Table15678911[[#This Row],[failurecost100_rating4]]+Table15678911[[#This Row],[failurecost50_rating4]]+Table15678911[[#This Row],[failurecost10_rating4]])</f>
        <v>527.64983266466675</v>
      </c>
      <c r="JU16" s="1">
        <f>(Table15678911[[#This Row],[failurecost500_rating5]]+Table15678911[[#This Row],[failurecost100_rating5]]+Table15678911[[#This Row],[failurecost50_rating5]]+Table15678911[[#This Row],[failurecost10_rating5]])</f>
        <v>92.338720716316672</v>
      </c>
      <c r="JV16" s="1">
        <f>(Table15678911[[#This Row],[failurecost500_rating6]]+Table15678911[[#This Row],[failurecost100_rating6]]+Table15678911[[#This Row],[failurecost50_rating6]]+Table15678911[[#This Row],[failurecost10_rating6]])</f>
        <v>23.744242469910002</v>
      </c>
      <c r="JW16" s="1">
        <f>(Table15678911[[#This Row],[failurecost500_rating7]]+Table15678911[[#This Row],[failurecost100_rating7]]+Table15678911[[#This Row],[failurecost50_rating7]]+Table15678911[[#This Row],[failurecost10_rating7]])</f>
        <v>23.744242469910002</v>
      </c>
      <c r="JX16" s="1">
        <f>(Table15678911[[#This Row],[failurecost500_rating8]]+Table15678911[[#This Row],[failurecost100_rating8]]+Table15678911[[#This Row],[failurecost50_rating8]]+Table15678911[[#This Row],[failurecost10_rating8]])</f>
        <v>0.52764983266466681</v>
      </c>
      <c r="JY16" s="1">
        <f>(Table15678911[[#This Row],[failurecost500_rating9]]+Table15678911[[#This Row],[failurecost100_rating9]]+Table15678911[[#This Row],[failurecost50_rating9]]+Table15678911[[#This Row],[failurecost10_rating9]])</f>
        <v>0.3297811454154167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Table15678911[[#This Row],[Depth10_Soil_vol]]*(9.353+9.027)+(Table15678911[[#This Row],[Depth10_Soil_vol]]/2.5)*20*1.053+(PI()*Table15678911[[#This Row],[Depth10_Scour]])*Table15678911[[#This Row],[DECK_WIDTH_MT_052]]*1.062</f>
        <v>0</v>
      </c>
      <c r="AR17" s="1">
        <f>Table15678911[[#This Row],[Depth50_Soil_vol]]*(9.353+9.027)+(Table15678911[[#This Row],[Depth50_Soil_vol]]/2.5)*20*1.053+(PI()*Table15678911[[#This Row],[Depth50_Scour]])*Table15678911[[#This Row],[DECK_WIDTH_MT_052]]*1.062</f>
        <v>73.925295948361111</v>
      </c>
      <c r="AS17" s="1">
        <f>Table15678911[[#This Row],[Depth100_Soil_vol]]*(9.353+9.027)+(Table15678911[[#This Row],[Depth100_Soil_vol]]/2.5)*20*1.053+(PI()*Table15678911[[#This Row],[Depth100_Scour]])*Table15678911[[#This Row],[DECK_WIDTH_MT_052]]*1.062</f>
        <v>101.29876563204503</v>
      </c>
      <c r="AT17" s="1">
        <f>Table15678911[[#This Row],[Depth500_Soil_vol]]*(9.353+9.027)+(Table15678911[[#This Row],[Depth500_Soil_vol]]/2.5)*20*1.053+(PI()*Table15678911[[#This Row],[Depth500_Scour]])*Table15678911[[#This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0.22800000000000001</v>
      </c>
      <c r="GF17" s="1">
        <v>8.343465471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7416.4137519999995</v>
      </c>
      <c r="GM17" s="1">
        <f>Sheet4!R47*$GF17*1000000</f>
        <v>4171.7327355000016</v>
      </c>
      <c r="GN17" s="1">
        <f>Sheet4!S47*$GF17*1000000</f>
        <v>2669.9089507200001</v>
      </c>
      <c r="GO17" s="1">
        <f>Sheet4!T47*$GF17*1000000</f>
        <v>1854.1034379999999</v>
      </c>
      <c r="GP17" s="1">
        <f>Sheet4!U47*$GF17*1000000</f>
        <v>1362.1984442448979</v>
      </c>
      <c r="GQ17" s="1">
        <f>Sheet4!V47*$GF17*1000000</f>
        <v>1042.9331838750004</v>
      </c>
      <c r="GR17" s="1">
        <f>Sheet4!W47*$GF17*1000000</f>
        <v>824.0459724444446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>
        <v>0.01</v>
      </c>
      <c r="HF17">
        <v>1.25E-3</v>
      </c>
      <c r="HG17">
        <v>2.7500000000000002E-4</v>
      </c>
      <c r="HH17">
        <v>1E-4</v>
      </c>
      <c r="HI17">
        <v>1.7499999999999998E-5</v>
      </c>
      <c r="HJ17">
        <v>4.5000000000000001E-6</v>
      </c>
      <c r="HK17">
        <v>4.5000000000000001E-6</v>
      </c>
      <c r="HL17">
        <v>9.9999999999999995E-8</v>
      </c>
      <c r="HM17">
        <v>6.2499999999999997E-8</v>
      </c>
      <c r="HN17">
        <v>0.01</v>
      </c>
      <c r="HO17">
        <v>8.3333333333333339E-4</v>
      </c>
      <c r="HP17">
        <v>1.8333333333333334E-4</v>
      </c>
      <c r="HQ17">
        <v>6.666666666666667E-5</v>
      </c>
      <c r="HR17">
        <v>1.1666666666666666E-5</v>
      </c>
      <c r="HS17">
        <v>3.0000000000000001E-6</v>
      </c>
      <c r="HT17">
        <v>3.0000000000000001E-6</v>
      </c>
      <c r="HU17">
        <v>6.6666666666666668E-8</v>
      </c>
      <c r="HV17">
        <v>4.1666666666666663E-8</v>
      </c>
      <c r="HW17">
        <v>0.01</v>
      </c>
      <c r="HX17">
        <v>5.0000000000000001E-4</v>
      </c>
      <c r="HY17">
        <v>1.1E-4</v>
      </c>
      <c r="HZ17">
        <v>4.0000000000000003E-5</v>
      </c>
      <c r="IA17">
        <v>6.999999999999999E-6</v>
      </c>
      <c r="IB17">
        <v>1.8000000000000001E-6</v>
      </c>
      <c r="IC17">
        <v>1.8000000000000001E-6</v>
      </c>
      <c r="ID17">
        <v>4.0000000000000001E-8</v>
      </c>
      <c r="IE17">
        <v>2.4999999999999999E-8</v>
      </c>
      <c r="IF17" s="1">
        <f>Table15678911[[#This Row],[Total_Cost_MUSD]]*1000000*Table15678911[[#This Row],[prob500-failure_rating1]]/500</f>
        <v>166.86930942000001</v>
      </c>
      <c r="IG17" s="1">
        <f>Table15678911[[#This Row],[Total_Cost_MUSD]]*1000000*Table15678911[[#This Row],[prob500-failure_rating2]]/500</f>
        <v>83.434654710000004</v>
      </c>
      <c r="IH17" s="1">
        <f>Table15678911[[#This Row],[Total_Cost_MUSD]]*1000000*Table15678911[[#This Row],[prob500-failure_rating3]]/500</f>
        <v>18.355624036200002</v>
      </c>
      <c r="II17" s="1">
        <f>Table15678911[[#This Row],[Total_Cost_MUSD]]*1000000*Table15678911[[#This Row],[prob500-failure_rating4]]/500</f>
        <v>6.6747723768000009</v>
      </c>
      <c r="IJ17" s="1">
        <f>Table15678911[[#This Row],[Total_Cost_MUSD]]*1000000*Table15678911[[#This Row],[prob500-failure_rating5]]/500</f>
        <v>1.1680851659399998</v>
      </c>
      <c r="IK17" s="1">
        <f>Table15678911[[#This Row],[Total_Cost_MUSD]]*1000000*Table15678911[[#This Row],[prob500-failure_rating6]]/500</f>
        <v>0.30036475695600001</v>
      </c>
      <c r="IL17" s="1">
        <f>Table15678911[[#This Row],[Total_Cost_MUSD]]*1000000*Table15678911[[#This Row],[prob500-failure_rating7]]/500</f>
        <v>0.30036475695600001</v>
      </c>
      <c r="IM17" s="1">
        <f>Table15678911[[#This Row],[Total_Cost_MUSD]]*1000000*Table15678911[[#This Row],[prob500-failure_rating8]]/500</f>
        <v>6.6747723767999999E-3</v>
      </c>
      <c r="IN17" s="1">
        <f>Table15678911[[#This Row],[Total_Cost_MUSD]]*1000000*Table15678911[[#This Row],[prob500-failure_rating9]]/500</f>
        <v>4.1717327355000004E-3</v>
      </c>
      <c r="IO17" s="1">
        <f>Table15678911[[#This Row],[Total_Cost_MUSD]]*1000000*Table15678911[[#This Row],[prob100-failure_rating1]]/100</f>
        <v>834.34654710000007</v>
      </c>
      <c r="IP17" s="1">
        <f>Table15678911[[#This Row],[Total_Cost_MUSD]]*1000000*Table15678911[[#This Row],[prob100-failure_rating2]]/100</f>
        <v>104.29331838750001</v>
      </c>
      <c r="IQ17" s="1">
        <f>Table15678911[[#This Row],[Total_Cost_MUSD]]*1000000*Table15678911[[#This Row],[prob100-failure_rating3]]/100</f>
        <v>22.944530045250005</v>
      </c>
      <c r="IR17" s="1">
        <f>Table15678911[[#This Row],[Total_Cost_MUSD]]*1000000*Table15678911[[#This Row],[prob100-failure_rating4]]/100</f>
        <v>8.343465471</v>
      </c>
      <c r="IS17" s="1">
        <f>Table15678911[[#This Row],[Total_Cost_MUSD]]*1000000*Table15678911[[#This Row],[prob100-failure_rating5]]/100</f>
        <v>1.4601064574249998</v>
      </c>
      <c r="IT17" s="1">
        <f>Table15678911[[#This Row],[Total_Cost_MUSD]]*1000000*Table15678911[[#This Row],[prob100-failure_rating6]]/100</f>
        <v>0.375455946195</v>
      </c>
      <c r="IU17" s="1">
        <f>Table15678911[[#This Row],[Total_Cost_MUSD]]*1000000*Table15678911[[#This Row],[prob100-failure_rating7]]/100</f>
        <v>0.375455946195</v>
      </c>
      <c r="IV17" s="1">
        <f>Table15678911[[#This Row],[Total_Cost_MUSD]]*1000000*Table15678911[[#This Row],[prob100-failure_rating8]]/100</f>
        <v>8.3434654710000007E-3</v>
      </c>
      <c r="IW17" s="1">
        <f>Table15678911[[#This Row],[Total_Cost_MUSD]]*1000000*Table15678911[[#This Row],[prob100-failure_rating9]]/100</f>
        <v>5.214665919375E-3</v>
      </c>
      <c r="IX17" s="1">
        <f>Table15678911[[#This Row],[Total_Cost_MUSD]]*1000000*Table15678911[[#This Row],[prob50-failure_rating1]]/50</f>
        <v>1668.6930942000001</v>
      </c>
      <c r="IY17" s="1">
        <f>Table15678911[[#This Row],[Total_Cost_MUSD]]*1000000*Table15678911[[#This Row],[prob50-failure_rating2]]/50</f>
        <v>139.05775785000003</v>
      </c>
      <c r="IZ17" s="1">
        <f>Table15678911[[#This Row],[Total_Cost_MUSD]]*1000000*Table15678911[[#This Row],[prob50-failure_rating3]]/50</f>
        <v>30.592706726999999</v>
      </c>
      <c r="JA17" s="1">
        <f>Table15678911[[#This Row],[Total_Cost_MUSD]]*1000000*Table15678911[[#This Row],[prob50-failure_rating4]]/50</f>
        <v>11.124620628000001</v>
      </c>
      <c r="JB17" s="1">
        <f>Table15678911[[#This Row],[Total_Cost_MUSD]]*1000000*Table15678911[[#This Row],[prob50-failure_rating5]]/50</f>
        <v>1.9468086098999999</v>
      </c>
      <c r="JC17" s="1">
        <f>Table15678911[[#This Row],[Total_Cost_MUSD]]*1000000*Table15678911[[#This Row],[prob50-failure_rating6]]/50</f>
        <v>0.50060792826</v>
      </c>
      <c r="JD17" s="1">
        <f>Table15678911[[#This Row],[Total_Cost_MUSD]]*1000000*Table15678911[[#This Row],[prob50-failure_rating7]]/50</f>
        <v>0.50060792826</v>
      </c>
      <c r="JE17" s="1">
        <f>Table15678911[[#This Row],[Total_Cost_MUSD]]*1000000*Table15678911[[#This Row],[prob50-failure_rating8]]/50</f>
        <v>1.1124620627999999E-2</v>
      </c>
      <c r="JF17" s="1">
        <f>Table15678911[[#This Row],[Total_Cost_MUSD]]*1000000*Table15678911[[#This Row],[prob50-failure_rating9]]/50</f>
        <v>6.9528878924999989E-3</v>
      </c>
      <c r="JG17" s="1">
        <f>Table15678911[[#This Row],[Total_Cost_MUSD]]*1000000*Table15678911[[#This Row],[prob10-failure_rating1]]/10</f>
        <v>8343.4654709999995</v>
      </c>
      <c r="JH17" s="1">
        <f>Table15678911[[#This Row],[Total_Cost_MUSD]]*1000000*Table15678911[[#This Row],[prob10-failure_rating2]]/10</f>
        <v>417.17327354999998</v>
      </c>
      <c r="JI17" s="1">
        <f>Table15678911[[#This Row],[Total_Cost_MUSD]]*1000000*Table15678911[[#This Row],[prob10-failure_rating3]]/10</f>
        <v>91.778120180999991</v>
      </c>
      <c r="JJ17" s="1">
        <f>Table15678911[[#This Row],[Total_Cost_MUSD]]*1000000*Table15678911[[#This Row],[prob10-failure_rating4]]/10</f>
        <v>33.373861884</v>
      </c>
      <c r="JK17" s="1">
        <f>Table15678911[[#This Row],[Total_Cost_MUSD]]*1000000*Table15678911[[#This Row],[prob10-failure_rating5]]/10</f>
        <v>5.8404258296999991</v>
      </c>
      <c r="JL17" s="1">
        <f>Table15678911[[#This Row],[Total_Cost_MUSD]]*1000000*Table15678911[[#This Row],[prob10-failure_rating6]]/10</f>
        <v>1.50182378478</v>
      </c>
      <c r="JM17" s="1">
        <f>Table15678911[[#This Row],[Total_Cost_MUSD]]*1000000*Table15678911[[#This Row],[prob10-failure_rating7]]/10</f>
        <v>1.50182378478</v>
      </c>
      <c r="JN17" s="1">
        <f>Table15678911[[#This Row],[Total_Cost_MUSD]]*1000000*Table15678911[[#This Row],[prob10-failure_rating8]]/10</f>
        <v>3.3373861884000003E-2</v>
      </c>
      <c r="JO17" s="1">
        <f>Table15678911[[#This Row],[Total_Cost_MUSD]]*1000000*Table15678911[[#This Row],[prob10-failure_rating9]]/10</f>
        <v>2.08586636775E-2</v>
      </c>
      <c r="JP17" s="1">
        <f>Table15678911[[#This Row],[FailureCost_Rating1]]</f>
        <v>743.95900449750002</v>
      </c>
      <c r="JQ17" s="1">
        <f>Table15678911[[#This Row],[FailureCost_Rating2]]</f>
        <v>743.95900449750002</v>
      </c>
      <c r="JR17" s="1">
        <f>(Table15678911[[#This Row],[failurecost500_rating2]]+Table15678911[[#This Row],[failurecost100_rating2]]+Table15678911[[#This Row],[failurecost50_rating2]]+Table15678911[[#This Row],[failurecost10_rating2]])</f>
        <v>743.95900449750002</v>
      </c>
      <c r="JS17" s="1">
        <f>(Table15678911[[#This Row],[failurecost500_rating3]]+Table15678911[[#This Row],[failurecost100_rating3]]+Table15678911[[#This Row],[failurecost50_rating3]]+Table15678911[[#This Row],[failurecost10_rating3]])</f>
        <v>163.67098098944999</v>
      </c>
      <c r="JT17" s="1">
        <f>(Table15678911[[#This Row],[failurecost500_rating4]]+Table15678911[[#This Row],[failurecost100_rating4]]+Table15678911[[#This Row],[failurecost50_rating4]]+Table15678911[[#This Row],[failurecost10_rating4]])</f>
        <v>59.516720359800004</v>
      </c>
      <c r="JU17" s="1">
        <f>(Table15678911[[#This Row],[failurecost500_rating5]]+Table15678911[[#This Row],[failurecost100_rating5]]+Table15678911[[#This Row],[failurecost50_rating5]]+Table15678911[[#This Row],[failurecost10_rating5]])</f>
        <v>10.415426062964999</v>
      </c>
      <c r="JV17" s="1">
        <f>(Table15678911[[#This Row],[failurecost500_rating6]]+Table15678911[[#This Row],[failurecost100_rating6]]+Table15678911[[#This Row],[failurecost50_rating6]]+Table15678911[[#This Row],[failurecost10_rating6]])</f>
        <v>2.678252416191</v>
      </c>
      <c r="JW17" s="1">
        <f>(Table15678911[[#This Row],[failurecost500_rating7]]+Table15678911[[#This Row],[failurecost100_rating7]]+Table15678911[[#This Row],[failurecost50_rating7]]+Table15678911[[#This Row],[failurecost10_rating7]])</f>
        <v>2.678252416191</v>
      </c>
      <c r="JX17" s="1">
        <f>(Table15678911[[#This Row],[failurecost500_rating8]]+Table15678911[[#This Row],[failurecost100_rating8]]+Table15678911[[#This Row],[failurecost50_rating8]]+Table15678911[[#This Row],[failurecost10_rating8]])</f>
        <v>5.9516720359800004E-2</v>
      </c>
      <c r="JY17" s="1">
        <f>(Table15678911[[#This Row],[failurecost500_rating9]]+Table15678911[[#This Row],[failurecost100_rating9]]+Table15678911[[#This Row],[failurecost50_rating9]]+Table15678911[[#This Row],[failurecost10_rating9]])</f>
        <v>3.7197950224875001E-2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Table15678911[[#This Row],[Depth10_Soil_vol]]*(9.353+9.027)+(Table15678911[[#This Row],[Depth10_Soil_vol]]/2.5)*20*1.053+(PI()*Table15678911[[#This Row],[Depth10_Scour]])*Table15678911[[#This Row],[DECK_WIDTH_MT_052]]*1.062</f>
        <v>15354.595084739485</v>
      </c>
      <c r="AR18" s="1">
        <f>Table15678911[[#This Row],[Depth50_Soil_vol]]*(9.353+9.027)+(Table15678911[[#This Row],[Depth50_Soil_vol]]/2.5)*20*1.053+(PI()*Table15678911[[#This Row],[Depth50_Scour]])*Table15678911[[#This Row],[DECK_WIDTH_MT_052]]*1.062</f>
        <v>13414.428771618834</v>
      </c>
      <c r="AS18" s="1">
        <f>Table15678911[[#This Row],[Depth100_Soil_vol]]*(9.353+9.027)+(Table15678911[[#This Row],[Depth100_Soil_vol]]/2.5)*20*1.053+(PI()*Table15678911[[#This Row],[Depth100_Scour]])*Table15678911[[#This Row],[DECK_WIDTH_MT_052]]*1.062</f>
        <v>13976.739331979787</v>
      </c>
      <c r="AT18" s="1">
        <f>Table15678911[[#This Row],[Depth500_Soil_vol]]*(9.353+9.027)+(Table15678911[[#This Row],[Depth500_Soil_vol]]/2.5)*20*1.053+(PI()*Table15678911[[#This Row],[Depth500_Scour]])*Table15678911[[#This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0.52800000000000002</v>
      </c>
      <c r="GF18" s="1">
        <v>2.8449664000000001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2528.8590222222219</v>
      </c>
      <c r="GM18" s="1">
        <f>Sheet4!R48*$GF18*1000000</f>
        <v>1422.4832000000001</v>
      </c>
      <c r="GN18" s="1">
        <f>Sheet4!S48*$GF18*1000000</f>
        <v>910.38924800000029</v>
      </c>
      <c r="GO18" s="1">
        <f>Sheet4!T48*$GF18*1000000</f>
        <v>632.21475555555548</v>
      </c>
      <c r="GP18" s="1">
        <f>Sheet4!U48*$GF18*1000000</f>
        <v>464.48431020408162</v>
      </c>
      <c r="GQ18" s="1">
        <f>Sheet4!V48*$GF18*1000000</f>
        <v>355.62080000000003</v>
      </c>
      <c r="GR18" s="1">
        <f>Sheet4!W48*$GF18*1000000</f>
        <v>280.9843358024691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>
        <v>0.01</v>
      </c>
      <c r="HF18">
        <v>1.25E-3</v>
      </c>
      <c r="HG18">
        <v>2.7500000000000002E-4</v>
      </c>
      <c r="HH18">
        <v>1E-4</v>
      </c>
      <c r="HI18">
        <v>1.7499999999999998E-5</v>
      </c>
      <c r="HJ18">
        <v>4.5000000000000001E-6</v>
      </c>
      <c r="HK18">
        <v>4.5000000000000001E-6</v>
      </c>
      <c r="HL18">
        <v>9.9999999999999995E-8</v>
      </c>
      <c r="HM18">
        <v>6.2499999999999997E-8</v>
      </c>
      <c r="HN18">
        <v>0.01</v>
      </c>
      <c r="HO18">
        <v>8.3333333333333339E-4</v>
      </c>
      <c r="HP18">
        <v>1.8333333333333334E-4</v>
      </c>
      <c r="HQ18">
        <v>6.666666666666667E-5</v>
      </c>
      <c r="HR18">
        <v>1.1666666666666666E-5</v>
      </c>
      <c r="HS18">
        <v>3.0000000000000001E-6</v>
      </c>
      <c r="HT18">
        <v>3.0000000000000001E-6</v>
      </c>
      <c r="HU18">
        <v>6.6666666666666668E-8</v>
      </c>
      <c r="HV18">
        <v>4.1666666666666663E-8</v>
      </c>
      <c r="HW18">
        <v>0.01</v>
      </c>
      <c r="HX18">
        <v>5.0000000000000001E-4</v>
      </c>
      <c r="HY18">
        <v>1.1E-4</v>
      </c>
      <c r="HZ18">
        <v>4.0000000000000003E-5</v>
      </c>
      <c r="IA18">
        <v>6.999999999999999E-6</v>
      </c>
      <c r="IB18">
        <v>1.8000000000000001E-6</v>
      </c>
      <c r="IC18">
        <v>1.8000000000000001E-6</v>
      </c>
      <c r="ID18">
        <v>4.0000000000000001E-8</v>
      </c>
      <c r="IE18">
        <v>2.4999999999999999E-8</v>
      </c>
      <c r="IF18" s="1">
        <f>Table15678911[[#This Row],[Total_Cost_MUSD]]*1000000*Table15678911[[#This Row],[prob500-failure_rating1]]/500</f>
        <v>56.899328000000004</v>
      </c>
      <c r="IG18" s="1">
        <f>Table15678911[[#This Row],[Total_Cost_MUSD]]*1000000*Table15678911[[#This Row],[prob500-failure_rating2]]/500</f>
        <v>28.449664000000002</v>
      </c>
      <c r="IH18" s="1">
        <f>Table15678911[[#This Row],[Total_Cost_MUSD]]*1000000*Table15678911[[#This Row],[prob500-failure_rating3]]/500</f>
        <v>6.2589260800000002</v>
      </c>
      <c r="II18" s="1">
        <f>Table15678911[[#This Row],[Total_Cost_MUSD]]*1000000*Table15678911[[#This Row],[prob500-failure_rating4]]/500</f>
        <v>2.2759731200000002</v>
      </c>
      <c r="IJ18" s="1">
        <f>Table15678911[[#This Row],[Total_Cost_MUSD]]*1000000*Table15678911[[#This Row],[prob500-failure_rating5]]/500</f>
        <v>0.39829529599999997</v>
      </c>
      <c r="IK18" s="1">
        <f>Table15678911[[#This Row],[Total_Cost_MUSD]]*1000000*Table15678911[[#This Row],[prob500-failure_rating6]]/500</f>
        <v>0.1024187904</v>
      </c>
      <c r="IL18" s="1">
        <f>Table15678911[[#This Row],[Total_Cost_MUSD]]*1000000*Table15678911[[#This Row],[prob500-failure_rating7]]/500</f>
        <v>0.1024187904</v>
      </c>
      <c r="IM18" s="1">
        <f>Table15678911[[#This Row],[Total_Cost_MUSD]]*1000000*Table15678911[[#This Row],[prob500-failure_rating8]]/500</f>
        <v>2.2759731199999997E-3</v>
      </c>
      <c r="IN18" s="1">
        <f>Table15678911[[#This Row],[Total_Cost_MUSD]]*1000000*Table15678911[[#This Row],[prob500-failure_rating9]]/500</f>
        <v>1.4224831999999998E-3</v>
      </c>
      <c r="IO18" s="1">
        <f>Table15678911[[#This Row],[Total_Cost_MUSD]]*1000000*Table15678911[[#This Row],[prob100-failure_rating1]]/100</f>
        <v>284.49664000000001</v>
      </c>
      <c r="IP18" s="1">
        <f>Table15678911[[#This Row],[Total_Cost_MUSD]]*1000000*Table15678911[[#This Row],[prob100-failure_rating2]]/100</f>
        <v>35.562080000000002</v>
      </c>
      <c r="IQ18" s="1">
        <f>Table15678911[[#This Row],[Total_Cost_MUSD]]*1000000*Table15678911[[#This Row],[prob100-failure_rating3]]/100</f>
        <v>7.8236576000000007</v>
      </c>
      <c r="IR18" s="1">
        <f>Table15678911[[#This Row],[Total_Cost_MUSD]]*1000000*Table15678911[[#This Row],[prob100-failure_rating4]]/100</f>
        <v>2.8449664000000001</v>
      </c>
      <c r="IS18" s="1">
        <f>Table15678911[[#This Row],[Total_Cost_MUSD]]*1000000*Table15678911[[#This Row],[prob100-failure_rating5]]/100</f>
        <v>0.49786911999999994</v>
      </c>
      <c r="IT18" s="1">
        <f>Table15678911[[#This Row],[Total_Cost_MUSD]]*1000000*Table15678911[[#This Row],[prob100-failure_rating6]]/100</f>
        <v>0.12802348800000002</v>
      </c>
      <c r="IU18" s="1">
        <f>Table15678911[[#This Row],[Total_Cost_MUSD]]*1000000*Table15678911[[#This Row],[prob100-failure_rating7]]/100</f>
        <v>0.12802348800000002</v>
      </c>
      <c r="IV18" s="1">
        <f>Table15678911[[#This Row],[Total_Cost_MUSD]]*1000000*Table15678911[[#This Row],[prob100-failure_rating8]]/100</f>
        <v>2.8449663999999997E-3</v>
      </c>
      <c r="IW18" s="1">
        <f>Table15678911[[#This Row],[Total_Cost_MUSD]]*1000000*Table15678911[[#This Row],[prob100-failure_rating9]]/100</f>
        <v>1.7781039999999998E-3</v>
      </c>
      <c r="IX18" s="1">
        <f>Table15678911[[#This Row],[Total_Cost_MUSD]]*1000000*Table15678911[[#This Row],[prob50-failure_rating1]]/50</f>
        <v>568.99328000000003</v>
      </c>
      <c r="IY18" s="1">
        <f>Table15678911[[#This Row],[Total_Cost_MUSD]]*1000000*Table15678911[[#This Row],[prob50-failure_rating2]]/50</f>
        <v>47.416106666666664</v>
      </c>
      <c r="IZ18" s="1">
        <f>Table15678911[[#This Row],[Total_Cost_MUSD]]*1000000*Table15678911[[#This Row],[prob50-failure_rating3]]/50</f>
        <v>10.431543466666668</v>
      </c>
      <c r="JA18" s="1">
        <f>Table15678911[[#This Row],[Total_Cost_MUSD]]*1000000*Table15678911[[#This Row],[prob50-failure_rating4]]/50</f>
        <v>3.793288533333333</v>
      </c>
      <c r="JB18" s="1">
        <f>Table15678911[[#This Row],[Total_Cost_MUSD]]*1000000*Table15678911[[#This Row],[prob50-failure_rating5]]/50</f>
        <v>0.66382549333333329</v>
      </c>
      <c r="JC18" s="1">
        <f>Table15678911[[#This Row],[Total_Cost_MUSD]]*1000000*Table15678911[[#This Row],[prob50-failure_rating6]]/50</f>
        <v>0.170697984</v>
      </c>
      <c r="JD18" s="1">
        <f>Table15678911[[#This Row],[Total_Cost_MUSD]]*1000000*Table15678911[[#This Row],[prob50-failure_rating7]]/50</f>
        <v>0.170697984</v>
      </c>
      <c r="JE18" s="1">
        <f>Table15678911[[#This Row],[Total_Cost_MUSD]]*1000000*Table15678911[[#This Row],[prob50-failure_rating8]]/50</f>
        <v>3.7932885333333334E-3</v>
      </c>
      <c r="JF18" s="1">
        <f>Table15678911[[#This Row],[Total_Cost_MUSD]]*1000000*Table15678911[[#This Row],[prob50-failure_rating9]]/50</f>
        <v>2.3708053333333333E-3</v>
      </c>
      <c r="JG18" s="1">
        <f>Table15678911[[#This Row],[Total_Cost_MUSD]]*1000000*Table15678911[[#This Row],[prob10-failure_rating1]]/10</f>
        <v>2844.9664000000002</v>
      </c>
      <c r="JH18" s="1">
        <f>Table15678911[[#This Row],[Total_Cost_MUSD]]*1000000*Table15678911[[#This Row],[prob10-failure_rating2]]/10</f>
        <v>142.24831999999998</v>
      </c>
      <c r="JI18" s="1">
        <f>Table15678911[[#This Row],[Total_Cost_MUSD]]*1000000*Table15678911[[#This Row],[prob10-failure_rating3]]/10</f>
        <v>31.294630399999999</v>
      </c>
      <c r="JJ18" s="1">
        <f>Table15678911[[#This Row],[Total_Cost_MUSD]]*1000000*Table15678911[[#This Row],[prob10-failure_rating4]]/10</f>
        <v>11.3798656</v>
      </c>
      <c r="JK18" s="1">
        <f>Table15678911[[#This Row],[Total_Cost_MUSD]]*1000000*Table15678911[[#This Row],[prob10-failure_rating5]]/10</f>
        <v>1.9914764799999998</v>
      </c>
      <c r="JL18" s="1">
        <f>Table15678911[[#This Row],[Total_Cost_MUSD]]*1000000*Table15678911[[#This Row],[prob10-failure_rating6]]/10</f>
        <v>0.51209395200000007</v>
      </c>
      <c r="JM18" s="1">
        <f>Table15678911[[#This Row],[Total_Cost_MUSD]]*1000000*Table15678911[[#This Row],[prob10-failure_rating7]]/10</f>
        <v>0.51209395200000007</v>
      </c>
      <c r="JN18" s="1">
        <f>Table15678911[[#This Row],[Total_Cost_MUSD]]*1000000*Table15678911[[#This Row],[prob10-failure_rating8]]/10</f>
        <v>1.13798656E-2</v>
      </c>
      <c r="JO18" s="1">
        <f>Table15678911[[#This Row],[Total_Cost_MUSD]]*1000000*Table15678911[[#This Row],[prob10-failure_rating9]]/10</f>
        <v>7.112415999999999E-3</v>
      </c>
      <c r="JP18" s="1">
        <f>Table15678911[[#This Row],[FailureCost_Rating1]]</f>
        <v>253.67617066666665</v>
      </c>
      <c r="JQ18" s="1">
        <f>Table15678911[[#This Row],[FailureCost_Rating2]]</f>
        <v>253.67617066666665</v>
      </c>
      <c r="JR18" s="1">
        <f>(Table15678911[[#This Row],[failurecost500_rating2]]+Table15678911[[#This Row],[failurecost100_rating2]]+Table15678911[[#This Row],[failurecost50_rating2]]+Table15678911[[#This Row],[failurecost10_rating2]])</f>
        <v>253.67617066666665</v>
      </c>
      <c r="JS18" s="1">
        <f>(Table15678911[[#This Row],[failurecost500_rating3]]+Table15678911[[#This Row],[failurecost100_rating3]]+Table15678911[[#This Row],[failurecost50_rating3]]+Table15678911[[#This Row],[failurecost10_rating3]])</f>
        <v>55.808757546666669</v>
      </c>
      <c r="JT18" s="1">
        <f>(Table15678911[[#This Row],[failurecost500_rating4]]+Table15678911[[#This Row],[failurecost100_rating4]]+Table15678911[[#This Row],[failurecost50_rating4]]+Table15678911[[#This Row],[failurecost10_rating4]])</f>
        <v>20.294093653333334</v>
      </c>
      <c r="JU18" s="1">
        <f>(Table15678911[[#This Row],[failurecost500_rating5]]+Table15678911[[#This Row],[failurecost100_rating5]]+Table15678911[[#This Row],[failurecost50_rating5]]+Table15678911[[#This Row],[failurecost10_rating5]])</f>
        <v>3.5514663893333331</v>
      </c>
      <c r="JV18" s="1">
        <f>(Table15678911[[#This Row],[failurecost500_rating6]]+Table15678911[[#This Row],[failurecost100_rating6]]+Table15678911[[#This Row],[failurecost50_rating6]]+Table15678911[[#This Row],[failurecost10_rating6]])</f>
        <v>0.91323421440000008</v>
      </c>
      <c r="JW18" s="1">
        <f>(Table15678911[[#This Row],[failurecost500_rating7]]+Table15678911[[#This Row],[failurecost100_rating7]]+Table15678911[[#This Row],[failurecost50_rating7]]+Table15678911[[#This Row],[failurecost10_rating7]])</f>
        <v>0.91323421440000008</v>
      </c>
      <c r="JX18" s="1">
        <f>(Table15678911[[#This Row],[failurecost500_rating8]]+Table15678911[[#This Row],[failurecost100_rating8]]+Table15678911[[#This Row],[failurecost50_rating8]]+Table15678911[[#This Row],[failurecost10_rating8]])</f>
        <v>2.0294093653333331E-2</v>
      </c>
      <c r="JY18" s="1">
        <f>(Table15678911[[#This Row],[failurecost500_rating9]]+Table15678911[[#This Row],[failurecost100_rating9]]+Table15678911[[#This Row],[failurecost50_rating9]]+Table15678911[[#This Row],[failurecost10_rating9]])</f>
        <v>1.2683808533333332E-2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Table15678911[[#This Row],[Depth10_Soil_vol]]*(9.353+9.027)+(Table15678911[[#This Row],[Depth10_Soil_vol]]/2.5)*20*1.053+(PI()*Table15678911[[#This Row],[Depth10_Scour]])*Table15678911[[#This Row],[DECK_WIDTH_MT_052]]*1.062</f>
        <v>10223.699035708925</v>
      </c>
      <c r="AR19" s="1">
        <f>Table15678911[[#This Row],[Depth50_Soil_vol]]*(9.353+9.027)+(Table15678911[[#This Row],[Depth50_Soil_vol]]/2.5)*20*1.053+(PI()*Table15678911[[#This Row],[Depth50_Scour]])*Table15678911[[#This Row],[DECK_WIDTH_MT_052]]*1.062</f>
        <v>11295.880242844603</v>
      </c>
      <c r="AS19" s="1">
        <f>Table15678911[[#This Row],[Depth100_Soil_vol]]*(9.353+9.027)+(Table15678911[[#This Row],[Depth100_Soil_vol]]/2.5)*20*1.053+(PI()*Table15678911[[#This Row],[Depth100_Scour]])*Table15678911[[#This Row],[DECK_WIDTH_MT_052]]*1.062</f>
        <v>11757.366155411924</v>
      </c>
      <c r="AT19" s="1">
        <f>Table15678911[[#This Row],[Depth500_Soil_vol]]*(9.353+9.027)+(Table15678911[[#This Row],[Depth500_Soil_vol]]/2.5)*20*1.053+(PI()*Table15678911[[#This Row],[Depth500_Scour]])*Table15678911[[#This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0.79200000000000004</v>
      </c>
      <c r="GF19" s="1">
        <v>29.559959710000001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26275.519742222226</v>
      </c>
      <c r="GM19" s="1">
        <f>Sheet4!R49*$GF19*1000000</f>
        <v>14779.979855</v>
      </c>
      <c r="GN19" s="1">
        <f>Sheet4!S49*$GF19*1000000</f>
        <v>9459.1871072000013</v>
      </c>
      <c r="GO19" s="1">
        <f>Sheet4!T49*$GF19*1000000</f>
        <v>6568.8799355555566</v>
      </c>
      <c r="GP19" s="1">
        <f>Sheet4!U49*$GF19*1000000</f>
        <v>4826.1158710204081</v>
      </c>
      <c r="GQ19" s="1">
        <f>Sheet4!V49*$GF19*1000000</f>
        <v>3694.9949637499999</v>
      </c>
      <c r="GR19" s="1">
        <f>Sheet4!W49*$GF19*1000000</f>
        <v>2919.502193580247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>
        <v>0.01</v>
      </c>
      <c r="HF19">
        <v>1.25E-3</v>
      </c>
      <c r="HG19">
        <v>2.7500000000000002E-4</v>
      </c>
      <c r="HH19">
        <v>1E-4</v>
      </c>
      <c r="HI19">
        <v>1.7499999999999998E-5</v>
      </c>
      <c r="HJ19">
        <v>4.5000000000000001E-6</v>
      </c>
      <c r="HK19">
        <v>4.5000000000000001E-6</v>
      </c>
      <c r="HL19">
        <v>9.9999999999999995E-8</v>
      </c>
      <c r="HM19">
        <v>6.2499999999999997E-8</v>
      </c>
      <c r="HN19">
        <v>0.01</v>
      </c>
      <c r="HO19">
        <v>8.3333333333333339E-4</v>
      </c>
      <c r="HP19">
        <v>1.8333333333333334E-4</v>
      </c>
      <c r="HQ19">
        <v>6.666666666666667E-5</v>
      </c>
      <c r="HR19">
        <v>1.1666666666666666E-5</v>
      </c>
      <c r="HS19">
        <v>3.0000000000000001E-6</v>
      </c>
      <c r="HT19">
        <v>3.0000000000000001E-6</v>
      </c>
      <c r="HU19">
        <v>6.6666666666666668E-8</v>
      </c>
      <c r="HV19">
        <v>4.1666666666666663E-8</v>
      </c>
      <c r="HW19">
        <v>0.01</v>
      </c>
      <c r="HX19">
        <v>5.0000000000000001E-4</v>
      </c>
      <c r="HY19">
        <v>1.1E-4</v>
      </c>
      <c r="HZ19">
        <v>4.0000000000000003E-5</v>
      </c>
      <c r="IA19">
        <v>6.999999999999999E-6</v>
      </c>
      <c r="IB19">
        <v>1.8000000000000001E-6</v>
      </c>
      <c r="IC19">
        <v>1.8000000000000001E-6</v>
      </c>
      <c r="ID19">
        <v>4.0000000000000001E-8</v>
      </c>
      <c r="IE19">
        <v>2.4999999999999999E-8</v>
      </c>
      <c r="IF19" s="1">
        <f>Table15678911[[#This Row],[Total_Cost_MUSD]]*1000000*Table15678911[[#This Row],[prob500-failure_rating1]]/500</f>
        <v>591.19919420000008</v>
      </c>
      <c r="IG19" s="1">
        <f>Table15678911[[#This Row],[Total_Cost_MUSD]]*1000000*Table15678911[[#This Row],[prob500-failure_rating2]]/500</f>
        <v>295.59959710000004</v>
      </c>
      <c r="IH19" s="1">
        <f>Table15678911[[#This Row],[Total_Cost_MUSD]]*1000000*Table15678911[[#This Row],[prob500-failure_rating3]]/500</f>
        <v>65.031911362000002</v>
      </c>
      <c r="II19" s="1">
        <f>Table15678911[[#This Row],[Total_Cost_MUSD]]*1000000*Table15678911[[#This Row],[prob500-failure_rating4]]/500</f>
        <v>23.647967768000001</v>
      </c>
      <c r="IJ19" s="1">
        <f>Table15678911[[#This Row],[Total_Cost_MUSD]]*1000000*Table15678911[[#This Row],[prob500-failure_rating5]]/500</f>
        <v>4.1383943594000003</v>
      </c>
      <c r="IK19" s="1">
        <f>Table15678911[[#This Row],[Total_Cost_MUSD]]*1000000*Table15678911[[#This Row],[prob500-failure_rating6]]/500</f>
        <v>1.0641585495599999</v>
      </c>
      <c r="IL19" s="1">
        <f>Table15678911[[#This Row],[Total_Cost_MUSD]]*1000000*Table15678911[[#This Row],[prob500-failure_rating7]]/500</f>
        <v>1.0641585495599999</v>
      </c>
      <c r="IM19" s="1">
        <f>Table15678911[[#This Row],[Total_Cost_MUSD]]*1000000*Table15678911[[#This Row],[prob500-failure_rating8]]/500</f>
        <v>2.3647967767999999E-2</v>
      </c>
      <c r="IN19" s="1">
        <f>Table15678911[[#This Row],[Total_Cost_MUSD]]*1000000*Table15678911[[#This Row],[prob500-failure_rating9]]/500</f>
        <v>1.4779979855E-2</v>
      </c>
      <c r="IO19" s="1">
        <f>Table15678911[[#This Row],[Total_Cost_MUSD]]*1000000*Table15678911[[#This Row],[prob100-failure_rating1]]/100</f>
        <v>2955.9959710000003</v>
      </c>
      <c r="IP19" s="1">
        <f>Table15678911[[#This Row],[Total_Cost_MUSD]]*1000000*Table15678911[[#This Row],[prob100-failure_rating2]]/100</f>
        <v>369.49949637500004</v>
      </c>
      <c r="IQ19" s="1">
        <f>Table15678911[[#This Row],[Total_Cost_MUSD]]*1000000*Table15678911[[#This Row],[prob100-failure_rating3]]/100</f>
        <v>81.289889202500007</v>
      </c>
      <c r="IR19" s="1">
        <f>Table15678911[[#This Row],[Total_Cost_MUSD]]*1000000*Table15678911[[#This Row],[prob100-failure_rating4]]/100</f>
        <v>29.559959710000001</v>
      </c>
      <c r="IS19" s="1">
        <f>Table15678911[[#This Row],[Total_Cost_MUSD]]*1000000*Table15678911[[#This Row],[prob100-failure_rating5]]/100</f>
        <v>5.1729929492500002</v>
      </c>
      <c r="IT19" s="1">
        <f>Table15678911[[#This Row],[Total_Cost_MUSD]]*1000000*Table15678911[[#This Row],[prob100-failure_rating6]]/100</f>
        <v>1.3301981869499999</v>
      </c>
      <c r="IU19" s="1">
        <f>Table15678911[[#This Row],[Total_Cost_MUSD]]*1000000*Table15678911[[#This Row],[prob100-failure_rating7]]/100</f>
        <v>1.3301981869499999</v>
      </c>
      <c r="IV19" s="1">
        <f>Table15678911[[#This Row],[Total_Cost_MUSD]]*1000000*Table15678911[[#This Row],[prob100-failure_rating8]]/100</f>
        <v>2.955995971E-2</v>
      </c>
      <c r="IW19" s="1">
        <f>Table15678911[[#This Row],[Total_Cost_MUSD]]*1000000*Table15678911[[#This Row],[prob100-failure_rating9]]/100</f>
        <v>1.847497481875E-2</v>
      </c>
      <c r="IX19" s="1">
        <f>Table15678911[[#This Row],[Total_Cost_MUSD]]*1000000*Table15678911[[#This Row],[prob50-failure_rating1]]/50</f>
        <v>5911.9919420000006</v>
      </c>
      <c r="IY19" s="1">
        <f>Table15678911[[#This Row],[Total_Cost_MUSD]]*1000000*Table15678911[[#This Row],[prob50-failure_rating2]]/50</f>
        <v>492.66599516666668</v>
      </c>
      <c r="IZ19" s="1">
        <f>Table15678911[[#This Row],[Total_Cost_MUSD]]*1000000*Table15678911[[#This Row],[prob50-failure_rating3]]/50</f>
        <v>108.38651893666668</v>
      </c>
      <c r="JA19" s="1">
        <f>Table15678911[[#This Row],[Total_Cost_MUSD]]*1000000*Table15678911[[#This Row],[prob50-failure_rating4]]/50</f>
        <v>39.413279613333337</v>
      </c>
      <c r="JB19" s="1">
        <f>Table15678911[[#This Row],[Total_Cost_MUSD]]*1000000*Table15678911[[#This Row],[prob50-failure_rating5]]/50</f>
        <v>6.8973239323333333</v>
      </c>
      <c r="JC19" s="1">
        <f>Table15678911[[#This Row],[Total_Cost_MUSD]]*1000000*Table15678911[[#This Row],[prob50-failure_rating6]]/50</f>
        <v>1.7735975826000001</v>
      </c>
      <c r="JD19" s="1">
        <f>Table15678911[[#This Row],[Total_Cost_MUSD]]*1000000*Table15678911[[#This Row],[prob50-failure_rating7]]/50</f>
        <v>1.7735975826000001</v>
      </c>
      <c r="JE19" s="1">
        <f>Table15678911[[#This Row],[Total_Cost_MUSD]]*1000000*Table15678911[[#This Row],[prob50-failure_rating8]]/50</f>
        <v>3.9413279613333338E-2</v>
      </c>
      <c r="JF19" s="1">
        <f>Table15678911[[#This Row],[Total_Cost_MUSD]]*1000000*Table15678911[[#This Row],[prob50-failure_rating9]]/50</f>
        <v>2.4633299758333331E-2</v>
      </c>
      <c r="JG19" s="1">
        <f>Table15678911[[#This Row],[Total_Cost_MUSD]]*1000000*Table15678911[[#This Row],[prob10-failure_rating1]]/10</f>
        <v>29559.959710000003</v>
      </c>
      <c r="JH19" s="1">
        <f>Table15678911[[#This Row],[Total_Cost_MUSD]]*1000000*Table15678911[[#This Row],[prob10-failure_rating2]]/10</f>
        <v>1477.9979855000001</v>
      </c>
      <c r="JI19" s="1">
        <f>Table15678911[[#This Row],[Total_Cost_MUSD]]*1000000*Table15678911[[#This Row],[prob10-failure_rating3]]/10</f>
        <v>325.15955681000003</v>
      </c>
      <c r="JJ19" s="1">
        <f>Table15678911[[#This Row],[Total_Cost_MUSD]]*1000000*Table15678911[[#This Row],[prob10-failure_rating4]]/10</f>
        <v>118.23983884000002</v>
      </c>
      <c r="JK19" s="1">
        <f>Table15678911[[#This Row],[Total_Cost_MUSD]]*1000000*Table15678911[[#This Row],[prob10-failure_rating5]]/10</f>
        <v>20.691971796999997</v>
      </c>
      <c r="JL19" s="1">
        <f>Table15678911[[#This Row],[Total_Cost_MUSD]]*1000000*Table15678911[[#This Row],[prob10-failure_rating6]]/10</f>
        <v>5.3207927478000006</v>
      </c>
      <c r="JM19" s="1">
        <f>Table15678911[[#This Row],[Total_Cost_MUSD]]*1000000*Table15678911[[#This Row],[prob10-failure_rating7]]/10</f>
        <v>5.3207927478000006</v>
      </c>
      <c r="JN19" s="1">
        <f>Table15678911[[#This Row],[Total_Cost_MUSD]]*1000000*Table15678911[[#This Row],[prob10-failure_rating8]]/10</f>
        <v>0.11823983884</v>
      </c>
      <c r="JO19" s="1">
        <f>Table15678911[[#This Row],[Total_Cost_MUSD]]*1000000*Table15678911[[#This Row],[prob10-failure_rating9]]/10</f>
        <v>7.3899899275E-2</v>
      </c>
      <c r="JP19" s="1">
        <f>Table15678911[[#This Row],[FailureCost_Rating1]]</f>
        <v>2635.7630741416669</v>
      </c>
      <c r="JQ19" s="1">
        <f>Table15678911[[#This Row],[FailureCost_Rating2]]</f>
        <v>2635.7630741416669</v>
      </c>
      <c r="JR19" s="1">
        <f>(Table15678911[[#This Row],[failurecost500_rating2]]+Table15678911[[#This Row],[failurecost100_rating2]]+Table15678911[[#This Row],[failurecost50_rating2]]+Table15678911[[#This Row],[failurecost10_rating2]])</f>
        <v>2635.7630741416669</v>
      </c>
      <c r="JS19" s="1">
        <f>(Table15678911[[#This Row],[failurecost500_rating3]]+Table15678911[[#This Row],[failurecost100_rating3]]+Table15678911[[#This Row],[failurecost50_rating3]]+Table15678911[[#This Row],[failurecost10_rating3]])</f>
        <v>579.8678763111667</v>
      </c>
      <c r="JT19" s="1">
        <f>(Table15678911[[#This Row],[failurecost500_rating4]]+Table15678911[[#This Row],[failurecost100_rating4]]+Table15678911[[#This Row],[failurecost50_rating4]]+Table15678911[[#This Row],[failurecost10_rating4]])</f>
        <v>210.86104593133336</v>
      </c>
      <c r="JU19" s="1">
        <f>(Table15678911[[#This Row],[failurecost500_rating5]]+Table15678911[[#This Row],[failurecost100_rating5]]+Table15678911[[#This Row],[failurecost50_rating5]]+Table15678911[[#This Row],[failurecost10_rating5]])</f>
        <v>36.900683037983327</v>
      </c>
      <c r="JV19" s="1">
        <f>(Table15678911[[#This Row],[failurecost500_rating6]]+Table15678911[[#This Row],[failurecost100_rating6]]+Table15678911[[#This Row],[failurecost50_rating6]]+Table15678911[[#This Row],[failurecost10_rating6]])</f>
        <v>9.4887470669100011</v>
      </c>
      <c r="JW19" s="1">
        <f>(Table15678911[[#This Row],[failurecost500_rating7]]+Table15678911[[#This Row],[failurecost100_rating7]]+Table15678911[[#This Row],[failurecost50_rating7]]+Table15678911[[#This Row],[failurecost10_rating7]])</f>
        <v>9.4887470669100011</v>
      </c>
      <c r="JX19" s="1">
        <f>(Table15678911[[#This Row],[failurecost500_rating8]]+Table15678911[[#This Row],[failurecost100_rating8]]+Table15678911[[#This Row],[failurecost50_rating8]]+Table15678911[[#This Row],[failurecost10_rating8]])</f>
        <v>0.21086104593133334</v>
      </c>
      <c r="JY19" s="1">
        <f>(Table15678911[[#This Row],[failurecost500_rating9]]+Table15678911[[#This Row],[failurecost100_rating9]]+Table15678911[[#This Row],[failurecost50_rating9]]+Table15678911[[#This Row],[failurecost10_rating9]])</f>
        <v>0.13178815370708333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Table15678911[[#This Row],[Depth10_Soil_vol]]*(9.353+9.027)+(Table15678911[[#This Row],[Depth10_Soil_vol]]/2.5)*20*1.053+(PI()*Table15678911[[#This Row],[Depth10_Scour]])*Table15678911[[#This Row],[DECK_WIDTH_MT_052]]*1.062</f>
        <v>13853.451944603266</v>
      </c>
      <c r="AR20" s="1">
        <f>Table15678911[[#This Row],[Depth50_Soil_vol]]*(9.353+9.027)+(Table15678911[[#This Row],[Depth50_Soil_vol]]/2.5)*20*1.053+(PI()*Table15678911[[#This Row],[Depth50_Scour]])*Table15678911[[#This Row],[DECK_WIDTH_MT_052]]*1.062</f>
        <v>14885.488907843239</v>
      </c>
      <c r="AS20" s="1">
        <f>Table15678911[[#This Row],[Depth100_Soil_vol]]*(9.353+9.027)+(Table15678911[[#This Row],[Depth100_Soil_vol]]/2.5)*20*1.053+(PI()*Table15678911[[#This Row],[Depth100_Scour]])*Table15678911[[#This Row],[DECK_WIDTH_MT_052]]*1.062</f>
        <v>15342.083437730904</v>
      </c>
      <c r="AT20" s="1">
        <f>Table15678911[[#This Row],[Depth500_Soil_vol]]*(9.353+9.027)+(Table15678911[[#This Row],[Depth500_Soil_vol]]/2.5)*20*1.053+(PI()*Table15678911[[#This Row],[Depth500_Scour]])*Table15678911[[#This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MAX(0,(Table15678911[[#This Row],[Current_rating]]-Table15678911[[#This Row],[Depth10_Rating]])/10+(Table15678911[[#This Row],[Current_rating]]-Table15678911[[#This Row],[Depth50_Rating]])/50+(Table15678911[[#This Row],[Current_rating]]-Table15678911[[#This Row],[Depth100_Rating]])/100+(Table15678911[[#This Row],[Current_rating]]-Table15678911[[#This Row],[Depth500_Rating]])/500)</f>
        <v>0.26400000000000001</v>
      </c>
      <c r="GF20" s="1">
        <v>38.312809770000001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34055.83090666667</v>
      </c>
      <c r="GM20" s="1">
        <f>Sheet4!R50*$GF20*1000000</f>
        <v>19156.404885000004</v>
      </c>
      <c r="GN20" s="1">
        <f>Sheet4!S50*$GF20*1000000</f>
        <v>12260.099126400002</v>
      </c>
      <c r="GO20" s="1">
        <f>Sheet4!T50*$GF20*1000000</f>
        <v>8513.9577266666674</v>
      </c>
      <c r="GP20" s="1">
        <f>Sheet4!U50*$GF20*1000000</f>
        <v>6255.1526155102047</v>
      </c>
      <c r="GQ20" s="1">
        <f>Sheet4!V50*$GF20*1000000</f>
        <v>4789.1012212500009</v>
      </c>
      <c r="GR20" s="1">
        <f>Sheet4!W50*$GF20*1000000</f>
        <v>3783.9812118518512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>
        <v>0.01</v>
      </c>
      <c r="HF20">
        <v>1.25E-3</v>
      </c>
      <c r="HG20">
        <v>2.7500000000000002E-4</v>
      </c>
      <c r="HH20">
        <v>1E-4</v>
      </c>
      <c r="HI20">
        <v>1.7499999999999998E-5</v>
      </c>
      <c r="HJ20">
        <v>4.5000000000000001E-6</v>
      </c>
      <c r="HK20">
        <v>4.5000000000000001E-6</v>
      </c>
      <c r="HL20">
        <v>9.9999999999999995E-8</v>
      </c>
      <c r="HM20">
        <v>6.2499999999999997E-8</v>
      </c>
      <c r="HN20">
        <v>0.01</v>
      </c>
      <c r="HO20">
        <v>8.3333333333333339E-4</v>
      </c>
      <c r="HP20">
        <v>1.8333333333333334E-4</v>
      </c>
      <c r="HQ20">
        <v>6.666666666666667E-5</v>
      </c>
      <c r="HR20">
        <v>1.1666666666666666E-5</v>
      </c>
      <c r="HS20">
        <v>3.0000000000000001E-6</v>
      </c>
      <c r="HT20">
        <v>3.0000000000000001E-6</v>
      </c>
      <c r="HU20">
        <v>6.6666666666666668E-8</v>
      </c>
      <c r="HV20">
        <v>4.1666666666666663E-8</v>
      </c>
      <c r="HW20">
        <v>0.01</v>
      </c>
      <c r="HX20">
        <v>5.0000000000000001E-4</v>
      </c>
      <c r="HY20">
        <v>1.1E-4</v>
      </c>
      <c r="HZ20">
        <v>4.0000000000000003E-5</v>
      </c>
      <c r="IA20">
        <v>6.999999999999999E-6</v>
      </c>
      <c r="IB20">
        <v>1.8000000000000001E-6</v>
      </c>
      <c r="IC20">
        <v>1.8000000000000001E-6</v>
      </c>
      <c r="ID20">
        <v>4.0000000000000001E-8</v>
      </c>
      <c r="IE20">
        <v>2.4999999999999999E-8</v>
      </c>
      <c r="IF20" s="1">
        <f>Table15678911[[#This Row],[Total_Cost_MUSD]]*1000000*Table15678911[[#This Row],[prob500-failure_rating1]]/500</f>
        <v>766.25619540000014</v>
      </c>
      <c r="IG20" s="1">
        <f>Table15678911[[#This Row],[Total_Cost_MUSD]]*1000000*Table15678911[[#This Row],[prob500-failure_rating2]]/500</f>
        <v>383.12809770000007</v>
      </c>
      <c r="IH20" s="1">
        <f>Table15678911[[#This Row],[Total_Cost_MUSD]]*1000000*Table15678911[[#This Row],[prob500-failure_rating3]]/500</f>
        <v>84.288181494000014</v>
      </c>
      <c r="II20" s="1">
        <f>Table15678911[[#This Row],[Total_Cost_MUSD]]*1000000*Table15678911[[#This Row],[prob500-failure_rating4]]/500</f>
        <v>30.650247816000004</v>
      </c>
      <c r="IJ20" s="1">
        <f>Table15678911[[#This Row],[Total_Cost_MUSD]]*1000000*Table15678911[[#This Row],[prob500-failure_rating5]]/500</f>
        <v>5.3637933677999996</v>
      </c>
      <c r="IK20" s="1">
        <f>Table15678911[[#This Row],[Total_Cost_MUSD]]*1000000*Table15678911[[#This Row],[prob500-failure_rating6]]/500</f>
        <v>1.37926115172</v>
      </c>
      <c r="IL20" s="1">
        <f>Table15678911[[#This Row],[Total_Cost_MUSD]]*1000000*Table15678911[[#This Row],[prob500-failure_rating7]]/500</f>
        <v>1.37926115172</v>
      </c>
      <c r="IM20" s="1">
        <f>Table15678911[[#This Row],[Total_Cost_MUSD]]*1000000*Table15678911[[#This Row],[prob500-failure_rating8]]/500</f>
        <v>3.0650247815999999E-2</v>
      </c>
      <c r="IN20" s="1">
        <f>Table15678911[[#This Row],[Total_Cost_MUSD]]*1000000*Table15678911[[#This Row],[prob500-failure_rating9]]/500</f>
        <v>1.9156404885000002E-2</v>
      </c>
      <c r="IO20" s="1">
        <f>Table15678911[[#This Row],[Total_Cost_MUSD]]*1000000*Table15678911[[#This Row],[prob100-failure_rating1]]/100</f>
        <v>3831.2809770000003</v>
      </c>
      <c r="IP20" s="1">
        <f>Table15678911[[#This Row],[Total_Cost_MUSD]]*1000000*Table15678911[[#This Row],[prob100-failure_rating2]]/100</f>
        <v>478.91012212500004</v>
      </c>
      <c r="IQ20" s="1">
        <f>Table15678911[[#This Row],[Total_Cost_MUSD]]*1000000*Table15678911[[#This Row],[prob100-failure_rating3]]/100</f>
        <v>105.36022686750002</v>
      </c>
      <c r="IR20" s="1">
        <f>Table15678911[[#This Row],[Total_Cost_MUSD]]*1000000*Table15678911[[#This Row],[prob100-failure_rating4]]/100</f>
        <v>38.312809770000001</v>
      </c>
      <c r="IS20" s="1">
        <f>Table15678911[[#This Row],[Total_Cost_MUSD]]*1000000*Table15678911[[#This Row],[prob100-failure_rating5]]/100</f>
        <v>6.7047417097499995</v>
      </c>
      <c r="IT20" s="1">
        <f>Table15678911[[#This Row],[Total_Cost_MUSD]]*1000000*Table15678911[[#This Row],[prob100-failure_rating6]]/100</f>
        <v>1.7240764396500001</v>
      </c>
      <c r="IU20" s="1">
        <f>Table15678911[[#This Row],[Total_Cost_MUSD]]*1000000*Table15678911[[#This Row],[prob100-failure_rating7]]/100</f>
        <v>1.7240764396500001</v>
      </c>
      <c r="IV20" s="1">
        <f>Table15678911[[#This Row],[Total_Cost_MUSD]]*1000000*Table15678911[[#This Row],[prob100-failure_rating8]]/100</f>
        <v>3.8312809769999998E-2</v>
      </c>
      <c r="IW20" s="1">
        <f>Table15678911[[#This Row],[Total_Cost_MUSD]]*1000000*Table15678911[[#This Row],[prob100-failure_rating9]]/100</f>
        <v>2.394550610625E-2</v>
      </c>
      <c r="IX20" s="1">
        <f>Table15678911[[#This Row],[Total_Cost_MUSD]]*1000000*Table15678911[[#This Row],[prob50-failure_rating1]]/50</f>
        <v>7662.5619540000007</v>
      </c>
      <c r="IY20" s="1">
        <f>Table15678911[[#This Row],[Total_Cost_MUSD]]*1000000*Table15678911[[#This Row],[prob50-failure_rating2]]/50</f>
        <v>638.54682950000006</v>
      </c>
      <c r="IZ20" s="1">
        <f>Table15678911[[#This Row],[Total_Cost_MUSD]]*1000000*Table15678911[[#This Row],[prob50-failure_rating3]]/50</f>
        <v>140.48030249000001</v>
      </c>
      <c r="JA20" s="1">
        <f>Table15678911[[#This Row],[Total_Cost_MUSD]]*1000000*Table15678911[[#This Row],[prob50-failure_rating4]]/50</f>
        <v>51.083746360000006</v>
      </c>
      <c r="JB20" s="1">
        <f>Table15678911[[#This Row],[Total_Cost_MUSD]]*1000000*Table15678911[[#This Row],[prob50-failure_rating5]]/50</f>
        <v>8.9396556129999993</v>
      </c>
      <c r="JC20" s="1">
        <f>Table15678911[[#This Row],[Total_Cost_MUSD]]*1000000*Table15678911[[#This Row],[prob50-failure_rating6]]/50</f>
        <v>2.2987685862000005</v>
      </c>
      <c r="JD20" s="1">
        <f>Table15678911[[#This Row],[Total_Cost_MUSD]]*1000000*Table15678911[[#This Row],[prob50-failure_rating7]]/50</f>
        <v>2.2987685862000005</v>
      </c>
      <c r="JE20" s="1">
        <f>Table15678911[[#This Row],[Total_Cost_MUSD]]*1000000*Table15678911[[#This Row],[prob50-failure_rating8]]/50</f>
        <v>5.1083746360000008E-2</v>
      </c>
      <c r="JF20" s="1">
        <f>Table15678911[[#This Row],[Total_Cost_MUSD]]*1000000*Table15678911[[#This Row],[prob50-failure_rating9]]/50</f>
        <v>3.1927341475000003E-2</v>
      </c>
      <c r="JG20" s="1">
        <f>Table15678911[[#This Row],[Total_Cost_MUSD]]*1000000*Table15678911[[#This Row],[prob10-failure_rating1]]/10</f>
        <v>38312.809770000007</v>
      </c>
      <c r="JH20" s="1">
        <f>Table15678911[[#This Row],[Total_Cost_MUSD]]*1000000*Table15678911[[#This Row],[prob10-failure_rating2]]/10</f>
        <v>1915.6404885000004</v>
      </c>
      <c r="JI20" s="1">
        <f>Table15678911[[#This Row],[Total_Cost_MUSD]]*1000000*Table15678911[[#This Row],[prob10-failure_rating3]]/10</f>
        <v>421.44090747000007</v>
      </c>
      <c r="JJ20" s="1">
        <f>Table15678911[[#This Row],[Total_Cost_MUSD]]*1000000*Table15678911[[#This Row],[prob10-failure_rating4]]/10</f>
        <v>153.25123908000003</v>
      </c>
      <c r="JK20" s="1">
        <f>Table15678911[[#This Row],[Total_Cost_MUSD]]*1000000*Table15678911[[#This Row],[prob10-failure_rating5]]/10</f>
        <v>26.818966839000002</v>
      </c>
      <c r="JL20" s="1">
        <f>Table15678911[[#This Row],[Total_Cost_MUSD]]*1000000*Table15678911[[#This Row],[prob10-failure_rating6]]/10</f>
        <v>6.8963057586000005</v>
      </c>
      <c r="JM20" s="1">
        <f>Table15678911[[#This Row],[Total_Cost_MUSD]]*1000000*Table15678911[[#This Row],[prob10-failure_rating7]]/10</f>
        <v>6.8963057586000005</v>
      </c>
      <c r="JN20" s="1">
        <f>Table15678911[[#This Row],[Total_Cost_MUSD]]*1000000*Table15678911[[#This Row],[prob10-failure_rating8]]/10</f>
        <v>0.15325123908000002</v>
      </c>
      <c r="JO20" s="1">
        <f>Table15678911[[#This Row],[Total_Cost_MUSD]]*1000000*Table15678911[[#This Row],[prob10-failure_rating9]]/10</f>
        <v>9.5782024425000001E-2</v>
      </c>
      <c r="JP20" s="1">
        <f>Table15678911[[#This Row],[FailureCost_Rating1]]</f>
        <v>3416.2255378250006</v>
      </c>
      <c r="JQ20" s="1">
        <f>Table15678911[[#This Row],[FailureCost_Rating2]]</f>
        <v>3416.2255378250006</v>
      </c>
      <c r="JR20" s="1">
        <f>(Table15678911[[#This Row],[failurecost500_rating2]]+Table15678911[[#This Row],[failurecost100_rating2]]+Table15678911[[#This Row],[failurecost50_rating2]]+Table15678911[[#This Row],[failurecost10_rating2]])</f>
        <v>3416.2255378250006</v>
      </c>
      <c r="JS20" s="1">
        <f>(Table15678911[[#This Row],[failurecost500_rating3]]+Table15678911[[#This Row],[failurecost100_rating3]]+Table15678911[[#This Row],[failurecost50_rating3]]+Table15678911[[#This Row],[failurecost10_rating3]])</f>
        <v>751.56961832150012</v>
      </c>
      <c r="JT20" s="1">
        <f>(Table15678911[[#This Row],[failurecost500_rating4]]+Table15678911[[#This Row],[failurecost100_rating4]]+Table15678911[[#This Row],[failurecost50_rating4]]+Table15678911[[#This Row],[failurecost10_rating4]])</f>
        <v>273.29804302600007</v>
      </c>
      <c r="JU20" s="1">
        <f>(Table15678911[[#This Row],[failurecost500_rating5]]+Table15678911[[#This Row],[failurecost100_rating5]]+Table15678911[[#This Row],[failurecost50_rating5]]+Table15678911[[#This Row],[failurecost10_rating5]])</f>
        <v>47.82715752955</v>
      </c>
      <c r="JV20" s="1">
        <f>(Table15678911[[#This Row],[failurecost500_rating6]]+Table15678911[[#This Row],[failurecost100_rating6]]+Table15678911[[#This Row],[failurecost50_rating6]]+Table15678911[[#This Row],[failurecost10_rating6]])</f>
        <v>12.298411936170002</v>
      </c>
      <c r="JW20" s="1">
        <f>(Table15678911[[#This Row],[failurecost500_rating7]]+Table15678911[[#This Row],[failurecost100_rating7]]+Table15678911[[#This Row],[failurecost50_rating7]]+Table15678911[[#This Row],[failurecost10_rating7]])</f>
        <v>12.298411936170002</v>
      </c>
      <c r="JX20" s="1">
        <f>(Table15678911[[#This Row],[failurecost500_rating8]]+Table15678911[[#This Row],[failurecost100_rating8]]+Table15678911[[#This Row],[failurecost50_rating8]]+Table15678911[[#This Row],[failurecost10_rating8]])</f>
        <v>0.27329804302600003</v>
      </c>
      <c r="JY20" s="1">
        <f>(Table15678911[[#This Row],[failurecost500_rating9]]+Table15678911[[#This Row],[failurecost100_rating9]]+Table15678911[[#This Row],[failurecost50_rating9]]+Table15678911[[#This Row],[failurecost10_rating9]])</f>
        <v>0.17081127689125</v>
      </c>
    </row>
    <row r="25" spans="1:285" x14ac:dyDescent="0.3">
      <c r="GT25" s="8"/>
      <c r="GX25" s="6"/>
      <c r="GY25" s="6"/>
    </row>
  </sheetData>
  <pageMargins left="0.7" right="0.7" top="0.75" bottom="0.75" header="0.3" footer="0.3"/>
  <pageSetup orientation="portrait" r:id="rId1"/>
  <ignoredErrors>
    <ignoredError sqref="GV2:GV20" calculatedColumn="1"/>
  </ignoredErrors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9046-DD8C-4CFB-9EA6-CF4926CA0A9B}">
  <dimension ref="A1:JY20"/>
  <sheetViews>
    <sheetView zoomScaleNormal="100" workbookViewId="0">
      <selection activeCell="JS9" sqref="JS9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Table1567891112[[#This Row],[Depth10_Soil_vol]]*(9.353+9.027)+(Table1567891112[[#This Row],[Depth10_Soil_vol]]/2.5)*20*1.053+(PI()*Table1567891112[[#This Row],[Depth10_Scour]])*Table1567891112[[#This Row],[DECK_WIDTH_MT_052]]*1.062</f>
        <v>11998.897701083155</v>
      </c>
      <c r="AR2" s="1">
        <f>Table1567891112[[#This Row],[Depth50_Soil_vol]]*(9.353+9.027)+(Table1567891112[[#This Row],[Depth50_Soil_vol]]/2.5)*20*1.053+(PI()*Table1567891112[[#This Row],[Depth50_Scour]])*Table1567891112[[#This Row],[DECK_WIDTH_MT_052]]*1.062</f>
        <v>12798.983727608316</v>
      </c>
      <c r="AS2" s="1">
        <f>Table1567891112[[#This Row],[Depth100_Soil_vol]]*(9.353+9.027)+(Table1567891112[[#This Row],[Depth100_Soil_vol]]/2.5)*20*1.053+(PI()*Table1567891112[[#This Row],[Depth100_Scour]])*Table1567891112[[#This Row],[DECK_WIDTH_MT_052]]*1.062</f>
        <v>13156.203147223239</v>
      </c>
      <c r="AT2" s="1">
        <f>Table1567891112[[#This Row],[Depth500_Soil_vol]]*(9.353+9.027)+(Table1567891112[[#This Row],[Depth500_Soil_vol]]/2.5)*20*1.053+(PI()*Table1567891112[[#This Row],[Depth500_Scour]])*Table1567891112[[#This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0.39600000000000002</v>
      </c>
      <c r="GF2" s="1">
        <v>28.104715144874344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24981.969017666084</v>
      </c>
      <c r="GM2" s="1">
        <f>Sheet4!R32*$GF2*1000000</f>
        <v>14052.357572437171</v>
      </c>
      <c r="GN2" s="1">
        <f>Sheet4!S32*$GF2*1000000</f>
        <v>8993.5088463597895</v>
      </c>
      <c r="GO2" s="1">
        <f>Sheet4!T32*$GF2*1000000</f>
        <v>6245.4922544165211</v>
      </c>
      <c r="GP2" s="1">
        <f>Sheet4!U32*$GF2*1000000</f>
        <v>4588.5249216121383</v>
      </c>
      <c r="GQ2" s="1">
        <f>Sheet4!V32*$GF2*1000000</f>
        <v>3513.0893931092928</v>
      </c>
      <c r="GR2" s="1">
        <f>Sheet4!W32*$GF2*1000000</f>
        <v>2775.7743352962311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0.01</v>
      </c>
      <c r="HF2" s="1">
        <v>1.25E-3</v>
      </c>
      <c r="HG2" s="1">
        <v>2.7500000000000002E-4</v>
      </c>
      <c r="HH2" s="1">
        <v>1E-4</v>
      </c>
      <c r="HI2" s="1">
        <v>1.7499999999999998E-5</v>
      </c>
      <c r="HJ2" s="1">
        <v>4.5000000000000001E-6</v>
      </c>
      <c r="HK2" s="1">
        <v>4.5000000000000001E-6</v>
      </c>
      <c r="HL2" s="1">
        <v>9.9999999999999995E-8</v>
      </c>
      <c r="HM2" s="1">
        <v>6.2499999999999997E-8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Table1567891112[[#This Row],[Total_Cost_MUSD]]*1000000*Table1567891112[[#This Row],[prob500-failure_rating1]]/500</f>
        <v>562.09430289748695</v>
      </c>
      <c r="IG2" s="1">
        <f>Table1567891112[[#This Row],[Total_Cost_MUSD]]*1000000*Table1567891112[[#This Row],[prob500-failure_rating2]]/500</f>
        <v>281.04715144874348</v>
      </c>
      <c r="IH2" s="1">
        <f>Table1567891112[[#This Row],[Total_Cost_MUSD]]*1000000*Table1567891112[[#This Row],[prob500-failure_rating3]]/500</f>
        <v>61.830373318723566</v>
      </c>
      <c r="II2" s="1">
        <f>Table1567891112[[#This Row],[Total_Cost_MUSD]]*1000000*Table1567891112[[#This Row],[prob500-failure_rating4]]/500</f>
        <v>22.48377211589948</v>
      </c>
      <c r="IJ2" s="1">
        <f>Table1567891112[[#This Row],[Total_Cost_MUSD]]*1000000*Table1567891112[[#This Row],[prob500-failure_rating5]]/500</f>
        <v>3.9346601202824081</v>
      </c>
      <c r="IK2" s="1">
        <f>Table1567891112[[#This Row],[Total_Cost_MUSD]]*1000000*Table1567891112[[#This Row],[prob500-failure_rating6]]/500</f>
        <v>1.0117697452154766</v>
      </c>
      <c r="IL2" s="1">
        <f>Table1567891112[[#This Row],[Total_Cost_MUSD]]*1000000*Table1567891112[[#This Row],[prob500-failure_rating7]]/500</f>
        <v>1.0117697452154766</v>
      </c>
      <c r="IM2" s="1">
        <f>Table1567891112[[#This Row],[Total_Cost_MUSD]]*1000000*Table1567891112[[#This Row],[prob500-failure_rating8]]/500</f>
        <v>2.2483772115899477E-2</v>
      </c>
      <c r="IN2" s="1">
        <f>Table1567891112[[#This Row],[Total_Cost_MUSD]]*1000000*Table1567891112[[#This Row],[prob500-failure_rating9]]/500</f>
        <v>1.4052357572437172E-2</v>
      </c>
      <c r="IO2" s="1">
        <f>Table1567891112[[#This Row],[Total_Cost_MUSD]]*1000000*Table1567891112[[#This Row],[prob100-failure_rating1]]/100</f>
        <v>2810.4715144874349</v>
      </c>
      <c r="IP2" s="1">
        <f>Table1567891112[[#This Row],[Total_Cost_MUSD]]*1000000*Table1567891112[[#This Row],[prob100-failure_rating2]]/100</f>
        <v>351.30893931092936</v>
      </c>
      <c r="IQ2" s="1">
        <f>Table1567891112[[#This Row],[Total_Cost_MUSD]]*1000000*Table1567891112[[#This Row],[prob100-failure_rating3]]/100</f>
        <v>77.287966648404449</v>
      </c>
      <c r="IR2" s="1">
        <f>Table1567891112[[#This Row],[Total_Cost_MUSD]]*1000000*Table1567891112[[#This Row],[prob100-failure_rating4]]/100</f>
        <v>28.104715144874348</v>
      </c>
      <c r="IS2" s="1">
        <f>Table1567891112[[#This Row],[Total_Cost_MUSD]]*1000000*Table1567891112[[#This Row],[prob100-failure_rating5]]/100</f>
        <v>4.9183251503530103</v>
      </c>
      <c r="IT2" s="1">
        <f>Table1567891112[[#This Row],[Total_Cost_MUSD]]*1000000*Table1567891112[[#This Row],[prob100-failure_rating6]]/100</f>
        <v>1.2647121815193456</v>
      </c>
      <c r="IU2" s="1">
        <f>Table1567891112[[#This Row],[Total_Cost_MUSD]]*1000000*Table1567891112[[#This Row],[prob100-failure_rating7]]/100</f>
        <v>1.2647121815193456</v>
      </c>
      <c r="IV2" s="1">
        <f>Table1567891112[[#This Row],[Total_Cost_MUSD]]*1000000*Table1567891112[[#This Row],[prob100-failure_rating8]]/100</f>
        <v>2.8104715144874347E-2</v>
      </c>
      <c r="IW2" s="1">
        <f>Table1567891112[[#This Row],[Total_Cost_MUSD]]*1000000*Table1567891112[[#This Row],[prob100-failure_rating9]]/100</f>
        <v>1.7565446965546464E-2</v>
      </c>
      <c r="IX2" s="1">
        <f>Table1567891112[[#This Row],[Total_Cost_MUSD]]*1000000*Table1567891112[[#This Row],[prob50-failure_rating1]]/50</f>
        <v>5620.9430289748698</v>
      </c>
      <c r="IY2" s="1">
        <f>Table1567891112[[#This Row],[Total_Cost_MUSD]]*1000000*Table1567891112[[#This Row],[prob50-failure_rating2]]/50</f>
        <v>468.41191908123909</v>
      </c>
      <c r="IZ2" s="1">
        <f>Table1567891112[[#This Row],[Total_Cost_MUSD]]*1000000*Table1567891112[[#This Row],[prob50-failure_rating3]]/50</f>
        <v>103.0506221978726</v>
      </c>
      <c r="JA2" s="1">
        <f>Table1567891112[[#This Row],[Total_Cost_MUSD]]*1000000*Table1567891112[[#This Row],[prob50-failure_rating4]]/50</f>
        <v>37.472953526499126</v>
      </c>
      <c r="JB2" s="1">
        <f>Table1567891112[[#This Row],[Total_Cost_MUSD]]*1000000*Table1567891112[[#This Row],[prob50-failure_rating5]]/50</f>
        <v>6.5577668671373468</v>
      </c>
      <c r="JC2" s="1">
        <f>Table1567891112[[#This Row],[Total_Cost_MUSD]]*1000000*Table1567891112[[#This Row],[prob50-failure_rating6]]/50</f>
        <v>1.6862829086924609</v>
      </c>
      <c r="JD2" s="1">
        <f>Table1567891112[[#This Row],[Total_Cost_MUSD]]*1000000*Table1567891112[[#This Row],[prob50-failure_rating7]]/50</f>
        <v>1.6862829086924609</v>
      </c>
      <c r="JE2" s="1">
        <f>Table1567891112[[#This Row],[Total_Cost_MUSD]]*1000000*Table1567891112[[#This Row],[prob50-failure_rating8]]/50</f>
        <v>3.7472953526499125E-2</v>
      </c>
      <c r="JF2" s="1">
        <f>Table1567891112[[#This Row],[Total_Cost_MUSD]]*1000000*Table1567891112[[#This Row],[prob50-failure_rating9]]/50</f>
        <v>2.3420595954061953E-2</v>
      </c>
      <c r="JG2" s="1">
        <f>Table1567891112[[#This Row],[Total_Cost_MUSD]]*1000000*Table1567891112[[#This Row],[prob10-failure_rating1]]/10</f>
        <v>28104.715144874346</v>
      </c>
      <c r="JH2" s="1">
        <f>Table1567891112[[#This Row],[Total_Cost_MUSD]]*1000000*Table1567891112[[#This Row],[prob10-failure_rating2]]/10</f>
        <v>1405.2357572437172</v>
      </c>
      <c r="JI2" s="1">
        <f>Table1567891112[[#This Row],[Total_Cost_MUSD]]*1000000*Table1567891112[[#This Row],[prob10-failure_rating3]]/10</f>
        <v>309.1518665936178</v>
      </c>
      <c r="JJ2" s="1">
        <f>Table1567891112[[#This Row],[Total_Cost_MUSD]]*1000000*Table1567891112[[#This Row],[prob10-failure_rating4]]/10</f>
        <v>112.41886057949739</v>
      </c>
      <c r="JK2" s="1">
        <f>Table1567891112[[#This Row],[Total_Cost_MUSD]]*1000000*Table1567891112[[#This Row],[prob10-failure_rating5]]/10</f>
        <v>19.673300601412041</v>
      </c>
      <c r="JL2" s="1">
        <f>Table1567891112[[#This Row],[Total_Cost_MUSD]]*1000000*Table1567891112[[#This Row],[prob10-failure_rating6]]/10</f>
        <v>5.0588487260773825</v>
      </c>
      <c r="JM2" s="1">
        <f>Table1567891112[[#This Row],[Total_Cost_MUSD]]*1000000*Table1567891112[[#This Row],[prob10-failure_rating7]]/10</f>
        <v>5.0588487260773825</v>
      </c>
      <c r="JN2" s="1">
        <f>Table1567891112[[#This Row],[Total_Cost_MUSD]]*1000000*Table1567891112[[#This Row],[prob10-failure_rating8]]/10</f>
        <v>0.11241886057949739</v>
      </c>
      <c r="JO2" s="1">
        <f>Table1567891112[[#This Row],[Total_Cost_MUSD]]*1000000*Table1567891112[[#This Row],[prob10-failure_rating9]]/10</f>
        <v>7.026178786218587E-2</v>
      </c>
      <c r="JP2" s="1">
        <f>Table1567891112[[#This Row],[FailureCost_Rating1]]</f>
        <v>2506.0037670846291</v>
      </c>
      <c r="JQ2" s="1">
        <f>Table1567891112[[#This Row],[FailureCost_Rating2]]</f>
        <v>2506.0037670846291</v>
      </c>
      <c r="JR2" s="1">
        <f>(Table1567891112[[#This Row],[failurecost500_rating2]]+Table1567891112[[#This Row],[failurecost100_rating2]]+Table1567891112[[#This Row],[failurecost50_rating2]]+Table1567891112[[#This Row],[failurecost10_rating2]])</f>
        <v>2506.0037670846291</v>
      </c>
      <c r="JS2" s="1">
        <f>(Table1567891112[[#This Row],[failurecost500_rating3]]+Table1567891112[[#This Row],[failurecost100_rating3]]+Table1567891112[[#This Row],[failurecost50_rating3]]+Table1567891112[[#This Row],[failurecost10_rating3]])</f>
        <v>551.3208287586184</v>
      </c>
      <c r="JT2" s="1">
        <f>(Table1567891112[[#This Row],[failurecost500_rating4]]+Table1567891112[[#This Row],[failurecost100_rating4]]+Table1567891112[[#This Row],[failurecost50_rating4]]+Table1567891112[[#This Row],[failurecost10_rating4]])</f>
        <v>200.48030136677033</v>
      </c>
      <c r="JU2" s="1">
        <f>(Table1567891112[[#This Row],[failurecost500_rating5]]+Table1567891112[[#This Row],[failurecost100_rating5]]+Table1567891112[[#This Row],[failurecost50_rating5]]+Table1567891112[[#This Row],[failurecost10_rating5]])</f>
        <v>35.084052739184806</v>
      </c>
      <c r="JV2" s="1">
        <f>(Table1567891112[[#This Row],[failurecost500_rating6]]+Table1567891112[[#This Row],[failurecost100_rating6]]+Table1567891112[[#This Row],[failurecost50_rating6]]+Table1567891112[[#This Row],[failurecost10_rating6]])</f>
        <v>9.0216135615046653</v>
      </c>
      <c r="JW2" s="1">
        <f>(Table1567891112[[#This Row],[failurecost500_rating7]]+Table1567891112[[#This Row],[failurecost100_rating7]]+Table1567891112[[#This Row],[failurecost50_rating7]]+Table1567891112[[#This Row],[failurecost10_rating7]])</f>
        <v>9.0216135615046653</v>
      </c>
      <c r="JX2" s="1">
        <f>(Table1567891112[[#This Row],[failurecost500_rating8]]+Table1567891112[[#This Row],[failurecost100_rating8]]+Table1567891112[[#This Row],[failurecost50_rating8]]+Table1567891112[[#This Row],[failurecost10_rating8]])</f>
        <v>0.20048030136677034</v>
      </c>
      <c r="JY2" s="1">
        <f>(Table1567891112[[#This Row],[failurecost500_rating9]]+Table1567891112[[#This Row],[failurecost100_rating9]]+Table1567891112[[#This Row],[failurecost50_rating9]]+Table1567891112[[#This Row],[failurecost10_rating9]])</f>
        <v>0.12530018835423146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Table1567891112[[#This Row],[Depth10_Soil_vol]]*(9.353+9.027)+(Table1567891112[[#This Row],[Depth10_Soil_vol]]/2.5)*20*1.053+(PI()*Table1567891112[[#This Row],[Depth10_Scour]])*Table1567891112[[#This Row],[DECK_WIDTH_MT_052]]*1.062</f>
        <v>0</v>
      </c>
      <c r="AR3" s="1">
        <f>Table1567891112[[#This Row],[Depth50_Soil_vol]]*(9.353+9.027)+(Table1567891112[[#This Row],[Depth50_Soil_vol]]/2.5)*20*1.053+(PI()*Table1567891112[[#This Row],[Depth50_Scour]])*Table1567891112[[#This Row],[DECK_WIDTH_MT_052]]*1.062</f>
        <v>9520.728233804819</v>
      </c>
      <c r="AS3" s="1">
        <f>Table1567891112[[#This Row],[Depth100_Soil_vol]]*(9.353+9.027)+(Table1567891112[[#This Row],[Depth100_Soil_vol]]/2.5)*20*1.053+(PI()*Table1567891112[[#This Row],[Depth100_Scour]])*Table1567891112[[#This Row],[DECK_WIDTH_MT_052]]*1.062</f>
        <v>9985.7559384332872</v>
      </c>
      <c r="AT3" s="1">
        <f>Table1567891112[[#This Row],[Depth500_Soil_vol]]*(9.353+9.027)+(Table1567891112[[#This Row],[Depth500_Soil_vol]]/2.5)*20*1.053+(PI()*Table1567891112[[#This Row],[Depth500_Scour]])*Table1567891112[[#This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3" s="1">
        <v>22.814474485446663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20279.532875952587</v>
      </c>
      <c r="GM3" s="1">
        <f>Sheet4!R33*$GF3*1000000</f>
        <v>11407.237242723331</v>
      </c>
      <c r="GN3" s="1">
        <f>Sheet4!S33*$GF3*1000000</f>
        <v>7300.6318353429333</v>
      </c>
      <c r="GO3" s="1">
        <f>Sheet4!T33*$GF3*1000000</f>
        <v>5069.8832189881468</v>
      </c>
      <c r="GP3" s="1">
        <f>Sheet4!U33*$GF3*1000000</f>
        <v>3724.8121608892502</v>
      </c>
      <c r="GQ3" s="1">
        <f>Sheet4!V33*$GF3*1000000</f>
        <v>2851.8093106808328</v>
      </c>
      <c r="GR3" s="1">
        <f>Sheet4!W33*$GF3*1000000</f>
        <v>2253.2814306613986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0.01</v>
      </c>
      <c r="HF3" s="1">
        <v>1.25E-3</v>
      </c>
      <c r="HG3" s="1">
        <v>2.7500000000000002E-4</v>
      </c>
      <c r="HH3" s="1">
        <v>1E-4</v>
      </c>
      <c r="HI3" s="1">
        <v>1.7499999999999998E-5</v>
      </c>
      <c r="HJ3" s="1">
        <v>4.5000000000000001E-6</v>
      </c>
      <c r="HK3" s="1">
        <v>4.5000000000000001E-6</v>
      </c>
      <c r="HL3" s="1">
        <v>9.9999999999999995E-8</v>
      </c>
      <c r="HM3" s="1">
        <v>6.2499999999999997E-8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Table1567891112[[#This Row],[Total_Cost_MUSD]]*1000000*Table1567891112[[#This Row],[prob500-failure_rating1]]/500</f>
        <v>456.28948970893322</v>
      </c>
      <c r="IG3" s="1">
        <f>Table1567891112[[#This Row],[Total_Cost_MUSD]]*1000000*Table1567891112[[#This Row],[prob500-failure_rating2]]/500</f>
        <v>228.14474485446661</v>
      </c>
      <c r="IH3" s="1">
        <f>Table1567891112[[#This Row],[Total_Cost_MUSD]]*1000000*Table1567891112[[#This Row],[prob500-failure_rating3]]/500</f>
        <v>50.191843867982655</v>
      </c>
      <c r="II3" s="1">
        <f>Table1567891112[[#This Row],[Total_Cost_MUSD]]*1000000*Table1567891112[[#This Row],[prob500-failure_rating4]]/500</f>
        <v>18.25157958835733</v>
      </c>
      <c r="IJ3" s="1">
        <f>Table1567891112[[#This Row],[Total_Cost_MUSD]]*1000000*Table1567891112[[#This Row],[prob500-failure_rating5]]/500</f>
        <v>3.1940264279625326</v>
      </c>
      <c r="IK3" s="1">
        <f>Table1567891112[[#This Row],[Total_Cost_MUSD]]*1000000*Table1567891112[[#This Row],[prob500-failure_rating6]]/500</f>
        <v>0.82132108147607985</v>
      </c>
      <c r="IL3" s="1">
        <f>Table1567891112[[#This Row],[Total_Cost_MUSD]]*1000000*Table1567891112[[#This Row],[prob500-failure_rating7]]/500</f>
        <v>0.82132108147607985</v>
      </c>
      <c r="IM3" s="1">
        <f>Table1567891112[[#This Row],[Total_Cost_MUSD]]*1000000*Table1567891112[[#This Row],[prob500-failure_rating8]]/500</f>
        <v>1.8251579588357329E-2</v>
      </c>
      <c r="IN3" s="1">
        <f>Table1567891112[[#This Row],[Total_Cost_MUSD]]*1000000*Table1567891112[[#This Row],[prob500-failure_rating9]]/500</f>
        <v>1.140723724272333E-2</v>
      </c>
      <c r="IO3" s="1">
        <f>Table1567891112[[#This Row],[Total_Cost_MUSD]]*1000000*Table1567891112[[#This Row],[prob100-failure_rating1]]/100</f>
        <v>2281.4474485446663</v>
      </c>
      <c r="IP3" s="1">
        <f>Table1567891112[[#This Row],[Total_Cost_MUSD]]*1000000*Table1567891112[[#This Row],[prob100-failure_rating2]]/100</f>
        <v>285.18093106808328</v>
      </c>
      <c r="IQ3" s="1">
        <f>Table1567891112[[#This Row],[Total_Cost_MUSD]]*1000000*Table1567891112[[#This Row],[prob100-failure_rating3]]/100</f>
        <v>62.739804834978322</v>
      </c>
      <c r="IR3" s="1">
        <f>Table1567891112[[#This Row],[Total_Cost_MUSD]]*1000000*Table1567891112[[#This Row],[prob100-failure_rating4]]/100</f>
        <v>22.814474485446663</v>
      </c>
      <c r="IS3" s="1">
        <f>Table1567891112[[#This Row],[Total_Cost_MUSD]]*1000000*Table1567891112[[#This Row],[prob100-failure_rating5]]/100</f>
        <v>3.9925330349531656</v>
      </c>
      <c r="IT3" s="1">
        <f>Table1567891112[[#This Row],[Total_Cost_MUSD]]*1000000*Table1567891112[[#This Row],[prob100-failure_rating6]]/100</f>
        <v>1.0266513518450997</v>
      </c>
      <c r="IU3" s="1">
        <f>Table1567891112[[#This Row],[Total_Cost_MUSD]]*1000000*Table1567891112[[#This Row],[prob100-failure_rating7]]/100</f>
        <v>1.0266513518450997</v>
      </c>
      <c r="IV3" s="1">
        <f>Table1567891112[[#This Row],[Total_Cost_MUSD]]*1000000*Table1567891112[[#This Row],[prob100-failure_rating8]]/100</f>
        <v>2.281447448544666E-2</v>
      </c>
      <c r="IW3" s="1">
        <f>Table1567891112[[#This Row],[Total_Cost_MUSD]]*1000000*Table1567891112[[#This Row],[prob100-failure_rating9]]/100</f>
        <v>1.4259046553404162E-2</v>
      </c>
      <c r="IX3" s="1">
        <f>Table1567891112[[#This Row],[Total_Cost_MUSD]]*1000000*Table1567891112[[#This Row],[prob50-failure_rating1]]/50</f>
        <v>4562.8948970893325</v>
      </c>
      <c r="IY3" s="1">
        <f>Table1567891112[[#This Row],[Total_Cost_MUSD]]*1000000*Table1567891112[[#This Row],[prob50-failure_rating2]]/50</f>
        <v>380.24124142411108</v>
      </c>
      <c r="IZ3" s="1">
        <f>Table1567891112[[#This Row],[Total_Cost_MUSD]]*1000000*Table1567891112[[#This Row],[prob50-failure_rating3]]/50</f>
        <v>83.65307311330443</v>
      </c>
      <c r="JA3" s="1">
        <f>Table1567891112[[#This Row],[Total_Cost_MUSD]]*1000000*Table1567891112[[#This Row],[prob50-failure_rating4]]/50</f>
        <v>30.419299313928882</v>
      </c>
      <c r="JB3" s="1">
        <f>Table1567891112[[#This Row],[Total_Cost_MUSD]]*1000000*Table1567891112[[#This Row],[prob50-failure_rating5]]/50</f>
        <v>5.323377379937555</v>
      </c>
      <c r="JC3" s="1">
        <f>Table1567891112[[#This Row],[Total_Cost_MUSD]]*1000000*Table1567891112[[#This Row],[prob50-failure_rating6]]/50</f>
        <v>1.3688684691267996</v>
      </c>
      <c r="JD3" s="1">
        <f>Table1567891112[[#This Row],[Total_Cost_MUSD]]*1000000*Table1567891112[[#This Row],[prob50-failure_rating7]]/50</f>
        <v>1.3688684691267996</v>
      </c>
      <c r="JE3" s="1">
        <f>Table1567891112[[#This Row],[Total_Cost_MUSD]]*1000000*Table1567891112[[#This Row],[prob50-failure_rating8]]/50</f>
        <v>3.0419299313928883E-2</v>
      </c>
      <c r="JF3" s="1">
        <f>Table1567891112[[#This Row],[Total_Cost_MUSD]]*1000000*Table1567891112[[#This Row],[prob50-failure_rating9]]/50</f>
        <v>1.9012062071205548E-2</v>
      </c>
      <c r="JG3" s="1">
        <f>Table1567891112[[#This Row],[Total_Cost_MUSD]]*1000000*Table1567891112[[#This Row],[prob10-failure_rating1]]/10</f>
        <v>22814.474485446663</v>
      </c>
      <c r="JH3" s="1">
        <f>Table1567891112[[#This Row],[Total_Cost_MUSD]]*1000000*Table1567891112[[#This Row],[prob10-failure_rating2]]/10</f>
        <v>1140.7237242723331</v>
      </c>
      <c r="JI3" s="1">
        <f>Table1567891112[[#This Row],[Total_Cost_MUSD]]*1000000*Table1567891112[[#This Row],[prob10-failure_rating3]]/10</f>
        <v>250.95921933991332</v>
      </c>
      <c r="JJ3" s="1">
        <f>Table1567891112[[#This Row],[Total_Cost_MUSD]]*1000000*Table1567891112[[#This Row],[prob10-failure_rating4]]/10</f>
        <v>91.257897941786652</v>
      </c>
      <c r="JK3" s="1">
        <f>Table1567891112[[#This Row],[Total_Cost_MUSD]]*1000000*Table1567891112[[#This Row],[prob10-failure_rating5]]/10</f>
        <v>15.970132139812662</v>
      </c>
      <c r="JL3" s="1">
        <f>Table1567891112[[#This Row],[Total_Cost_MUSD]]*1000000*Table1567891112[[#This Row],[prob10-failure_rating6]]/10</f>
        <v>4.1066054073803997</v>
      </c>
      <c r="JM3" s="1">
        <f>Table1567891112[[#This Row],[Total_Cost_MUSD]]*1000000*Table1567891112[[#This Row],[prob10-failure_rating7]]/10</f>
        <v>4.1066054073803997</v>
      </c>
      <c r="JN3" s="1">
        <f>Table1567891112[[#This Row],[Total_Cost_MUSD]]*1000000*Table1567891112[[#This Row],[prob10-failure_rating8]]/10</f>
        <v>9.1257897941786653E-2</v>
      </c>
      <c r="JO3" s="1">
        <f>Table1567891112[[#This Row],[Total_Cost_MUSD]]*1000000*Table1567891112[[#This Row],[prob10-failure_rating9]]/10</f>
        <v>5.7036186213616648E-2</v>
      </c>
      <c r="JP3" s="1">
        <f>Table1567891112[[#This Row],[FailureCost_Rating1]]</f>
        <v>2034.290641618994</v>
      </c>
      <c r="JQ3" s="1">
        <f>Table1567891112[[#This Row],[FailureCost_Rating2]]</f>
        <v>2034.290641618994</v>
      </c>
      <c r="JR3" s="1">
        <f>(Table1567891112[[#This Row],[failurecost500_rating2]]+Table1567891112[[#This Row],[failurecost100_rating2]]+Table1567891112[[#This Row],[failurecost50_rating2]]+Table1567891112[[#This Row],[failurecost10_rating2]])</f>
        <v>2034.290641618994</v>
      </c>
      <c r="JS3" s="1">
        <f>(Table1567891112[[#This Row],[failurecost500_rating3]]+Table1567891112[[#This Row],[failurecost100_rating3]]+Table1567891112[[#This Row],[failurecost50_rating3]]+Table1567891112[[#This Row],[failurecost10_rating3]])</f>
        <v>447.54394115617873</v>
      </c>
      <c r="JT3" s="1">
        <f>(Table1567891112[[#This Row],[failurecost500_rating4]]+Table1567891112[[#This Row],[failurecost100_rating4]]+Table1567891112[[#This Row],[failurecost50_rating4]]+Table1567891112[[#This Row],[failurecost10_rating4]])</f>
        <v>162.74325132951952</v>
      </c>
      <c r="JU3" s="1">
        <f>(Table1567891112[[#This Row],[failurecost500_rating5]]+Table1567891112[[#This Row],[failurecost100_rating5]]+Table1567891112[[#This Row],[failurecost50_rating5]]+Table1567891112[[#This Row],[failurecost10_rating5]])</f>
        <v>28.480068982665916</v>
      </c>
      <c r="JV3" s="1">
        <f>(Table1567891112[[#This Row],[failurecost500_rating6]]+Table1567891112[[#This Row],[failurecost100_rating6]]+Table1567891112[[#This Row],[failurecost50_rating6]]+Table1567891112[[#This Row],[failurecost10_rating6]])</f>
        <v>7.3234463098283786</v>
      </c>
      <c r="JW3" s="1">
        <f>(Table1567891112[[#This Row],[failurecost500_rating7]]+Table1567891112[[#This Row],[failurecost100_rating7]]+Table1567891112[[#This Row],[failurecost50_rating7]]+Table1567891112[[#This Row],[failurecost10_rating7]])</f>
        <v>7.3234463098283786</v>
      </c>
      <c r="JX3" s="1">
        <f>(Table1567891112[[#This Row],[failurecost500_rating8]]+Table1567891112[[#This Row],[failurecost100_rating8]]+Table1567891112[[#This Row],[failurecost50_rating8]]+Table1567891112[[#This Row],[failurecost10_rating8]])</f>
        <v>0.16274325132951953</v>
      </c>
      <c r="JY3" s="1">
        <f>(Table1567891112[[#This Row],[failurecost500_rating9]]+Table1567891112[[#This Row],[failurecost100_rating9]]+Table1567891112[[#This Row],[failurecost50_rating9]]+Table1567891112[[#This Row],[failurecost10_rating9]])</f>
        <v>0.10171453208094969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Table1567891112[[#This Row],[Depth10_Soil_vol]]*(9.353+9.027)+(Table1567891112[[#This Row],[Depth10_Soil_vol]]/2.5)*20*1.053+(PI()*Table1567891112[[#This Row],[Depth10_Scour]])*Table1567891112[[#This Row],[DECK_WIDTH_MT_052]]*1.062</f>
        <v>0</v>
      </c>
      <c r="AR4" s="1">
        <f>Table1567891112[[#This Row],[Depth50_Soil_vol]]*(9.353+9.027)+(Table1567891112[[#This Row],[Depth50_Soil_vol]]/2.5)*20*1.053+(PI()*Table1567891112[[#This Row],[Depth50_Scour]])*Table1567891112[[#This Row],[DECK_WIDTH_MT_052]]*1.062</f>
        <v>5183.5345730170238</v>
      </c>
      <c r="AS4" s="1">
        <f>Table1567891112[[#This Row],[Depth100_Soil_vol]]*(9.353+9.027)+(Table1567891112[[#This Row],[Depth100_Soil_vol]]/2.5)*20*1.053+(PI()*Table1567891112[[#This Row],[Depth100_Scour]])*Table1567891112[[#This Row],[DECK_WIDTH_MT_052]]*1.062</f>
        <v>5452.2219529566692</v>
      </c>
      <c r="AT4" s="1">
        <f>Table1567891112[[#This Row],[Depth500_Soil_vol]]*(9.353+9.027)+(Table1567891112[[#This Row],[Depth500_Soil_vol]]/2.5)*20*1.053+(PI()*Table1567891112[[#This Row],[Depth500_Scour]])*Table1567891112[[#This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9.6000000000000002E-2</v>
      </c>
      <c r="GF4" s="1">
        <v>37.313945862443887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33167.951877727901</v>
      </c>
      <c r="GM4" s="1">
        <f>Sheet4!R34*$GF4*1000000</f>
        <v>18656.972931221942</v>
      </c>
      <c r="GN4" s="1">
        <f>Sheet4!S34*$GF4*1000000</f>
        <v>11940.462675982048</v>
      </c>
      <c r="GO4" s="1">
        <f>Sheet4!T34*$GF4*1000000</f>
        <v>8291.9879694319752</v>
      </c>
      <c r="GP4" s="1">
        <f>Sheet4!U34*$GF4*1000000</f>
        <v>6092.0727938683904</v>
      </c>
      <c r="GQ4" s="1">
        <f>Sheet4!V34*$GF4*1000000</f>
        <v>4664.2432328054856</v>
      </c>
      <c r="GR4" s="1">
        <f>Sheet4!W34*$GF4*1000000</f>
        <v>3685.3279864142114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0.01</v>
      </c>
      <c r="HF4" s="1">
        <v>1.25E-3</v>
      </c>
      <c r="HG4" s="1">
        <v>2.7500000000000002E-4</v>
      </c>
      <c r="HH4" s="1">
        <v>1E-4</v>
      </c>
      <c r="HI4" s="1">
        <v>1.7499999999999998E-5</v>
      </c>
      <c r="HJ4" s="1">
        <v>4.5000000000000001E-6</v>
      </c>
      <c r="HK4" s="1">
        <v>4.5000000000000001E-6</v>
      </c>
      <c r="HL4" s="1">
        <v>9.9999999999999995E-8</v>
      </c>
      <c r="HM4" s="1">
        <v>6.2499999999999997E-8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Table1567891112[[#This Row],[Total_Cost_MUSD]]*1000000*Table1567891112[[#This Row],[prob500-failure_rating1]]/500</f>
        <v>746.27891724887775</v>
      </c>
      <c r="IG4" s="1">
        <f>Table1567891112[[#This Row],[Total_Cost_MUSD]]*1000000*Table1567891112[[#This Row],[prob500-failure_rating2]]/500</f>
        <v>373.13945862443887</v>
      </c>
      <c r="IH4" s="1">
        <f>Table1567891112[[#This Row],[Total_Cost_MUSD]]*1000000*Table1567891112[[#This Row],[prob500-failure_rating3]]/500</f>
        <v>82.090680897376558</v>
      </c>
      <c r="II4" s="1">
        <f>Table1567891112[[#This Row],[Total_Cost_MUSD]]*1000000*Table1567891112[[#This Row],[prob500-failure_rating4]]/500</f>
        <v>29.851156689955111</v>
      </c>
      <c r="IJ4" s="1">
        <f>Table1567891112[[#This Row],[Total_Cost_MUSD]]*1000000*Table1567891112[[#This Row],[prob500-failure_rating5]]/500</f>
        <v>5.2239524207421439</v>
      </c>
      <c r="IK4" s="1">
        <f>Table1567891112[[#This Row],[Total_Cost_MUSD]]*1000000*Table1567891112[[#This Row],[prob500-failure_rating6]]/500</f>
        <v>1.3433020510479801</v>
      </c>
      <c r="IL4" s="1">
        <f>Table1567891112[[#This Row],[Total_Cost_MUSD]]*1000000*Table1567891112[[#This Row],[prob500-failure_rating7]]/500</f>
        <v>1.3433020510479801</v>
      </c>
      <c r="IM4" s="1">
        <f>Table1567891112[[#This Row],[Total_Cost_MUSD]]*1000000*Table1567891112[[#This Row],[prob500-failure_rating8]]/500</f>
        <v>2.9851156689955107E-2</v>
      </c>
      <c r="IN4" s="1">
        <f>Table1567891112[[#This Row],[Total_Cost_MUSD]]*1000000*Table1567891112[[#This Row],[prob500-failure_rating9]]/500</f>
        <v>1.8656972931221944E-2</v>
      </c>
      <c r="IO4" s="1">
        <f>Table1567891112[[#This Row],[Total_Cost_MUSD]]*1000000*Table1567891112[[#This Row],[prob100-failure_rating1]]/100</f>
        <v>3731.3945862443884</v>
      </c>
      <c r="IP4" s="1">
        <f>Table1567891112[[#This Row],[Total_Cost_MUSD]]*1000000*Table1567891112[[#This Row],[prob100-failure_rating2]]/100</f>
        <v>466.42432328054855</v>
      </c>
      <c r="IQ4" s="1">
        <f>Table1567891112[[#This Row],[Total_Cost_MUSD]]*1000000*Table1567891112[[#This Row],[prob100-failure_rating3]]/100</f>
        <v>102.6133511217207</v>
      </c>
      <c r="IR4" s="1">
        <f>Table1567891112[[#This Row],[Total_Cost_MUSD]]*1000000*Table1567891112[[#This Row],[prob100-failure_rating4]]/100</f>
        <v>37.313945862443887</v>
      </c>
      <c r="IS4" s="1">
        <f>Table1567891112[[#This Row],[Total_Cost_MUSD]]*1000000*Table1567891112[[#This Row],[prob100-failure_rating5]]/100</f>
        <v>6.5299405259276799</v>
      </c>
      <c r="IT4" s="1">
        <f>Table1567891112[[#This Row],[Total_Cost_MUSD]]*1000000*Table1567891112[[#This Row],[prob100-failure_rating6]]/100</f>
        <v>1.679127563809975</v>
      </c>
      <c r="IU4" s="1">
        <f>Table1567891112[[#This Row],[Total_Cost_MUSD]]*1000000*Table1567891112[[#This Row],[prob100-failure_rating7]]/100</f>
        <v>1.679127563809975</v>
      </c>
      <c r="IV4" s="1">
        <f>Table1567891112[[#This Row],[Total_Cost_MUSD]]*1000000*Table1567891112[[#This Row],[prob100-failure_rating8]]/100</f>
        <v>3.7313945862443881E-2</v>
      </c>
      <c r="IW4" s="1">
        <f>Table1567891112[[#This Row],[Total_Cost_MUSD]]*1000000*Table1567891112[[#This Row],[prob100-failure_rating9]]/100</f>
        <v>2.3321216164027429E-2</v>
      </c>
      <c r="IX4" s="1">
        <f>Table1567891112[[#This Row],[Total_Cost_MUSD]]*1000000*Table1567891112[[#This Row],[prob50-failure_rating1]]/50</f>
        <v>7462.7891724887768</v>
      </c>
      <c r="IY4" s="1">
        <f>Table1567891112[[#This Row],[Total_Cost_MUSD]]*1000000*Table1567891112[[#This Row],[prob50-failure_rating2]]/50</f>
        <v>621.89909770739814</v>
      </c>
      <c r="IZ4" s="1">
        <f>Table1567891112[[#This Row],[Total_Cost_MUSD]]*1000000*Table1567891112[[#This Row],[prob50-failure_rating3]]/50</f>
        <v>136.81780149562758</v>
      </c>
      <c r="JA4" s="1">
        <f>Table1567891112[[#This Row],[Total_Cost_MUSD]]*1000000*Table1567891112[[#This Row],[prob50-failure_rating4]]/50</f>
        <v>49.751927816591852</v>
      </c>
      <c r="JB4" s="1">
        <f>Table1567891112[[#This Row],[Total_Cost_MUSD]]*1000000*Table1567891112[[#This Row],[prob50-failure_rating5]]/50</f>
        <v>8.7065873679035732</v>
      </c>
      <c r="JC4" s="1">
        <f>Table1567891112[[#This Row],[Total_Cost_MUSD]]*1000000*Table1567891112[[#This Row],[prob50-failure_rating6]]/50</f>
        <v>2.2388367517466334</v>
      </c>
      <c r="JD4" s="1">
        <f>Table1567891112[[#This Row],[Total_Cost_MUSD]]*1000000*Table1567891112[[#This Row],[prob50-failure_rating7]]/50</f>
        <v>2.2388367517466334</v>
      </c>
      <c r="JE4" s="1">
        <f>Table1567891112[[#This Row],[Total_Cost_MUSD]]*1000000*Table1567891112[[#This Row],[prob50-failure_rating8]]/50</f>
        <v>4.9751927816591851E-2</v>
      </c>
      <c r="JF4" s="1">
        <f>Table1567891112[[#This Row],[Total_Cost_MUSD]]*1000000*Table1567891112[[#This Row],[prob50-failure_rating9]]/50</f>
        <v>3.1094954885369903E-2</v>
      </c>
      <c r="JG4" s="1">
        <f>Table1567891112[[#This Row],[Total_Cost_MUSD]]*1000000*Table1567891112[[#This Row],[prob10-failure_rating1]]/10</f>
        <v>37313.945862443885</v>
      </c>
      <c r="JH4" s="1">
        <f>Table1567891112[[#This Row],[Total_Cost_MUSD]]*1000000*Table1567891112[[#This Row],[prob10-failure_rating2]]/10</f>
        <v>1865.6972931221942</v>
      </c>
      <c r="JI4" s="1">
        <f>Table1567891112[[#This Row],[Total_Cost_MUSD]]*1000000*Table1567891112[[#This Row],[prob10-failure_rating3]]/10</f>
        <v>410.45340448688273</v>
      </c>
      <c r="JJ4" s="1">
        <f>Table1567891112[[#This Row],[Total_Cost_MUSD]]*1000000*Table1567891112[[#This Row],[prob10-failure_rating4]]/10</f>
        <v>149.25578344977555</v>
      </c>
      <c r="JK4" s="1">
        <f>Table1567891112[[#This Row],[Total_Cost_MUSD]]*1000000*Table1567891112[[#This Row],[prob10-failure_rating5]]/10</f>
        <v>26.11976210371072</v>
      </c>
      <c r="JL4" s="1">
        <f>Table1567891112[[#This Row],[Total_Cost_MUSD]]*1000000*Table1567891112[[#This Row],[prob10-failure_rating6]]/10</f>
        <v>6.7165102552399008</v>
      </c>
      <c r="JM4" s="1">
        <f>Table1567891112[[#This Row],[Total_Cost_MUSD]]*1000000*Table1567891112[[#This Row],[prob10-failure_rating7]]/10</f>
        <v>6.7165102552399008</v>
      </c>
      <c r="JN4" s="1">
        <f>Table1567891112[[#This Row],[Total_Cost_MUSD]]*1000000*Table1567891112[[#This Row],[prob10-failure_rating8]]/10</f>
        <v>0.14925578344977555</v>
      </c>
      <c r="JO4" s="1">
        <f>Table1567891112[[#This Row],[Total_Cost_MUSD]]*1000000*Table1567891112[[#This Row],[prob10-failure_rating9]]/10</f>
        <v>9.3284864656109717E-2</v>
      </c>
      <c r="JP4" s="1">
        <f>Table1567891112[[#This Row],[FailureCost_Rating1]]</f>
        <v>3327.1601727345796</v>
      </c>
      <c r="JQ4" s="1">
        <f>Table1567891112[[#This Row],[FailureCost_Rating2]]</f>
        <v>3327.1601727345796</v>
      </c>
      <c r="JR4" s="1">
        <f>(Table1567891112[[#This Row],[failurecost500_rating2]]+Table1567891112[[#This Row],[failurecost100_rating2]]+Table1567891112[[#This Row],[failurecost50_rating2]]+Table1567891112[[#This Row],[failurecost10_rating2]])</f>
        <v>3327.1601727345796</v>
      </c>
      <c r="JS4" s="1">
        <f>(Table1567891112[[#This Row],[failurecost500_rating3]]+Table1567891112[[#This Row],[failurecost100_rating3]]+Table1567891112[[#This Row],[failurecost50_rating3]]+Table1567891112[[#This Row],[failurecost10_rating3]])</f>
        <v>731.97523800160752</v>
      </c>
      <c r="JT4" s="1">
        <f>(Table1567891112[[#This Row],[failurecost500_rating4]]+Table1567891112[[#This Row],[failurecost100_rating4]]+Table1567891112[[#This Row],[failurecost50_rating4]]+Table1567891112[[#This Row],[failurecost10_rating4]])</f>
        <v>266.17281381876637</v>
      </c>
      <c r="JU4" s="1">
        <f>(Table1567891112[[#This Row],[failurecost500_rating5]]+Table1567891112[[#This Row],[failurecost100_rating5]]+Table1567891112[[#This Row],[failurecost50_rating5]]+Table1567891112[[#This Row],[failurecost10_rating5]])</f>
        <v>46.580242418284115</v>
      </c>
      <c r="JV4" s="1">
        <f>(Table1567891112[[#This Row],[failurecost500_rating6]]+Table1567891112[[#This Row],[failurecost100_rating6]]+Table1567891112[[#This Row],[failurecost50_rating6]]+Table1567891112[[#This Row],[failurecost10_rating6]])</f>
        <v>11.977776621844489</v>
      </c>
      <c r="JW4" s="1">
        <f>(Table1567891112[[#This Row],[failurecost500_rating7]]+Table1567891112[[#This Row],[failurecost100_rating7]]+Table1567891112[[#This Row],[failurecost50_rating7]]+Table1567891112[[#This Row],[failurecost10_rating7]])</f>
        <v>11.977776621844489</v>
      </c>
      <c r="JX4" s="1">
        <f>(Table1567891112[[#This Row],[failurecost500_rating8]]+Table1567891112[[#This Row],[failurecost100_rating8]]+Table1567891112[[#This Row],[failurecost50_rating8]]+Table1567891112[[#This Row],[failurecost10_rating8]])</f>
        <v>0.2661728138187664</v>
      </c>
      <c r="JY4" s="1">
        <f>(Table1567891112[[#This Row],[failurecost500_rating9]]+Table1567891112[[#This Row],[failurecost100_rating9]]+Table1567891112[[#This Row],[failurecost50_rating9]]+Table1567891112[[#This Row],[failurecost10_rating9]])</f>
        <v>0.166358008636729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Table1567891112[[#This Row],[Depth10_Soil_vol]]*(9.353+9.027)+(Table1567891112[[#This Row],[Depth10_Soil_vol]]/2.5)*20*1.053+(PI()*Table1567891112[[#This Row],[Depth10_Scour]])*Table1567891112[[#This Row],[DECK_WIDTH_MT_052]]*1.062</f>
        <v>0</v>
      </c>
      <c r="AR5" s="1">
        <f>Table1567891112[[#This Row],[Depth50_Soil_vol]]*(9.353+9.027)+(Table1567891112[[#This Row],[Depth50_Soil_vol]]/2.5)*20*1.053+(PI()*Table1567891112[[#This Row],[Depth50_Scour]])*Table1567891112[[#This Row],[DECK_WIDTH_MT_052]]*1.062</f>
        <v>8698.4034732067958</v>
      </c>
      <c r="AS5" s="1">
        <f>Table1567891112[[#This Row],[Depth100_Soil_vol]]*(9.353+9.027)+(Table1567891112[[#This Row],[Depth100_Soil_vol]]/2.5)*20*1.053+(PI()*Table1567891112[[#This Row],[Depth100_Scour]])*Table1567891112[[#This Row],[DECK_WIDTH_MT_052]]*1.062</f>
        <v>10436.848001870483</v>
      </c>
      <c r="AT5" s="1">
        <f>Table1567891112[[#This Row],[Depth500_Soil_vol]]*(9.353+9.027)+(Table1567891112[[#This Row],[Depth500_Soil_vol]]/2.5)*20*1.053+(PI()*Table1567891112[[#This Row],[Depth500_Scour]])*Table1567891112[[#This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9.6000000000000002E-2</v>
      </c>
      <c r="GF5" s="1">
        <v>19.968496417069638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17749.774592950787</v>
      </c>
      <c r="GM5" s="1">
        <f>Sheet4!R35*$GF5*1000000</f>
        <v>9984.2482085348202</v>
      </c>
      <c r="GN5" s="1">
        <f>Sheet4!S35*$GF5*1000000</f>
        <v>6389.9188534622854</v>
      </c>
      <c r="GO5" s="1">
        <f>Sheet4!T35*$GF5*1000000</f>
        <v>4437.4436482376968</v>
      </c>
      <c r="GP5" s="1">
        <f>Sheet4!U35*$GF5*1000000</f>
        <v>3260.1626803379004</v>
      </c>
      <c r="GQ5" s="1">
        <f>Sheet4!V35*$GF5*1000000</f>
        <v>2496.062052133705</v>
      </c>
      <c r="GR5" s="1">
        <f>Sheet4!W35*$GF5*1000000</f>
        <v>1972.1971769945321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0.01</v>
      </c>
      <c r="HF5" s="1">
        <v>1.25E-3</v>
      </c>
      <c r="HG5" s="1">
        <v>2.7500000000000002E-4</v>
      </c>
      <c r="HH5" s="1">
        <v>1E-4</v>
      </c>
      <c r="HI5" s="1">
        <v>1.7499999999999998E-5</v>
      </c>
      <c r="HJ5" s="1">
        <v>4.5000000000000001E-6</v>
      </c>
      <c r="HK5" s="1">
        <v>4.5000000000000001E-6</v>
      </c>
      <c r="HL5" s="1">
        <v>9.9999999999999995E-8</v>
      </c>
      <c r="HM5" s="1">
        <v>6.2499999999999997E-8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Table1567891112[[#This Row],[Total_Cost_MUSD]]*1000000*Table1567891112[[#This Row],[prob500-failure_rating1]]/500</f>
        <v>399.36992834139272</v>
      </c>
      <c r="IG5" s="1">
        <f>Table1567891112[[#This Row],[Total_Cost_MUSD]]*1000000*Table1567891112[[#This Row],[prob500-failure_rating2]]/500</f>
        <v>199.68496417069636</v>
      </c>
      <c r="IH5" s="1">
        <f>Table1567891112[[#This Row],[Total_Cost_MUSD]]*1000000*Table1567891112[[#This Row],[prob500-failure_rating3]]/500</f>
        <v>43.930692117553207</v>
      </c>
      <c r="II5" s="1">
        <f>Table1567891112[[#This Row],[Total_Cost_MUSD]]*1000000*Table1567891112[[#This Row],[prob500-failure_rating4]]/500</f>
        <v>15.974797133655709</v>
      </c>
      <c r="IJ5" s="1">
        <f>Table1567891112[[#This Row],[Total_Cost_MUSD]]*1000000*Table1567891112[[#This Row],[prob500-failure_rating5]]/500</f>
        <v>2.7955894983897487</v>
      </c>
      <c r="IK5" s="1">
        <f>Table1567891112[[#This Row],[Total_Cost_MUSD]]*1000000*Table1567891112[[#This Row],[prob500-failure_rating6]]/500</f>
        <v>0.71886587101450694</v>
      </c>
      <c r="IL5" s="1">
        <f>Table1567891112[[#This Row],[Total_Cost_MUSD]]*1000000*Table1567891112[[#This Row],[prob500-failure_rating7]]/500</f>
        <v>0.71886587101450694</v>
      </c>
      <c r="IM5" s="1">
        <f>Table1567891112[[#This Row],[Total_Cost_MUSD]]*1000000*Table1567891112[[#This Row],[prob500-failure_rating8]]/500</f>
        <v>1.5974797133655707E-2</v>
      </c>
      <c r="IN5" s="1">
        <f>Table1567891112[[#This Row],[Total_Cost_MUSD]]*1000000*Table1567891112[[#This Row],[prob500-failure_rating9]]/500</f>
        <v>9.9842482085348173E-3</v>
      </c>
      <c r="IO5" s="1">
        <f>Table1567891112[[#This Row],[Total_Cost_MUSD]]*1000000*Table1567891112[[#This Row],[prob100-failure_rating1]]/100</f>
        <v>1996.8496417069637</v>
      </c>
      <c r="IP5" s="1">
        <f>Table1567891112[[#This Row],[Total_Cost_MUSD]]*1000000*Table1567891112[[#This Row],[prob100-failure_rating2]]/100</f>
        <v>249.60620521337046</v>
      </c>
      <c r="IQ5" s="1">
        <f>Table1567891112[[#This Row],[Total_Cost_MUSD]]*1000000*Table1567891112[[#This Row],[prob100-failure_rating3]]/100</f>
        <v>54.913365146941508</v>
      </c>
      <c r="IR5" s="1">
        <f>Table1567891112[[#This Row],[Total_Cost_MUSD]]*1000000*Table1567891112[[#This Row],[prob100-failure_rating4]]/100</f>
        <v>19.968496417069638</v>
      </c>
      <c r="IS5" s="1">
        <f>Table1567891112[[#This Row],[Total_Cost_MUSD]]*1000000*Table1567891112[[#This Row],[prob100-failure_rating5]]/100</f>
        <v>3.4944868729871859</v>
      </c>
      <c r="IT5" s="1">
        <f>Table1567891112[[#This Row],[Total_Cost_MUSD]]*1000000*Table1567891112[[#This Row],[prob100-failure_rating6]]/100</f>
        <v>0.89858233876813376</v>
      </c>
      <c r="IU5" s="1">
        <f>Table1567891112[[#This Row],[Total_Cost_MUSD]]*1000000*Table1567891112[[#This Row],[prob100-failure_rating7]]/100</f>
        <v>0.89858233876813376</v>
      </c>
      <c r="IV5" s="1">
        <f>Table1567891112[[#This Row],[Total_Cost_MUSD]]*1000000*Table1567891112[[#This Row],[prob100-failure_rating8]]/100</f>
        <v>1.9968496417069635E-2</v>
      </c>
      <c r="IW5" s="1">
        <f>Table1567891112[[#This Row],[Total_Cost_MUSD]]*1000000*Table1567891112[[#This Row],[prob100-failure_rating9]]/100</f>
        <v>1.2480310260668521E-2</v>
      </c>
      <c r="IX5" s="1">
        <f>Table1567891112[[#This Row],[Total_Cost_MUSD]]*1000000*Table1567891112[[#This Row],[prob50-failure_rating1]]/50</f>
        <v>3993.6992834139273</v>
      </c>
      <c r="IY5" s="1">
        <f>Table1567891112[[#This Row],[Total_Cost_MUSD]]*1000000*Table1567891112[[#This Row],[prob50-failure_rating2]]/50</f>
        <v>332.8082736178273</v>
      </c>
      <c r="IZ5" s="1">
        <f>Table1567891112[[#This Row],[Total_Cost_MUSD]]*1000000*Table1567891112[[#This Row],[prob50-failure_rating3]]/50</f>
        <v>73.217820195922002</v>
      </c>
      <c r="JA5" s="1">
        <f>Table1567891112[[#This Row],[Total_Cost_MUSD]]*1000000*Table1567891112[[#This Row],[prob50-failure_rating4]]/50</f>
        <v>26.624661889426182</v>
      </c>
      <c r="JB5" s="1">
        <f>Table1567891112[[#This Row],[Total_Cost_MUSD]]*1000000*Table1567891112[[#This Row],[prob50-failure_rating5]]/50</f>
        <v>4.6593158306495814</v>
      </c>
      <c r="JC5" s="1">
        <f>Table1567891112[[#This Row],[Total_Cost_MUSD]]*1000000*Table1567891112[[#This Row],[prob50-failure_rating6]]/50</f>
        <v>1.1981097850241782</v>
      </c>
      <c r="JD5" s="1">
        <f>Table1567891112[[#This Row],[Total_Cost_MUSD]]*1000000*Table1567891112[[#This Row],[prob50-failure_rating7]]/50</f>
        <v>1.1981097850241782</v>
      </c>
      <c r="JE5" s="1">
        <f>Table1567891112[[#This Row],[Total_Cost_MUSD]]*1000000*Table1567891112[[#This Row],[prob50-failure_rating8]]/50</f>
        <v>2.6624661889426183E-2</v>
      </c>
      <c r="JF5" s="1">
        <f>Table1567891112[[#This Row],[Total_Cost_MUSD]]*1000000*Table1567891112[[#This Row],[prob50-failure_rating9]]/50</f>
        <v>1.664041368089136E-2</v>
      </c>
      <c r="JG5" s="1">
        <f>Table1567891112[[#This Row],[Total_Cost_MUSD]]*1000000*Table1567891112[[#This Row],[prob10-failure_rating1]]/10</f>
        <v>19968.496417069637</v>
      </c>
      <c r="JH5" s="1">
        <f>Table1567891112[[#This Row],[Total_Cost_MUSD]]*1000000*Table1567891112[[#This Row],[prob10-failure_rating2]]/10</f>
        <v>998.42482085348183</v>
      </c>
      <c r="JI5" s="1">
        <f>Table1567891112[[#This Row],[Total_Cost_MUSD]]*1000000*Table1567891112[[#This Row],[prob10-failure_rating3]]/10</f>
        <v>219.65346058776601</v>
      </c>
      <c r="JJ5" s="1">
        <f>Table1567891112[[#This Row],[Total_Cost_MUSD]]*1000000*Table1567891112[[#This Row],[prob10-failure_rating4]]/10</f>
        <v>79.87398566827855</v>
      </c>
      <c r="JK5" s="1">
        <f>Table1567891112[[#This Row],[Total_Cost_MUSD]]*1000000*Table1567891112[[#This Row],[prob10-failure_rating5]]/10</f>
        <v>13.977947491948743</v>
      </c>
      <c r="JL5" s="1">
        <f>Table1567891112[[#This Row],[Total_Cost_MUSD]]*1000000*Table1567891112[[#This Row],[prob10-failure_rating6]]/10</f>
        <v>3.594329355072535</v>
      </c>
      <c r="JM5" s="1">
        <f>Table1567891112[[#This Row],[Total_Cost_MUSD]]*1000000*Table1567891112[[#This Row],[prob10-failure_rating7]]/10</f>
        <v>3.594329355072535</v>
      </c>
      <c r="JN5" s="1">
        <f>Table1567891112[[#This Row],[Total_Cost_MUSD]]*1000000*Table1567891112[[#This Row],[prob10-failure_rating8]]/10</f>
        <v>7.9873985668278552E-2</v>
      </c>
      <c r="JO5" s="1">
        <f>Table1567891112[[#This Row],[Total_Cost_MUSD]]*1000000*Table1567891112[[#This Row],[prob10-failure_rating9]]/10</f>
        <v>4.9921241042674085E-2</v>
      </c>
      <c r="JP5" s="1">
        <f>Table1567891112[[#This Row],[FailureCost_Rating1]]</f>
        <v>1780.5242638553759</v>
      </c>
      <c r="JQ5" s="1">
        <f>Table1567891112[[#This Row],[FailureCost_Rating2]]</f>
        <v>1780.5242638553759</v>
      </c>
      <c r="JR5" s="1">
        <f>(Table1567891112[[#This Row],[failurecost500_rating2]]+Table1567891112[[#This Row],[failurecost100_rating2]]+Table1567891112[[#This Row],[failurecost50_rating2]]+Table1567891112[[#This Row],[failurecost10_rating2]])</f>
        <v>1780.5242638553759</v>
      </c>
      <c r="JS5" s="1">
        <f>(Table1567891112[[#This Row],[failurecost500_rating3]]+Table1567891112[[#This Row],[failurecost100_rating3]]+Table1567891112[[#This Row],[failurecost50_rating3]]+Table1567891112[[#This Row],[failurecost10_rating3]])</f>
        <v>391.71533804818273</v>
      </c>
      <c r="JT5" s="1">
        <f>(Table1567891112[[#This Row],[failurecost500_rating4]]+Table1567891112[[#This Row],[failurecost100_rating4]]+Table1567891112[[#This Row],[failurecost50_rating4]]+Table1567891112[[#This Row],[failurecost10_rating4]])</f>
        <v>142.44194110843006</v>
      </c>
      <c r="JU5" s="1">
        <f>(Table1567891112[[#This Row],[failurecost500_rating5]]+Table1567891112[[#This Row],[failurecost100_rating5]]+Table1567891112[[#This Row],[failurecost50_rating5]]+Table1567891112[[#This Row],[failurecost10_rating5]])</f>
        <v>24.927339693975259</v>
      </c>
      <c r="JV5" s="1">
        <f>(Table1567891112[[#This Row],[failurecost500_rating6]]+Table1567891112[[#This Row],[failurecost100_rating6]]+Table1567891112[[#This Row],[failurecost50_rating6]]+Table1567891112[[#This Row],[failurecost10_rating6]])</f>
        <v>6.4098873498793534</v>
      </c>
      <c r="JW5" s="1">
        <f>(Table1567891112[[#This Row],[failurecost500_rating7]]+Table1567891112[[#This Row],[failurecost100_rating7]]+Table1567891112[[#This Row],[failurecost50_rating7]]+Table1567891112[[#This Row],[failurecost10_rating7]])</f>
        <v>6.4098873498793534</v>
      </c>
      <c r="JX5" s="1">
        <f>(Table1567891112[[#This Row],[failurecost500_rating8]]+Table1567891112[[#This Row],[failurecost100_rating8]]+Table1567891112[[#This Row],[failurecost50_rating8]]+Table1567891112[[#This Row],[failurecost10_rating8]])</f>
        <v>0.14244194110843006</v>
      </c>
      <c r="JY5" s="1">
        <f>(Table1567891112[[#This Row],[failurecost500_rating9]]+Table1567891112[[#This Row],[failurecost100_rating9]]+Table1567891112[[#This Row],[failurecost50_rating9]]+Table1567891112[[#This Row],[failurecost10_rating9]])</f>
        <v>8.9026213192768794E-2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Table1567891112[[#This Row],[Depth10_Soil_vol]]*(9.353+9.027)+(Table1567891112[[#This Row],[Depth10_Soil_vol]]/2.5)*20*1.053+(PI()*Table1567891112[[#This Row],[Depth10_Scour]])*Table1567891112[[#This Row],[DECK_WIDTH_MT_052]]*1.062</f>
        <v>16919.4190908581</v>
      </c>
      <c r="AR6" s="1">
        <f>Table1567891112[[#This Row],[Depth50_Soil_vol]]*(9.353+9.027)+(Table1567891112[[#This Row],[Depth50_Soil_vol]]/2.5)*20*1.053+(PI()*Table1567891112[[#This Row],[Depth50_Scour]])*Table1567891112[[#This Row],[DECK_WIDTH_MT_052]]*1.062</f>
        <v>18202.748839783562</v>
      </c>
      <c r="AS6" s="1">
        <f>Table1567891112[[#This Row],[Depth100_Soil_vol]]*(9.353+9.027)+(Table1567891112[[#This Row],[Depth100_Soil_vol]]/2.5)*20*1.053+(PI()*Table1567891112[[#This Row],[Depth100_Scour]])*Table1567891112[[#This Row],[DECK_WIDTH_MT_052]]*1.062</f>
        <v>18769.361851972091</v>
      </c>
      <c r="AT6" s="1">
        <f>Table1567891112[[#This Row],[Depth500_Soil_vol]]*(9.353+9.027)+(Table1567891112[[#This Row],[Depth500_Soil_vol]]/2.5)*20*1.053+(PI()*Table1567891112[[#This Row],[Depth500_Scour]])*Table1567891112[[#This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6" s="1">
        <v>27.37359488799763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24332.084344886774</v>
      </c>
      <c r="GM6" s="1">
        <f>Sheet4!R36*$GF6*1000000</f>
        <v>13686.797443998816</v>
      </c>
      <c r="GN6" s="1">
        <f>Sheet4!S36*$GF6*1000000</f>
        <v>8759.5503641592404</v>
      </c>
      <c r="GO6" s="1">
        <f>Sheet4!T36*$GF6*1000000</f>
        <v>6083.0210862216936</v>
      </c>
      <c r="GP6" s="1">
        <f>Sheet4!U36*$GF6*1000000</f>
        <v>4469.1583490608373</v>
      </c>
      <c r="GQ6" s="1">
        <f>Sheet4!V36*$GF6*1000000</f>
        <v>3421.6993609997039</v>
      </c>
      <c r="GR6" s="1">
        <f>Sheet4!W36*$GF6*1000000</f>
        <v>2703.5649272096421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0.01</v>
      </c>
      <c r="HF6" s="1">
        <v>1.25E-3</v>
      </c>
      <c r="HG6" s="1">
        <v>2.7500000000000002E-4</v>
      </c>
      <c r="HH6" s="1">
        <v>1E-4</v>
      </c>
      <c r="HI6" s="1">
        <v>1.7499999999999998E-5</v>
      </c>
      <c r="HJ6" s="1">
        <v>4.5000000000000001E-6</v>
      </c>
      <c r="HK6" s="1">
        <v>4.5000000000000001E-6</v>
      </c>
      <c r="HL6" s="1">
        <v>9.9999999999999995E-8</v>
      </c>
      <c r="HM6" s="1">
        <v>6.2499999999999997E-8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Table1567891112[[#This Row],[Total_Cost_MUSD]]*1000000*Table1567891112[[#This Row],[prob500-failure_rating1]]/500</f>
        <v>547.47189775995253</v>
      </c>
      <c r="IG6" s="1">
        <f>Table1567891112[[#This Row],[Total_Cost_MUSD]]*1000000*Table1567891112[[#This Row],[prob500-failure_rating2]]/500</f>
        <v>273.73594887997626</v>
      </c>
      <c r="IH6" s="1">
        <f>Table1567891112[[#This Row],[Total_Cost_MUSD]]*1000000*Table1567891112[[#This Row],[prob500-failure_rating3]]/500</f>
        <v>60.221908753594789</v>
      </c>
      <c r="II6" s="1">
        <f>Table1567891112[[#This Row],[Total_Cost_MUSD]]*1000000*Table1567891112[[#This Row],[prob500-failure_rating4]]/500</f>
        <v>21.898875910398107</v>
      </c>
      <c r="IJ6" s="1">
        <f>Table1567891112[[#This Row],[Total_Cost_MUSD]]*1000000*Table1567891112[[#This Row],[prob500-failure_rating5]]/500</f>
        <v>3.8323032843196678</v>
      </c>
      <c r="IK6" s="1">
        <f>Table1567891112[[#This Row],[Total_Cost_MUSD]]*1000000*Table1567891112[[#This Row],[prob500-failure_rating6]]/500</f>
        <v>0.9854494159679148</v>
      </c>
      <c r="IL6" s="1">
        <f>Table1567891112[[#This Row],[Total_Cost_MUSD]]*1000000*Table1567891112[[#This Row],[prob500-failure_rating7]]/500</f>
        <v>0.9854494159679148</v>
      </c>
      <c r="IM6" s="1">
        <f>Table1567891112[[#This Row],[Total_Cost_MUSD]]*1000000*Table1567891112[[#This Row],[prob500-failure_rating8]]/500</f>
        <v>2.1898875910398102E-2</v>
      </c>
      <c r="IN6" s="1">
        <f>Table1567891112[[#This Row],[Total_Cost_MUSD]]*1000000*Table1567891112[[#This Row],[prob500-failure_rating9]]/500</f>
        <v>1.3686797443998816E-2</v>
      </c>
      <c r="IO6" s="1">
        <f>Table1567891112[[#This Row],[Total_Cost_MUSD]]*1000000*Table1567891112[[#This Row],[prob100-failure_rating1]]/100</f>
        <v>2737.3594887997629</v>
      </c>
      <c r="IP6" s="1">
        <f>Table1567891112[[#This Row],[Total_Cost_MUSD]]*1000000*Table1567891112[[#This Row],[prob100-failure_rating2]]/100</f>
        <v>342.16993609997036</v>
      </c>
      <c r="IQ6" s="1">
        <f>Table1567891112[[#This Row],[Total_Cost_MUSD]]*1000000*Table1567891112[[#This Row],[prob100-failure_rating3]]/100</f>
        <v>75.277385941993487</v>
      </c>
      <c r="IR6" s="1">
        <f>Table1567891112[[#This Row],[Total_Cost_MUSD]]*1000000*Table1567891112[[#This Row],[prob100-failure_rating4]]/100</f>
        <v>27.373594887997633</v>
      </c>
      <c r="IS6" s="1">
        <f>Table1567891112[[#This Row],[Total_Cost_MUSD]]*1000000*Table1567891112[[#This Row],[prob100-failure_rating5]]/100</f>
        <v>4.7903791053995848</v>
      </c>
      <c r="IT6" s="1">
        <f>Table1567891112[[#This Row],[Total_Cost_MUSD]]*1000000*Table1567891112[[#This Row],[prob100-failure_rating6]]/100</f>
        <v>1.2318117699598934</v>
      </c>
      <c r="IU6" s="1">
        <f>Table1567891112[[#This Row],[Total_Cost_MUSD]]*1000000*Table1567891112[[#This Row],[prob100-failure_rating7]]/100</f>
        <v>1.2318117699598934</v>
      </c>
      <c r="IV6" s="1">
        <f>Table1567891112[[#This Row],[Total_Cost_MUSD]]*1000000*Table1567891112[[#This Row],[prob100-failure_rating8]]/100</f>
        <v>2.7373594887997631E-2</v>
      </c>
      <c r="IW6" s="1">
        <f>Table1567891112[[#This Row],[Total_Cost_MUSD]]*1000000*Table1567891112[[#This Row],[prob100-failure_rating9]]/100</f>
        <v>1.710849680499852E-2</v>
      </c>
      <c r="IX6" s="1">
        <f>Table1567891112[[#This Row],[Total_Cost_MUSD]]*1000000*Table1567891112[[#This Row],[prob50-failure_rating1]]/50</f>
        <v>5474.7189775995257</v>
      </c>
      <c r="IY6" s="1">
        <f>Table1567891112[[#This Row],[Total_Cost_MUSD]]*1000000*Table1567891112[[#This Row],[prob50-failure_rating2]]/50</f>
        <v>456.22658146662718</v>
      </c>
      <c r="IZ6" s="1">
        <f>Table1567891112[[#This Row],[Total_Cost_MUSD]]*1000000*Table1567891112[[#This Row],[prob50-failure_rating3]]/50</f>
        <v>100.36984792265797</v>
      </c>
      <c r="JA6" s="1">
        <f>Table1567891112[[#This Row],[Total_Cost_MUSD]]*1000000*Table1567891112[[#This Row],[prob50-failure_rating4]]/50</f>
        <v>36.498126517330178</v>
      </c>
      <c r="JB6" s="1">
        <f>Table1567891112[[#This Row],[Total_Cost_MUSD]]*1000000*Table1567891112[[#This Row],[prob50-failure_rating5]]/50</f>
        <v>6.3871721405327797</v>
      </c>
      <c r="JC6" s="1">
        <f>Table1567891112[[#This Row],[Total_Cost_MUSD]]*1000000*Table1567891112[[#This Row],[prob50-failure_rating6]]/50</f>
        <v>1.6424156932798579</v>
      </c>
      <c r="JD6" s="1">
        <f>Table1567891112[[#This Row],[Total_Cost_MUSD]]*1000000*Table1567891112[[#This Row],[prob50-failure_rating7]]/50</f>
        <v>1.6424156932798579</v>
      </c>
      <c r="JE6" s="1">
        <f>Table1567891112[[#This Row],[Total_Cost_MUSD]]*1000000*Table1567891112[[#This Row],[prob50-failure_rating8]]/50</f>
        <v>3.6498126517330177E-2</v>
      </c>
      <c r="JF6" s="1">
        <f>Table1567891112[[#This Row],[Total_Cost_MUSD]]*1000000*Table1567891112[[#This Row],[prob50-failure_rating9]]/50</f>
        <v>2.2811329073331357E-2</v>
      </c>
      <c r="JG6" s="1">
        <f>Table1567891112[[#This Row],[Total_Cost_MUSD]]*1000000*Table1567891112[[#This Row],[prob10-failure_rating1]]/10</f>
        <v>27373.594887997628</v>
      </c>
      <c r="JH6" s="1">
        <f>Table1567891112[[#This Row],[Total_Cost_MUSD]]*1000000*Table1567891112[[#This Row],[prob10-failure_rating2]]/10</f>
        <v>1368.6797443998817</v>
      </c>
      <c r="JI6" s="1">
        <f>Table1567891112[[#This Row],[Total_Cost_MUSD]]*1000000*Table1567891112[[#This Row],[prob10-failure_rating3]]/10</f>
        <v>301.10954376797395</v>
      </c>
      <c r="JJ6" s="1">
        <f>Table1567891112[[#This Row],[Total_Cost_MUSD]]*1000000*Table1567891112[[#This Row],[prob10-failure_rating4]]/10</f>
        <v>109.49437955199053</v>
      </c>
      <c r="JK6" s="1">
        <f>Table1567891112[[#This Row],[Total_Cost_MUSD]]*1000000*Table1567891112[[#This Row],[prob10-failure_rating5]]/10</f>
        <v>19.161516421598339</v>
      </c>
      <c r="JL6" s="1">
        <f>Table1567891112[[#This Row],[Total_Cost_MUSD]]*1000000*Table1567891112[[#This Row],[prob10-failure_rating6]]/10</f>
        <v>4.9272470798395736</v>
      </c>
      <c r="JM6" s="1">
        <f>Table1567891112[[#This Row],[Total_Cost_MUSD]]*1000000*Table1567891112[[#This Row],[prob10-failure_rating7]]/10</f>
        <v>4.9272470798395736</v>
      </c>
      <c r="JN6" s="1">
        <f>Table1567891112[[#This Row],[Total_Cost_MUSD]]*1000000*Table1567891112[[#This Row],[prob10-failure_rating8]]/10</f>
        <v>0.10949437955199053</v>
      </c>
      <c r="JO6" s="1">
        <f>Table1567891112[[#This Row],[Total_Cost_MUSD]]*1000000*Table1567891112[[#This Row],[prob10-failure_rating9]]/10</f>
        <v>6.843398721999408E-2</v>
      </c>
      <c r="JP6" s="1">
        <f>Table1567891112[[#This Row],[FailureCost_Rating1]]</f>
        <v>2440.8122108464554</v>
      </c>
      <c r="JQ6" s="1">
        <f>Table1567891112[[#This Row],[FailureCost_Rating2]]</f>
        <v>2440.8122108464554</v>
      </c>
      <c r="JR6" s="1">
        <f>(Table1567891112[[#This Row],[failurecost500_rating2]]+Table1567891112[[#This Row],[failurecost100_rating2]]+Table1567891112[[#This Row],[failurecost50_rating2]]+Table1567891112[[#This Row],[failurecost10_rating2]])</f>
        <v>2440.8122108464554</v>
      </c>
      <c r="JS6" s="1">
        <f>(Table1567891112[[#This Row],[failurecost500_rating3]]+Table1567891112[[#This Row],[failurecost100_rating3]]+Table1567891112[[#This Row],[failurecost50_rating3]]+Table1567891112[[#This Row],[failurecost10_rating3]])</f>
        <v>536.97868638622026</v>
      </c>
      <c r="JT6" s="1">
        <f>(Table1567891112[[#This Row],[failurecost500_rating4]]+Table1567891112[[#This Row],[failurecost100_rating4]]+Table1567891112[[#This Row],[failurecost50_rating4]]+Table1567891112[[#This Row],[failurecost10_rating4]])</f>
        <v>195.26497686771646</v>
      </c>
      <c r="JU6" s="1">
        <f>(Table1567891112[[#This Row],[failurecost500_rating5]]+Table1567891112[[#This Row],[failurecost100_rating5]]+Table1567891112[[#This Row],[failurecost50_rating5]]+Table1567891112[[#This Row],[failurecost10_rating5]])</f>
        <v>34.171370951850371</v>
      </c>
      <c r="JV6" s="1">
        <f>(Table1567891112[[#This Row],[failurecost500_rating6]]+Table1567891112[[#This Row],[failurecost100_rating6]]+Table1567891112[[#This Row],[failurecost50_rating6]]+Table1567891112[[#This Row],[failurecost10_rating6]])</f>
        <v>8.7869239590472397</v>
      </c>
      <c r="JW6" s="1">
        <f>(Table1567891112[[#This Row],[failurecost500_rating7]]+Table1567891112[[#This Row],[failurecost100_rating7]]+Table1567891112[[#This Row],[failurecost50_rating7]]+Table1567891112[[#This Row],[failurecost10_rating7]])</f>
        <v>8.7869239590472397</v>
      </c>
      <c r="JX6" s="1">
        <f>(Table1567891112[[#This Row],[failurecost500_rating8]]+Table1567891112[[#This Row],[failurecost100_rating8]]+Table1567891112[[#This Row],[failurecost50_rating8]]+Table1567891112[[#This Row],[failurecost10_rating8]])</f>
        <v>0.19526497686771643</v>
      </c>
      <c r="JY6" s="1">
        <f>(Table1567891112[[#This Row],[failurecost500_rating9]]+Table1567891112[[#This Row],[failurecost100_rating9]]+Table1567891112[[#This Row],[failurecost50_rating9]]+Table1567891112[[#This Row],[failurecost10_rating9]])</f>
        <v>0.12204061054232278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Table1567891112[[#This Row],[Depth10_Soil_vol]]*(9.353+9.027)+(Table1567891112[[#This Row],[Depth10_Soil_vol]]/2.5)*20*1.053+(PI()*Table1567891112[[#This Row],[Depth10_Scour]])*Table1567891112[[#This Row],[DECK_WIDTH_MT_052]]*1.062</f>
        <v>11407.250817613454</v>
      </c>
      <c r="AR7" s="1">
        <f>Table1567891112[[#This Row],[Depth50_Soil_vol]]*(9.353+9.027)+(Table1567891112[[#This Row],[Depth50_Soil_vol]]/2.5)*20*1.053+(PI()*Table1567891112[[#This Row],[Depth50_Scour]])*Table1567891112[[#This Row],[DECK_WIDTH_MT_052]]*1.062</f>
        <v>12369.739122689782</v>
      </c>
      <c r="AS7" s="1">
        <f>Table1567891112[[#This Row],[Depth100_Soil_vol]]*(9.353+9.027)+(Table1567891112[[#This Row],[Depth100_Soil_vol]]/2.5)*20*1.053+(PI()*Table1567891112[[#This Row],[Depth100_Scour]])*Table1567891112[[#This Row],[DECK_WIDTH_MT_052]]*1.062</f>
        <v>14750.148906789464</v>
      </c>
      <c r="AT7" s="1">
        <f>Table1567891112[[#This Row],[Depth500_Soil_vol]]*(9.353+9.027)+(Table1567891112[[#This Row],[Depth500_Soil_vol]]/2.5)*20*1.053+(PI()*Table1567891112[[#This Row],[Depth500_Scour]])*Table1567891112[[#This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0.39600000000000002</v>
      </c>
      <c r="GF7" s="1">
        <v>12.91547630582706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11480.423382957386</v>
      </c>
      <c r="GM7" s="1">
        <f>Sheet4!R37*$GF7*1000000</f>
        <v>6457.7381529135282</v>
      </c>
      <c r="GN7" s="1">
        <f>Sheet4!S37*$GF7*1000000</f>
        <v>4132.9524178646579</v>
      </c>
      <c r="GO7" s="1">
        <f>Sheet4!T37*$GF7*1000000</f>
        <v>2870.1058457393465</v>
      </c>
      <c r="GP7" s="1">
        <f>Sheet4!U37*$GF7*1000000</f>
        <v>2108.6491927880911</v>
      </c>
      <c r="GQ7" s="1">
        <f>Sheet4!V37*$GF7*1000000</f>
        <v>1614.4345382283821</v>
      </c>
      <c r="GR7" s="1">
        <f>Sheet4!W37*$GF7*1000000</f>
        <v>1275.602598106376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0.01</v>
      </c>
      <c r="HF7" s="1">
        <v>1.25E-3</v>
      </c>
      <c r="HG7" s="1">
        <v>2.7500000000000002E-4</v>
      </c>
      <c r="HH7" s="1">
        <v>1E-4</v>
      </c>
      <c r="HI7" s="1">
        <v>1.7499999999999998E-5</v>
      </c>
      <c r="HJ7" s="1">
        <v>4.5000000000000001E-6</v>
      </c>
      <c r="HK7" s="1">
        <v>4.5000000000000001E-6</v>
      </c>
      <c r="HL7" s="1">
        <v>9.9999999999999995E-8</v>
      </c>
      <c r="HM7" s="1">
        <v>6.2499999999999997E-8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Table1567891112[[#This Row],[Total_Cost_MUSD]]*1000000*Table1567891112[[#This Row],[prob500-failure_rating1]]/500</f>
        <v>258.30952611654118</v>
      </c>
      <c r="IG7" s="1">
        <f>Table1567891112[[#This Row],[Total_Cost_MUSD]]*1000000*Table1567891112[[#This Row],[prob500-failure_rating2]]/500</f>
        <v>129.15476305827059</v>
      </c>
      <c r="IH7" s="1">
        <f>Table1567891112[[#This Row],[Total_Cost_MUSD]]*1000000*Table1567891112[[#This Row],[prob500-failure_rating3]]/500</f>
        <v>28.41404787281953</v>
      </c>
      <c r="II7" s="1">
        <f>Table1567891112[[#This Row],[Total_Cost_MUSD]]*1000000*Table1567891112[[#This Row],[prob500-failure_rating4]]/500</f>
        <v>10.332381044661648</v>
      </c>
      <c r="IJ7" s="1">
        <f>Table1567891112[[#This Row],[Total_Cost_MUSD]]*1000000*Table1567891112[[#This Row],[prob500-failure_rating5]]/500</f>
        <v>1.8081666828157881</v>
      </c>
      <c r="IK7" s="1">
        <f>Table1567891112[[#This Row],[Total_Cost_MUSD]]*1000000*Table1567891112[[#This Row],[prob500-failure_rating6]]/500</f>
        <v>0.46495714700977414</v>
      </c>
      <c r="IL7" s="1">
        <f>Table1567891112[[#This Row],[Total_Cost_MUSD]]*1000000*Table1567891112[[#This Row],[prob500-failure_rating7]]/500</f>
        <v>0.46495714700977414</v>
      </c>
      <c r="IM7" s="1">
        <f>Table1567891112[[#This Row],[Total_Cost_MUSD]]*1000000*Table1567891112[[#This Row],[prob500-failure_rating8]]/500</f>
        <v>1.0332381044661648E-2</v>
      </c>
      <c r="IN7" s="1">
        <f>Table1567891112[[#This Row],[Total_Cost_MUSD]]*1000000*Table1567891112[[#This Row],[prob500-failure_rating9]]/500</f>
        <v>6.4577381529135293E-3</v>
      </c>
      <c r="IO7" s="1">
        <f>Table1567891112[[#This Row],[Total_Cost_MUSD]]*1000000*Table1567891112[[#This Row],[prob100-failure_rating1]]/100</f>
        <v>1291.547630582706</v>
      </c>
      <c r="IP7" s="1">
        <f>Table1567891112[[#This Row],[Total_Cost_MUSD]]*1000000*Table1567891112[[#This Row],[prob100-failure_rating2]]/100</f>
        <v>161.44345382283825</v>
      </c>
      <c r="IQ7" s="1">
        <f>Table1567891112[[#This Row],[Total_Cost_MUSD]]*1000000*Table1567891112[[#This Row],[prob100-failure_rating3]]/100</f>
        <v>35.517559841024415</v>
      </c>
      <c r="IR7" s="1">
        <f>Table1567891112[[#This Row],[Total_Cost_MUSD]]*1000000*Table1567891112[[#This Row],[prob100-failure_rating4]]/100</f>
        <v>12.91547630582706</v>
      </c>
      <c r="IS7" s="1">
        <f>Table1567891112[[#This Row],[Total_Cost_MUSD]]*1000000*Table1567891112[[#This Row],[prob100-failure_rating5]]/100</f>
        <v>2.2602083535197353</v>
      </c>
      <c r="IT7" s="1">
        <f>Table1567891112[[#This Row],[Total_Cost_MUSD]]*1000000*Table1567891112[[#This Row],[prob100-failure_rating6]]/100</f>
        <v>0.58119643376221763</v>
      </c>
      <c r="IU7" s="1">
        <f>Table1567891112[[#This Row],[Total_Cost_MUSD]]*1000000*Table1567891112[[#This Row],[prob100-failure_rating7]]/100</f>
        <v>0.58119643376221763</v>
      </c>
      <c r="IV7" s="1">
        <f>Table1567891112[[#This Row],[Total_Cost_MUSD]]*1000000*Table1567891112[[#This Row],[prob100-failure_rating8]]/100</f>
        <v>1.2915476305827059E-2</v>
      </c>
      <c r="IW7" s="1">
        <f>Table1567891112[[#This Row],[Total_Cost_MUSD]]*1000000*Table1567891112[[#This Row],[prob100-failure_rating9]]/100</f>
        <v>8.0721726911419118E-3</v>
      </c>
      <c r="IX7" s="1">
        <f>Table1567891112[[#This Row],[Total_Cost_MUSD]]*1000000*Table1567891112[[#This Row],[prob50-failure_rating1]]/50</f>
        <v>2583.095261165412</v>
      </c>
      <c r="IY7" s="1">
        <f>Table1567891112[[#This Row],[Total_Cost_MUSD]]*1000000*Table1567891112[[#This Row],[prob50-failure_rating2]]/50</f>
        <v>215.25793843045099</v>
      </c>
      <c r="IZ7" s="1">
        <f>Table1567891112[[#This Row],[Total_Cost_MUSD]]*1000000*Table1567891112[[#This Row],[prob50-failure_rating3]]/50</f>
        <v>47.356746454699213</v>
      </c>
      <c r="JA7" s="1">
        <f>Table1567891112[[#This Row],[Total_Cost_MUSD]]*1000000*Table1567891112[[#This Row],[prob50-failure_rating4]]/50</f>
        <v>17.220635074436078</v>
      </c>
      <c r="JB7" s="1">
        <f>Table1567891112[[#This Row],[Total_Cost_MUSD]]*1000000*Table1567891112[[#This Row],[prob50-failure_rating5]]/50</f>
        <v>3.0136111380263135</v>
      </c>
      <c r="JC7" s="1">
        <f>Table1567891112[[#This Row],[Total_Cost_MUSD]]*1000000*Table1567891112[[#This Row],[prob50-failure_rating6]]/50</f>
        <v>0.77492857834962348</v>
      </c>
      <c r="JD7" s="1">
        <f>Table1567891112[[#This Row],[Total_Cost_MUSD]]*1000000*Table1567891112[[#This Row],[prob50-failure_rating7]]/50</f>
        <v>0.77492857834962348</v>
      </c>
      <c r="JE7" s="1">
        <f>Table1567891112[[#This Row],[Total_Cost_MUSD]]*1000000*Table1567891112[[#This Row],[prob50-failure_rating8]]/50</f>
        <v>1.722063507443608E-2</v>
      </c>
      <c r="JF7" s="1">
        <f>Table1567891112[[#This Row],[Total_Cost_MUSD]]*1000000*Table1567891112[[#This Row],[prob50-failure_rating9]]/50</f>
        <v>1.0762896921522548E-2</v>
      </c>
      <c r="JG7" s="1">
        <f>Table1567891112[[#This Row],[Total_Cost_MUSD]]*1000000*Table1567891112[[#This Row],[prob10-failure_rating1]]/10</f>
        <v>12915.476305827058</v>
      </c>
      <c r="JH7" s="1">
        <f>Table1567891112[[#This Row],[Total_Cost_MUSD]]*1000000*Table1567891112[[#This Row],[prob10-failure_rating2]]/10</f>
        <v>645.77381529135289</v>
      </c>
      <c r="JI7" s="1">
        <f>Table1567891112[[#This Row],[Total_Cost_MUSD]]*1000000*Table1567891112[[#This Row],[prob10-failure_rating3]]/10</f>
        <v>142.07023936409763</v>
      </c>
      <c r="JJ7" s="1">
        <f>Table1567891112[[#This Row],[Total_Cost_MUSD]]*1000000*Table1567891112[[#This Row],[prob10-failure_rating4]]/10</f>
        <v>51.661905223308239</v>
      </c>
      <c r="JK7" s="1">
        <f>Table1567891112[[#This Row],[Total_Cost_MUSD]]*1000000*Table1567891112[[#This Row],[prob10-failure_rating5]]/10</f>
        <v>9.040833414078941</v>
      </c>
      <c r="JL7" s="1">
        <f>Table1567891112[[#This Row],[Total_Cost_MUSD]]*1000000*Table1567891112[[#This Row],[prob10-failure_rating6]]/10</f>
        <v>2.324785735048871</v>
      </c>
      <c r="JM7" s="1">
        <f>Table1567891112[[#This Row],[Total_Cost_MUSD]]*1000000*Table1567891112[[#This Row],[prob10-failure_rating7]]/10</f>
        <v>2.324785735048871</v>
      </c>
      <c r="JN7" s="1">
        <f>Table1567891112[[#This Row],[Total_Cost_MUSD]]*1000000*Table1567891112[[#This Row],[prob10-failure_rating8]]/10</f>
        <v>5.1661905223308234E-2</v>
      </c>
      <c r="JO7" s="1">
        <f>Table1567891112[[#This Row],[Total_Cost_MUSD]]*1000000*Table1567891112[[#This Row],[prob10-failure_rating9]]/10</f>
        <v>3.2288690764567647E-2</v>
      </c>
      <c r="JP7" s="1">
        <f>Table1567891112[[#This Row],[FailureCost_Rating1]]</f>
        <v>1151.6299706029126</v>
      </c>
      <c r="JQ7" s="1">
        <f>Table1567891112[[#This Row],[FailureCost_Rating2]]</f>
        <v>1151.6299706029126</v>
      </c>
      <c r="JR7" s="1">
        <f>(Table1567891112[[#This Row],[failurecost500_rating2]]+Table1567891112[[#This Row],[failurecost100_rating2]]+Table1567891112[[#This Row],[failurecost50_rating2]]+Table1567891112[[#This Row],[failurecost10_rating2]])</f>
        <v>1151.6299706029126</v>
      </c>
      <c r="JS7" s="1">
        <f>(Table1567891112[[#This Row],[failurecost500_rating3]]+Table1567891112[[#This Row],[failurecost100_rating3]]+Table1567891112[[#This Row],[failurecost50_rating3]]+Table1567891112[[#This Row],[failurecost10_rating3]])</f>
        <v>253.35859353264078</v>
      </c>
      <c r="JT7" s="1">
        <f>(Table1567891112[[#This Row],[failurecost500_rating4]]+Table1567891112[[#This Row],[failurecost100_rating4]]+Table1567891112[[#This Row],[failurecost50_rating4]]+Table1567891112[[#This Row],[failurecost10_rating4]])</f>
        <v>92.130397648233028</v>
      </c>
      <c r="JU7" s="1">
        <f>(Table1567891112[[#This Row],[failurecost500_rating5]]+Table1567891112[[#This Row],[failurecost100_rating5]]+Table1567891112[[#This Row],[failurecost50_rating5]]+Table1567891112[[#This Row],[failurecost10_rating5]])</f>
        <v>16.122819588440777</v>
      </c>
      <c r="JV7" s="1">
        <f>(Table1567891112[[#This Row],[failurecost500_rating6]]+Table1567891112[[#This Row],[failurecost100_rating6]]+Table1567891112[[#This Row],[failurecost50_rating6]]+Table1567891112[[#This Row],[failurecost10_rating6]])</f>
        <v>4.1458678941704861</v>
      </c>
      <c r="JW7" s="1">
        <f>(Table1567891112[[#This Row],[failurecost500_rating7]]+Table1567891112[[#This Row],[failurecost100_rating7]]+Table1567891112[[#This Row],[failurecost50_rating7]]+Table1567891112[[#This Row],[failurecost10_rating7]])</f>
        <v>4.1458678941704861</v>
      </c>
      <c r="JX7" s="1">
        <f>(Table1567891112[[#This Row],[failurecost500_rating8]]+Table1567891112[[#This Row],[failurecost100_rating8]]+Table1567891112[[#This Row],[failurecost50_rating8]]+Table1567891112[[#This Row],[failurecost10_rating8]])</f>
        <v>9.2130397648233026E-2</v>
      </c>
      <c r="JY7" s="1">
        <f>(Table1567891112[[#This Row],[failurecost500_rating9]]+Table1567891112[[#This Row],[failurecost100_rating9]]+Table1567891112[[#This Row],[failurecost50_rating9]]+Table1567891112[[#This Row],[failurecost10_rating9]])</f>
        <v>5.7581498530145638E-2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Table1567891112[[#This Row],[Depth10_Soil_vol]]*(9.353+9.027)+(Table1567891112[[#This Row],[Depth10_Soil_vol]]/2.5)*20*1.053+(PI()*Table1567891112[[#This Row],[Depth10_Scour]])*Table1567891112[[#This Row],[DECK_WIDTH_MT_052]]*1.062</f>
        <v>16463.256386162553</v>
      </c>
      <c r="AR8" s="1">
        <f>Table1567891112[[#This Row],[Depth50_Soil_vol]]*(9.353+9.027)+(Table1567891112[[#This Row],[Depth50_Soil_vol]]/2.5)*20*1.053+(PI()*Table1567891112[[#This Row],[Depth50_Scour]])*Table1567891112[[#This Row],[DECK_WIDTH_MT_052]]*1.062</f>
        <v>18935.802677782114</v>
      </c>
      <c r="AS8" s="1">
        <f>Table1567891112[[#This Row],[Depth100_Soil_vol]]*(9.353+9.027)+(Table1567891112[[#This Row],[Depth100_Soil_vol]]/2.5)*20*1.053+(PI()*Table1567891112[[#This Row],[Depth100_Scour]])*Table1567891112[[#This Row],[DECK_WIDTH_MT_052]]*1.062</f>
        <v>19959.892643325038</v>
      </c>
      <c r="AT8" s="1">
        <f>Table1567891112[[#This Row],[Depth500_Soil_vol]]*(9.353+9.027)+(Table1567891112[[#This Row],[Depth500_Soil_vol]]/2.5)*20*1.053+(PI()*Table1567891112[[#This Row],[Depth500_Scour]])*Table1567891112[[#This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0.52800000000000002</v>
      </c>
      <c r="GF8" s="1">
        <v>43.81378438738534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38945.586122120294</v>
      </c>
      <c r="GM8" s="1">
        <f>Sheet4!R38*$GF8*1000000</f>
        <v>21906.892193692671</v>
      </c>
      <c r="GN8" s="1">
        <f>Sheet4!S38*$GF8*1000000</f>
        <v>14020.411003963307</v>
      </c>
      <c r="GO8" s="1">
        <f>Sheet4!T38*$GF8*1000000</f>
        <v>9736.3965305300735</v>
      </c>
      <c r="GP8" s="1">
        <f>Sheet4!U38*$GF8*1000000</f>
        <v>7153.2709203894428</v>
      </c>
      <c r="GQ8" s="1">
        <f>Sheet4!V38*$GF8*1000000</f>
        <v>5476.7230484231677</v>
      </c>
      <c r="GR8" s="1">
        <f>Sheet4!W38*$GF8*1000000</f>
        <v>4327.2873469022561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0.01</v>
      </c>
      <c r="HF8" s="1">
        <v>1.25E-3</v>
      </c>
      <c r="HG8" s="1">
        <v>2.7500000000000002E-4</v>
      </c>
      <c r="HH8" s="1">
        <v>1E-4</v>
      </c>
      <c r="HI8" s="1">
        <v>1.7499999999999998E-5</v>
      </c>
      <c r="HJ8" s="1">
        <v>4.5000000000000001E-6</v>
      </c>
      <c r="HK8" s="1">
        <v>4.5000000000000001E-6</v>
      </c>
      <c r="HL8" s="1">
        <v>9.9999999999999995E-8</v>
      </c>
      <c r="HM8" s="1">
        <v>6.2499999999999997E-8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Table1567891112[[#This Row],[Total_Cost_MUSD]]*1000000*Table1567891112[[#This Row],[prob500-failure_rating1]]/500</f>
        <v>876.2756877477068</v>
      </c>
      <c r="IG8" s="1">
        <f>Table1567891112[[#This Row],[Total_Cost_MUSD]]*1000000*Table1567891112[[#This Row],[prob500-failure_rating2]]/500</f>
        <v>438.1378438738534</v>
      </c>
      <c r="IH8" s="1">
        <f>Table1567891112[[#This Row],[Total_Cost_MUSD]]*1000000*Table1567891112[[#This Row],[prob500-failure_rating3]]/500</f>
        <v>96.390325652247739</v>
      </c>
      <c r="II8" s="1">
        <f>Table1567891112[[#This Row],[Total_Cost_MUSD]]*1000000*Table1567891112[[#This Row],[prob500-failure_rating4]]/500</f>
        <v>35.051027509908273</v>
      </c>
      <c r="IJ8" s="1">
        <f>Table1567891112[[#This Row],[Total_Cost_MUSD]]*1000000*Table1567891112[[#This Row],[prob500-failure_rating5]]/500</f>
        <v>6.1339298142339462</v>
      </c>
      <c r="IK8" s="1">
        <f>Table1567891112[[#This Row],[Total_Cost_MUSD]]*1000000*Table1567891112[[#This Row],[prob500-failure_rating6]]/500</f>
        <v>1.5772962379458721</v>
      </c>
      <c r="IL8" s="1">
        <f>Table1567891112[[#This Row],[Total_Cost_MUSD]]*1000000*Table1567891112[[#This Row],[prob500-failure_rating7]]/500</f>
        <v>1.5772962379458721</v>
      </c>
      <c r="IM8" s="1">
        <f>Table1567891112[[#This Row],[Total_Cost_MUSD]]*1000000*Table1567891112[[#This Row],[prob500-failure_rating8]]/500</f>
        <v>3.5051027509908267E-2</v>
      </c>
      <c r="IN8" s="1">
        <f>Table1567891112[[#This Row],[Total_Cost_MUSD]]*1000000*Table1567891112[[#This Row],[prob500-failure_rating9]]/500</f>
        <v>2.190689219369267E-2</v>
      </c>
      <c r="IO8" s="1">
        <f>Table1567891112[[#This Row],[Total_Cost_MUSD]]*1000000*Table1567891112[[#This Row],[prob100-failure_rating1]]/100</f>
        <v>4381.378438738534</v>
      </c>
      <c r="IP8" s="1">
        <f>Table1567891112[[#This Row],[Total_Cost_MUSD]]*1000000*Table1567891112[[#This Row],[prob100-failure_rating2]]/100</f>
        <v>547.67230484231675</v>
      </c>
      <c r="IQ8" s="1">
        <f>Table1567891112[[#This Row],[Total_Cost_MUSD]]*1000000*Table1567891112[[#This Row],[prob100-failure_rating3]]/100</f>
        <v>120.48790706530968</v>
      </c>
      <c r="IR8" s="1">
        <f>Table1567891112[[#This Row],[Total_Cost_MUSD]]*1000000*Table1567891112[[#This Row],[prob100-failure_rating4]]/100</f>
        <v>43.81378438738534</v>
      </c>
      <c r="IS8" s="1">
        <f>Table1567891112[[#This Row],[Total_Cost_MUSD]]*1000000*Table1567891112[[#This Row],[prob100-failure_rating5]]/100</f>
        <v>7.6674122677924332</v>
      </c>
      <c r="IT8" s="1">
        <f>Table1567891112[[#This Row],[Total_Cost_MUSD]]*1000000*Table1567891112[[#This Row],[prob100-failure_rating6]]/100</f>
        <v>1.9716202974323402</v>
      </c>
      <c r="IU8" s="1">
        <f>Table1567891112[[#This Row],[Total_Cost_MUSD]]*1000000*Table1567891112[[#This Row],[prob100-failure_rating7]]/100</f>
        <v>1.9716202974323402</v>
      </c>
      <c r="IV8" s="1">
        <f>Table1567891112[[#This Row],[Total_Cost_MUSD]]*1000000*Table1567891112[[#This Row],[prob100-failure_rating8]]/100</f>
        <v>4.3813784387385334E-2</v>
      </c>
      <c r="IW8" s="1">
        <f>Table1567891112[[#This Row],[Total_Cost_MUSD]]*1000000*Table1567891112[[#This Row],[prob100-failure_rating9]]/100</f>
        <v>2.7383615242115838E-2</v>
      </c>
      <c r="IX8" s="1">
        <f>Table1567891112[[#This Row],[Total_Cost_MUSD]]*1000000*Table1567891112[[#This Row],[prob50-failure_rating1]]/50</f>
        <v>8762.756877477068</v>
      </c>
      <c r="IY8" s="1">
        <f>Table1567891112[[#This Row],[Total_Cost_MUSD]]*1000000*Table1567891112[[#This Row],[prob50-failure_rating2]]/50</f>
        <v>730.22973978975574</v>
      </c>
      <c r="IZ8" s="1">
        <f>Table1567891112[[#This Row],[Total_Cost_MUSD]]*1000000*Table1567891112[[#This Row],[prob50-failure_rating3]]/50</f>
        <v>160.65054275374624</v>
      </c>
      <c r="JA8" s="1">
        <f>Table1567891112[[#This Row],[Total_Cost_MUSD]]*1000000*Table1567891112[[#This Row],[prob50-failure_rating4]]/50</f>
        <v>58.418379183180448</v>
      </c>
      <c r="JB8" s="1">
        <f>Table1567891112[[#This Row],[Total_Cost_MUSD]]*1000000*Table1567891112[[#This Row],[prob50-failure_rating5]]/50</f>
        <v>10.223216357056579</v>
      </c>
      <c r="JC8" s="1">
        <f>Table1567891112[[#This Row],[Total_Cost_MUSD]]*1000000*Table1567891112[[#This Row],[prob50-failure_rating6]]/50</f>
        <v>2.6288270632431203</v>
      </c>
      <c r="JD8" s="1">
        <f>Table1567891112[[#This Row],[Total_Cost_MUSD]]*1000000*Table1567891112[[#This Row],[prob50-failure_rating7]]/50</f>
        <v>2.6288270632431203</v>
      </c>
      <c r="JE8" s="1">
        <f>Table1567891112[[#This Row],[Total_Cost_MUSD]]*1000000*Table1567891112[[#This Row],[prob50-failure_rating8]]/50</f>
        <v>5.8418379183180456E-2</v>
      </c>
      <c r="JF8" s="1">
        <f>Table1567891112[[#This Row],[Total_Cost_MUSD]]*1000000*Table1567891112[[#This Row],[prob50-failure_rating9]]/50</f>
        <v>3.6511486989487779E-2</v>
      </c>
      <c r="JG8" s="1">
        <f>Table1567891112[[#This Row],[Total_Cost_MUSD]]*1000000*Table1567891112[[#This Row],[prob10-failure_rating1]]/10</f>
        <v>43813.784387385342</v>
      </c>
      <c r="JH8" s="1">
        <f>Table1567891112[[#This Row],[Total_Cost_MUSD]]*1000000*Table1567891112[[#This Row],[prob10-failure_rating2]]/10</f>
        <v>2190.689219369267</v>
      </c>
      <c r="JI8" s="1">
        <f>Table1567891112[[#This Row],[Total_Cost_MUSD]]*1000000*Table1567891112[[#This Row],[prob10-failure_rating3]]/10</f>
        <v>481.9516282612388</v>
      </c>
      <c r="JJ8" s="1">
        <f>Table1567891112[[#This Row],[Total_Cost_MUSD]]*1000000*Table1567891112[[#This Row],[prob10-failure_rating4]]/10</f>
        <v>175.25513754954136</v>
      </c>
      <c r="JK8" s="1">
        <f>Table1567891112[[#This Row],[Total_Cost_MUSD]]*1000000*Table1567891112[[#This Row],[prob10-failure_rating5]]/10</f>
        <v>30.669649071169733</v>
      </c>
      <c r="JL8" s="1">
        <f>Table1567891112[[#This Row],[Total_Cost_MUSD]]*1000000*Table1567891112[[#This Row],[prob10-failure_rating6]]/10</f>
        <v>7.8864811897293619</v>
      </c>
      <c r="JM8" s="1">
        <f>Table1567891112[[#This Row],[Total_Cost_MUSD]]*1000000*Table1567891112[[#This Row],[prob10-failure_rating7]]/10</f>
        <v>7.8864811897293619</v>
      </c>
      <c r="JN8" s="1">
        <f>Table1567891112[[#This Row],[Total_Cost_MUSD]]*1000000*Table1567891112[[#This Row],[prob10-failure_rating8]]/10</f>
        <v>0.17525513754954136</v>
      </c>
      <c r="JO8" s="1">
        <f>Table1567891112[[#This Row],[Total_Cost_MUSD]]*1000000*Table1567891112[[#This Row],[prob10-failure_rating9]]/10</f>
        <v>0.10953446096846334</v>
      </c>
      <c r="JP8" s="1">
        <f>Table1567891112[[#This Row],[FailureCost_Rating1]]</f>
        <v>3906.7291078751928</v>
      </c>
      <c r="JQ8" s="1">
        <f>Table1567891112[[#This Row],[FailureCost_Rating2]]</f>
        <v>3906.7291078751928</v>
      </c>
      <c r="JR8" s="1">
        <f>(Table1567891112[[#This Row],[failurecost500_rating2]]+Table1567891112[[#This Row],[failurecost100_rating2]]+Table1567891112[[#This Row],[failurecost50_rating2]]+Table1567891112[[#This Row],[failurecost10_rating2]])</f>
        <v>3906.7291078751928</v>
      </c>
      <c r="JS8" s="1">
        <f>(Table1567891112[[#This Row],[failurecost500_rating3]]+Table1567891112[[#This Row],[failurecost100_rating3]]+Table1567891112[[#This Row],[failurecost50_rating3]]+Table1567891112[[#This Row],[failurecost10_rating3]])</f>
        <v>859.48040373254253</v>
      </c>
      <c r="JT8" s="1">
        <f>(Table1567891112[[#This Row],[failurecost500_rating4]]+Table1567891112[[#This Row],[failurecost100_rating4]]+Table1567891112[[#This Row],[failurecost50_rating4]]+Table1567891112[[#This Row],[failurecost10_rating4]])</f>
        <v>312.53832863001543</v>
      </c>
      <c r="JU8" s="1">
        <f>(Table1567891112[[#This Row],[failurecost500_rating5]]+Table1567891112[[#This Row],[failurecost100_rating5]]+Table1567891112[[#This Row],[failurecost50_rating5]]+Table1567891112[[#This Row],[failurecost10_rating5]])</f>
        <v>54.694207510252696</v>
      </c>
      <c r="JV8" s="1">
        <f>(Table1567891112[[#This Row],[failurecost500_rating6]]+Table1567891112[[#This Row],[failurecost100_rating6]]+Table1567891112[[#This Row],[failurecost50_rating6]]+Table1567891112[[#This Row],[failurecost10_rating6]])</f>
        <v>14.064224788350694</v>
      </c>
      <c r="JW8" s="1">
        <f>(Table1567891112[[#This Row],[failurecost500_rating7]]+Table1567891112[[#This Row],[failurecost100_rating7]]+Table1567891112[[#This Row],[failurecost50_rating7]]+Table1567891112[[#This Row],[failurecost10_rating7]])</f>
        <v>14.064224788350694</v>
      </c>
      <c r="JX8" s="1">
        <f>(Table1567891112[[#This Row],[failurecost500_rating8]]+Table1567891112[[#This Row],[failurecost100_rating8]]+Table1567891112[[#This Row],[failurecost50_rating8]]+Table1567891112[[#This Row],[failurecost10_rating8]])</f>
        <v>0.31253832863001541</v>
      </c>
      <c r="JY8" s="1">
        <f>(Table1567891112[[#This Row],[failurecost500_rating9]]+Table1567891112[[#This Row],[failurecost100_rating9]]+Table1567891112[[#This Row],[failurecost50_rating9]]+Table1567891112[[#This Row],[failurecost10_rating9]])</f>
        <v>0.19533645539375963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Table1567891112[[#This Row],[Depth10_Soil_vol]]*(9.353+9.027)+(Table1567891112[[#This Row],[Depth10_Soil_vol]]/2.5)*20*1.053+(PI()*Table1567891112[[#This Row],[Depth10_Scour]])*Table1567891112[[#This Row],[DECK_WIDTH_MT_052]]*1.062</f>
        <v>6829.712539120831</v>
      </c>
      <c r="AR9" s="1">
        <f>Table1567891112[[#This Row],[Depth50_Soil_vol]]*(9.353+9.027)+(Table1567891112[[#This Row],[Depth50_Soil_vol]]/2.5)*20*1.053+(PI()*Table1567891112[[#This Row],[Depth50_Scour]])*Table1567891112[[#This Row],[DECK_WIDTH_MT_052]]*1.062</f>
        <v>7284.9335218547822</v>
      </c>
      <c r="AS9" s="1">
        <f>Table1567891112[[#This Row],[Depth100_Soil_vol]]*(9.353+9.027)+(Table1567891112[[#This Row],[Depth100_Soil_vol]]/2.5)*20*1.053+(PI()*Table1567891112[[#This Row],[Depth100_Scour]])*Table1567891112[[#This Row],[DECK_WIDTH_MT_052]]*1.062</f>
        <v>7678.6049905512346</v>
      </c>
      <c r="AT9" s="1">
        <f>Table1567891112[[#This Row],[Depth500_Soil_vol]]*(9.353+9.027)+(Table1567891112[[#This Row],[Depth500_Soil_vol]]/2.5)*20*1.053+(PI()*Table1567891112[[#This Row],[Depth500_Scour]])*Table1567891112[[#This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9" s="1">
        <v>40.341209930211797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35858.853271299377</v>
      </c>
      <c r="GM9" s="1">
        <f>Sheet4!R39*$GF9*1000000</f>
        <v>20170.6049651059</v>
      </c>
      <c r="GN9" s="1">
        <f>Sheet4!S39*$GF9*1000000</f>
        <v>12909.187177667778</v>
      </c>
      <c r="GO9" s="1">
        <f>Sheet4!T39*$GF9*1000000</f>
        <v>8964.7133178248441</v>
      </c>
      <c r="GP9" s="1">
        <f>Sheet4!U39*$GF9*1000000</f>
        <v>6586.3199886060083</v>
      </c>
      <c r="GQ9" s="1">
        <f>Sheet4!V39*$GF9*1000000</f>
        <v>5042.651241276475</v>
      </c>
      <c r="GR9" s="1">
        <f>Sheet4!W39*$GF9*1000000</f>
        <v>3984.3170301443752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0.01</v>
      </c>
      <c r="HF9" s="1">
        <v>1.25E-3</v>
      </c>
      <c r="HG9" s="1">
        <v>2.7500000000000002E-4</v>
      </c>
      <c r="HH9" s="1">
        <v>1E-4</v>
      </c>
      <c r="HI9" s="1">
        <v>1.7499999999999998E-5</v>
      </c>
      <c r="HJ9" s="1">
        <v>4.5000000000000001E-6</v>
      </c>
      <c r="HK9" s="1">
        <v>4.5000000000000001E-6</v>
      </c>
      <c r="HL9" s="1">
        <v>9.9999999999999995E-8</v>
      </c>
      <c r="HM9" s="1">
        <v>6.2499999999999997E-8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Table1567891112[[#This Row],[Total_Cost_MUSD]]*1000000*Table1567891112[[#This Row],[prob500-failure_rating1]]/500</f>
        <v>806.82419860423602</v>
      </c>
      <c r="IG9" s="1">
        <f>Table1567891112[[#This Row],[Total_Cost_MUSD]]*1000000*Table1567891112[[#This Row],[prob500-failure_rating2]]/500</f>
        <v>403.41209930211801</v>
      </c>
      <c r="IH9" s="1">
        <f>Table1567891112[[#This Row],[Total_Cost_MUSD]]*1000000*Table1567891112[[#This Row],[prob500-failure_rating3]]/500</f>
        <v>88.75066184646596</v>
      </c>
      <c r="II9" s="1">
        <f>Table1567891112[[#This Row],[Total_Cost_MUSD]]*1000000*Table1567891112[[#This Row],[prob500-failure_rating4]]/500</f>
        <v>32.272967944169437</v>
      </c>
      <c r="IJ9" s="1">
        <f>Table1567891112[[#This Row],[Total_Cost_MUSD]]*1000000*Table1567891112[[#This Row],[prob500-failure_rating5]]/500</f>
        <v>5.6477693902296515</v>
      </c>
      <c r="IK9" s="1">
        <f>Table1567891112[[#This Row],[Total_Cost_MUSD]]*1000000*Table1567891112[[#This Row],[prob500-failure_rating6]]/500</f>
        <v>1.4522835574876247</v>
      </c>
      <c r="IL9" s="1">
        <f>Table1567891112[[#This Row],[Total_Cost_MUSD]]*1000000*Table1567891112[[#This Row],[prob500-failure_rating7]]/500</f>
        <v>1.4522835574876247</v>
      </c>
      <c r="IM9" s="1">
        <f>Table1567891112[[#This Row],[Total_Cost_MUSD]]*1000000*Table1567891112[[#This Row],[prob500-failure_rating8]]/500</f>
        <v>3.2272967944169437E-2</v>
      </c>
      <c r="IN9" s="1">
        <f>Table1567891112[[#This Row],[Total_Cost_MUSD]]*1000000*Table1567891112[[#This Row],[prob500-failure_rating9]]/500</f>
        <v>2.01706049651059E-2</v>
      </c>
      <c r="IO9" s="1">
        <f>Table1567891112[[#This Row],[Total_Cost_MUSD]]*1000000*Table1567891112[[#This Row],[prob100-failure_rating1]]/100</f>
        <v>4034.1209930211799</v>
      </c>
      <c r="IP9" s="1">
        <f>Table1567891112[[#This Row],[Total_Cost_MUSD]]*1000000*Table1567891112[[#This Row],[prob100-failure_rating2]]/100</f>
        <v>504.26512412764748</v>
      </c>
      <c r="IQ9" s="1">
        <f>Table1567891112[[#This Row],[Total_Cost_MUSD]]*1000000*Table1567891112[[#This Row],[prob100-failure_rating3]]/100</f>
        <v>110.93832730808245</v>
      </c>
      <c r="IR9" s="1">
        <f>Table1567891112[[#This Row],[Total_Cost_MUSD]]*1000000*Table1567891112[[#This Row],[prob100-failure_rating4]]/100</f>
        <v>40.341209930211797</v>
      </c>
      <c r="IS9" s="1">
        <f>Table1567891112[[#This Row],[Total_Cost_MUSD]]*1000000*Table1567891112[[#This Row],[prob100-failure_rating5]]/100</f>
        <v>7.0597117377870644</v>
      </c>
      <c r="IT9" s="1">
        <f>Table1567891112[[#This Row],[Total_Cost_MUSD]]*1000000*Table1567891112[[#This Row],[prob100-failure_rating6]]/100</f>
        <v>1.8153544468595308</v>
      </c>
      <c r="IU9" s="1">
        <f>Table1567891112[[#This Row],[Total_Cost_MUSD]]*1000000*Table1567891112[[#This Row],[prob100-failure_rating7]]/100</f>
        <v>1.8153544468595308</v>
      </c>
      <c r="IV9" s="1">
        <f>Table1567891112[[#This Row],[Total_Cost_MUSD]]*1000000*Table1567891112[[#This Row],[prob100-failure_rating8]]/100</f>
        <v>4.0341209930211799E-2</v>
      </c>
      <c r="IW9" s="1">
        <f>Table1567891112[[#This Row],[Total_Cost_MUSD]]*1000000*Table1567891112[[#This Row],[prob100-failure_rating9]]/100</f>
        <v>2.5213256206382373E-2</v>
      </c>
      <c r="IX9" s="1">
        <f>Table1567891112[[#This Row],[Total_Cost_MUSD]]*1000000*Table1567891112[[#This Row],[prob50-failure_rating1]]/50</f>
        <v>8068.2419860423597</v>
      </c>
      <c r="IY9" s="1">
        <f>Table1567891112[[#This Row],[Total_Cost_MUSD]]*1000000*Table1567891112[[#This Row],[prob50-failure_rating2]]/50</f>
        <v>672.35349883686331</v>
      </c>
      <c r="IZ9" s="1">
        <f>Table1567891112[[#This Row],[Total_Cost_MUSD]]*1000000*Table1567891112[[#This Row],[prob50-failure_rating3]]/50</f>
        <v>147.91776974410993</v>
      </c>
      <c r="JA9" s="1">
        <f>Table1567891112[[#This Row],[Total_Cost_MUSD]]*1000000*Table1567891112[[#This Row],[prob50-failure_rating4]]/50</f>
        <v>53.788279906949064</v>
      </c>
      <c r="JB9" s="1">
        <f>Table1567891112[[#This Row],[Total_Cost_MUSD]]*1000000*Table1567891112[[#This Row],[prob50-failure_rating5]]/50</f>
        <v>9.4129489837160865</v>
      </c>
      <c r="JC9" s="1">
        <f>Table1567891112[[#This Row],[Total_Cost_MUSD]]*1000000*Table1567891112[[#This Row],[prob50-failure_rating6]]/50</f>
        <v>2.4204725958127078</v>
      </c>
      <c r="JD9" s="1">
        <f>Table1567891112[[#This Row],[Total_Cost_MUSD]]*1000000*Table1567891112[[#This Row],[prob50-failure_rating7]]/50</f>
        <v>2.4204725958127078</v>
      </c>
      <c r="JE9" s="1">
        <f>Table1567891112[[#This Row],[Total_Cost_MUSD]]*1000000*Table1567891112[[#This Row],[prob50-failure_rating8]]/50</f>
        <v>5.3788279906949066E-2</v>
      </c>
      <c r="JF9" s="1">
        <f>Table1567891112[[#This Row],[Total_Cost_MUSD]]*1000000*Table1567891112[[#This Row],[prob50-failure_rating9]]/50</f>
        <v>3.3617674941843159E-2</v>
      </c>
      <c r="JG9" s="1">
        <f>Table1567891112[[#This Row],[Total_Cost_MUSD]]*1000000*Table1567891112[[#This Row],[prob10-failure_rating1]]/10</f>
        <v>40341.2099302118</v>
      </c>
      <c r="JH9" s="1">
        <f>Table1567891112[[#This Row],[Total_Cost_MUSD]]*1000000*Table1567891112[[#This Row],[prob10-failure_rating2]]/10</f>
        <v>2017.0604965105899</v>
      </c>
      <c r="JI9" s="1">
        <f>Table1567891112[[#This Row],[Total_Cost_MUSD]]*1000000*Table1567891112[[#This Row],[prob10-failure_rating3]]/10</f>
        <v>443.7533092323298</v>
      </c>
      <c r="JJ9" s="1">
        <f>Table1567891112[[#This Row],[Total_Cost_MUSD]]*1000000*Table1567891112[[#This Row],[prob10-failure_rating4]]/10</f>
        <v>161.36483972084721</v>
      </c>
      <c r="JK9" s="1">
        <f>Table1567891112[[#This Row],[Total_Cost_MUSD]]*1000000*Table1567891112[[#This Row],[prob10-failure_rating5]]/10</f>
        <v>28.238846951148254</v>
      </c>
      <c r="JL9" s="1">
        <f>Table1567891112[[#This Row],[Total_Cost_MUSD]]*1000000*Table1567891112[[#This Row],[prob10-failure_rating6]]/10</f>
        <v>7.2614177874381243</v>
      </c>
      <c r="JM9" s="1">
        <f>Table1567891112[[#This Row],[Total_Cost_MUSD]]*1000000*Table1567891112[[#This Row],[prob10-failure_rating7]]/10</f>
        <v>7.2614177874381243</v>
      </c>
      <c r="JN9" s="1">
        <f>Table1567891112[[#This Row],[Total_Cost_MUSD]]*1000000*Table1567891112[[#This Row],[prob10-failure_rating8]]/10</f>
        <v>0.1613648397208472</v>
      </c>
      <c r="JO9" s="1">
        <f>Table1567891112[[#This Row],[Total_Cost_MUSD]]*1000000*Table1567891112[[#This Row],[prob10-failure_rating9]]/10</f>
        <v>0.10085302482552949</v>
      </c>
      <c r="JP9" s="1">
        <f>Table1567891112[[#This Row],[FailureCost_Rating1]]</f>
        <v>3597.0912187772187</v>
      </c>
      <c r="JQ9" s="1">
        <f>Table1567891112[[#This Row],[FailureCost_Rating2]]</f>
        <v>3597.0912187772187</v>
      </c>
      <c r="JR9" s="1">
        <f>(Table1567891112[[#This Row],[failurecost500_rating2]]+Table1567891112[[#This Row],[failurecost100_rating2]]+Table1567891112[[#This Row],[failurecost50_rating2]]+Table1567891112[[#This Row],[failurecost10_rating2]])</f>
        <v>3597.0912187772187</v>
      </c>
      <c r="JS9" s="1">
        <f>(Table1567891112[[#This Row],[failurecost500_rating3]]+Table1567891112[[#This Row],[failurecost100_rating3]]+Table1567891112[[#This Row],[failurecost50_rating3]]+Table1567891112[[#This Row],[failurecost10_rating3]])</f>
        <v>791.36006813098811</v>
      </c>
      <c r="JT9" s="1">
        <f>(Table1567891112[[#This Row],[failurecost500_rating4]]+Table1567891112[[#This Row],[failurecost100_rating4]]+Table1567891112[[#This Row],[failurecost50_rating4]]+Table1567891112[[#This Row],[failurecost10_rating4]])</f>
        <v>287.76729750217748</v>
      </c>
      <c r="JU9" s="1">
        <f>(Table1567891112[[#This Row],[failurecost500_rating5]]+Table1567891112[[#This Row],[failurecost100_rating5]]+Table1567891112[[#This Row],[failurecost50_rating5]]+Table1567891112[[#This Row],[failurecost10_rating5]])</f>
        <v>50.359277062881056</v>
      </c>
      <c r="JV9" s="1">
        <f>(Table1567891112[[#This Row],[failurecost500_rating6]]+Table1567891112[[#This Row],[failurecost100_rating6]]+Table1567891112[[#This Row],[failurecost50_rating6]]+Table1567891112[[#This Row],[failurecost10_rating6]])</f>
        <v>12.949528387597987</v>
      </c>
      <c r="JW9" s="1">
        <f>(Table1567891112[[#This Row],[failurecost500_rating7]]+Table1567891112[[#This Row],[failurecost100_rating7]]+Table1567891112[[#This Row],[failurecost50_rating7]]+Table1567891112[[#This Row],[failurecost10_rating7]])</f>
        <v>12.949528387597987</v>
      </c>
      <c r="JX9" s="1">
        <f>(Table1567891112[[#This Row],[failurecost500_rating8]]+Table1567891112[[#This Row],[failurecost100_rating8]]+Table1567891112[[#This Row],[failurecost50_rating8]]+Table1567891112[[#This Row],[failurecost10_rating8]])</f>
        <v>0.2877672975021775</v>
      </c>
      <c r="JY9" s="1">
        <f>(Table1567891112[[#This Row],[failurecost500_rating9]]+Table1567891112[[#This Row],[failurecost100_rating9]]+Table1567891112[[#This Row],[failurecost50_rating9]]+Table1567891112[[#This Row],[failurecost10_rating9]])</f>
        <v>0.17985456093886093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Table1567891112[[#This Row],[Depth10_Soil_vol]]*(9.353+9.027)+(Table1567891112[[#This Row],[Depth10_Soil_vol]]/2.5)*20*1.053+(PI()*Table1567891112[[#This Row],[Depth10_Scour]])*Table1567891112[[#This Row],[DECK_WIDTH_MT_052]]*1.062</f>
        <v>2767.3671308174216</v>
      </c>
      <c r="AR10" s="1">
        <f>Table1567891112[[#This Row],[Depth50_Soil_vol]]*(9.353+9.027)+(Table1567891112[[#This Row],[Depth50_Soil_vol]]/2.5)*20*1.053+(PI()*Table1567891112[[#This Row],[Depth50_Scour]])*Table1567891112[[#This Row],[DECK_WIDTH_MT_052]]*1.062</f>
        <v>2942.0444801705157</v>
      </c>
      <c r="AS10" s="1">
        <f>Table1567891112[[#This Row],[Depth100_Soil_vol]]*(9.353+9.027)+(Table1567891112[[#This Row],[Depth100_Soil_vol]]/2.5)*20*1.053+(PI()*Table1567891112[[#This Row],[Depth100_Scour]])*Table1567891112[[#This Row],[DECK_WIDTH_MT_052]]*1.062</f>
        <v>3019.9468768096358</v>
      </c>
      <c r="AT10" s="1">
        <f>Table1567891112[[#This Row],[Depth500_Soil_vol]]*(9.353+9.027)+(Table1567891112[[#This Row],[Depth500_Soil_vol]]/2.5)*20*1.053+(PI()*Table1567891112[[#This Row],[Depth500_Scour]])*Table1567891112[[#This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10" s="1">
        <v>20.352014671294711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18090.679707817522</v>
      </c>
      <c r="GM10" s="1">
        <f>Sheet4!R40*$GF10*1000000</f>
        <v>10176.007335647357</v>
      </c>
      <c r="GN10" s="1">
        <f>Sheet4!S40*$GF10*1000000</f>
        <v>6512.6446948143093</v>
      </c>
      <c r="GO10" s="1">
        <f>Sheet4!T40*$GF10*1000000</f>
        <v>4522.6699269543806</v>
      </c>
      <c r="GP10" s="1">
        <f>Sheet4!U40*$GF10*1000000</f>
        <v>3322.7779055175038</v>
      </c>
      <c r="GQ10" s="1">
        <f>Sheet4!V40*$GF10*1000000</f>
        <v>2544.0018339118392</v>
      </c>
      <c r="GR10" s="1">
        <f>Sheet4!W40*$GF10*1000000</f>
        <v>2010.0755230908355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0.01</v>
      </c>
      <c r="HF10" s="1">
        <v>1.25E-3</v>
      </c>
      <c r="HG10" s="1">
        <v>2.7500000000000002E-4</v>
      </c>
      <c r="HH10" s="1">
        <v>1E-4</v>
      </c>
      <c r="HI10" s="1">
        <v>1.7499999999999998E-5</v>
      </c>
      <c r="HJ10" s="1">
        <v>4.5000000000000001E-6</v>
      </c>
      <c r="HK10" s="1">
        <v>4.5000000000000001E-6</v>
      </c>
      <c r="HL10" s="1">
        <v>9.9999999999999995E-8</v>
      </c>
      <c r="HM10" s="1">
        <v>6.2499999999999997E-8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Table1567891112[[#This Row],[Total_Cost_MUSD]]*1000000*Table1567891112[[#This Row],[prob500-failure_rating1]]/500</f>
        <v>407.04029342589422</v>
      </c>
      <c r="IG10" s="1">
        <f>Table1567891112[[#This Row],[Total_Cost_MUSD]]*1000000*Table1567891112[[#This Row],[prob500-failure_rating2]]/500</f>
        <v>203.52014671294711</v>
      </c>
      <c r="IH10" s="1">
        <f>Table1567891112[[#This Row],[Total_Cost_MUSD]]*1000000*Table1567891112[[#This Row],[prob500-failure_rating3]]/500</f>
        <v>44.774432276848366</v>
      </c>
      <c r="II10" s="1">
        <f>Table1567891112[[#This Row],[Total_Cost_MUSD]]*1000000*Table1567891112[[#This Row],[prob500-failure_rating4]]/500</f>
        <v>16.281611737035771</v>
      </c>
      <c r="IJ10" s="1">
        <f>Table1567891112[[#This Row],[Total_Cost_MUSD]]*1000000*Table1567891112[[#This Row],[prob500-failure_rating5]]/500</f>
        <v>2.8492820539812591</v>
      </c>
      <c r="IK10" s="1">
        <f>Table1567891112[[#This Row],[Total_Cost_MUSD]]*1000000*Table1567891112[[#This Row],[prob500-failure_rating6]]/500</f>
        <v>0.73267252816660955</v>
      </c>
      <c r="IL10" s="1">
        <f>Table1567891112[[#This Row],[Total_Cost_MUSD]]*1000000*Table1567891112[[#This Row],[prob500-failure_rating7]]/500</f>
        <v>0.73267252816660955</v>
      </c>
      <c r="IM10" s="1">
        <f>Table1567891112[[#This Row],[Total_Cost_MUSD]]*1000000*Table1567891112[[#This Row],[prob500-failure_rating8]]/500</f>
        <v>1.6281611737035767E-2</v>
      </c>
      <c r="IN10" s="1">
        <f>Table1567891112[[#This Row],[Total_Cost_MUSD]]*1000000*Table1567891112[[#This Row],[prob500-failure_rating9]]/500</f>
        <v>1.0176007335647356E-2</v>
      </c>
      <c r="IO10" s="1">
        <f>Table1567891112[[#This Row],[Total_Cost_MUSD]]*1000000*Table1567891112[[#This Row],[prob100-failure_rating1]]/100</f>
        <v>2035.2014671294712</v>
      </c>
      <c r="IP10" s="1">
        <f>Table1567891112[[#This Row],[Total_Cost_MUSD]]*1000000*Table1567891112[[#This Row],[prob100-failure_rating2]]/100</f>
        <v>254.4001833911839</v>
      </c>
      <c r="IQ10" s="1">
        <f>Table1567891112[[#This Row],[Total_Cost_MUSD]]*1000000*Table1567891112[[#This Row],[prob100-failure_rating3]]/100</f>
        <v>55.968040346060462</v>
      </c>
      <c r="IR10" s="1">
        <f>Table1567891112[[#This Row],[Total_Cost_MUSD]]*1000000*Table1567891112[[#This Row],[prob100-failure_rating4]]/100</f>
        <v>20.352014671294711</v>
      </c>
      <c r="IS10" s="1">
        <f>Table1567891112[[#This Row],[Total_Cost_MUSD]]*1000000*Table1567891112[[#This Row],[prob100-failure_rating5]]/100</f>
        <v>3.5616025674765739</v>
      </c>
      <c r="IT10" s="1">
        <f>Table1567891112[[#This Row],[Total_Cost_MUSD]]*1000000*Table1567891112[[#This Row],[prob100-failure_rating6]]/100</f>
        <v>0.91584066020826205</v>
      </c>
      <c r="IU10" s="1">
        <f>Table1567891112[[#This Row],[Total_Cost_MUSD]]*1000000*Table1567891112[[#This Row],[prob100-failure_rating7]]/100</f>
        <v>0.91584066020826205</v>
      </c>
      <c r="IV10" s="1">
        <f>Table1567891112[[#This Row],[Total_Cost_MUSD]]*1000000*Table1567891112[[#This Row],[prob100-failure_rating8]]/100</f>
        <v>2.0352014671294709E-2</v>
      </c>
      <c r="IW10" s="1">
        <f>Table1567891112[[#This Row],[Total_Cost_MUSD]]*1000000*Table1567891112[[#This Row],[prob100-failure_rating9]]/100</f>
        <v>1.2720009169559194E-2</v>
      </c>
      <c r="IX10" s="1">
        <f>Table1567891112[[#This Row],[Total_Cost_MUSD]]*1000000*Table1567891112[[#This Row],[prob50-failure_rating1]]/50</f>
        <v>4070.4029342589424</v>
      </c>
      <c r="IY10" s="1">
        <f>Table1567891112[[#This Row],[Total_Cost_MUSD]]*1000000*Table1567891112[[#This Row],[prob50-failure_rating2]]/50</f>
        <v>339.20024452157855</v>
      </c>
      <c r="IZ10" s="1">
        <f>Table1567891112[[#This Row],[Total_Cost_MUSD]]*1000000*Table1567891112[[#This Row],[prob50-failure_rating3]]/50</f>
        <v>74.624053794747283</v>
      </c>
      <c r="JA10" s="1">
        <f>Table1567891112[[#This Row],[Total_Cost_MUSD]]*1000000*Table1567891112[[#This Row],[prob50-failure_rating4]]/50</f>
        <v>27.136019561726286</v>
      </c>
      <c r="JB10" s="1">
        <f>Table1567891112[[#This Row],[Total_Cost_MUSD]]*1000000*Table1567891112[[#This Row],[prob50-failure_rating5]]/50</f>
        <v>4.7488034233020997</v>
      </c>
      <c r="JC10" s="1">
        <f>Table1567891112[[#This Row],[Total_Cost_MUSD]]*1000000*Table1567891112[[#This Row],[prob50-failure_rating6]]/50</f>
        <v>1.2211208802776827</v>
      </c>
      <c r="JD10" s="1">
        <f>Table1567891112[[#This Row],[Total_Cost_MUSD]]*1000000*Table1567891112[[#This Row],[prob50-failure_rating7]]/50</f>
        <v>1.2211208802776827</v>
      </c>
      <c r="JE10" s="1">
        <f>Table1567891112[[#This Row],[Total_Cost_MUSD]]*1000000*Table1567891112[[#This Row],[prob50-failure_rating8]]/50</f>
        <v>2.7136019561726284E-2</v>
      </c>
      <c r="JF10" s="1">
        <f>Table1567891112[[#This Row],[Total_Cost_MUSD]]*1000000*Table1567891112[[#This Row],[prob50-failure_rating9]]/50</f>
        <v>1.6960012226078923E-2</v>
      </c>
      <c r="JG10" s="1">
        <f>Table1567891112[[#This Row],[Total_Cost_MUSD]]*1000000*Table1567891112[[#This Row],[prob10-failure_rating1]]/10</f>
        <v>20352.01467129471</v>
      </c>
      <c r="JH10" s="1">
        <f>Table1567891112[[#This Row],[Total_Cost_MUSD]]*1000000*Table1567891112[[#This Row],[prob10-failure_rating2]]/10</f>
        <v>1017.6007335647357</v>
      </c>
      <c r="JI10" s="1">
        <f>Table1567891112[[#This Row],[Total_Cost_MUSD]]*1000000*Table1567891112[[#This Row],[prob10-failure_rating3]]/10</f>
        <v>223.87216138424182</v>
      </c>
      <c r="JJ10" s="1">
        <f>Table1567891112[[#This Row],[Total_Cost_MUSD]]*1000000*Table1567891112[[#This Row],[prob10-failure_rating4]]/10</f>
        <v>81.408058685178858</v>
      </c>
      <c r="JK10" s="1">
        <f>Table1567891112[[#This Row],[Total_Cost_MUSD]]*1000000*Table1567891112[[#This Row],[prob10-failure_rating5]]/10</f>
        <v>14.246410269906296</v>
      </c>
      <c r="JL10" s="1">
        <f>Table1567891112[[#This Row],[Total_Cost_MUSD]]*1000000*Table1567891112[[#This Row],[prob10-failure_rating6]]/10</f>
        <v>3.6633626408330486</v>
      </c>
      <c r="JM10" s="1">
        <f>Table1567891112[[#This Row],[Total_Cost_MUSD]]*1000000*Table1567891112[[#This Row],[prob10-failure_rating7]]/10</f>
        <v>3.6633626408330486</v>
      </c>
      <c r="JN10" s="1">
        <f>Table1567891112[[#This Row],[Total_Cost_MUSD]]*1000000*Table1567891112[[#This Row],[prob10-failure_rating8]]/10</f>
        <v>8.140805868517885E-2</v>
      </c>
      <c r="JO10" s="1">
        <f>Table1567891112[[#This Row],[Total_Cost_MUSD]]*1000000*Table1567891112[[#This Row],[prob10-failure_rating9]]/10</f>
        <v>5.0880036678236776E-2</v>
      </c>
      <c r="JP10" s="1">
        <f>Table1567891112[[#This Row],[FailureCost_Rating1]]</f>
        <v>1814.7213081904454</v>
      </c>
      <c r="JQ10" s="1">
        <f>Table1567891112[[#This Row],[FailureCost_Rating2]]</f>
        <v>1814.7213081904454</v>
      </c>
      <c r="JR10" s="1">
        <f>(Table1567891112[[#This Row],[failurecost500_rating2]]+Table1567891112[[#This Row],[failurecost100_rating2]]+Table1567891112[[#This Row],[failurecost50_rating2]]+Table1567891112[[#This Row],[failurecost10_rating2]])</f>
        <v>1814.7213081904454</v>
      </c>
      <c r="JS10" s="1">
        <f>(Table1567891112[[#This Row],[failurecost500_rating3]]+Table1567891112[[#This Row],[failurecost100_rating3]]+Table1567891112[[#This Row],[failurecost50_rating3]]+Table1567891112[[#This Row],[failurecost10_rating3]])</f>
        <v>399.23868780189792</v>
      </c>
      <c r="JT10" s="1">
        <f>(Table1567891112[[#This Row],[failurecost500_rating4]]+Table1567891112[[#This Row],[failurecost100_rating4]]+Table1567891112[[#This Row],[failurecost50_rating4]]+Table1567891112[[#This Row],[failurecost10_rating4]])</f>
        <v>145.17770465523563</v>
      </c>
      <c r="JU10" s="1">
        <f>(Table1567891112[[#This Row],[failurecost500_rating5]]+Table1567891112[[#This Row],[failurecost100_rating5]]+Table1567891112[[#This Row],[failurecost50_rating5]]+Table1567891112[[#This Row],[failurecost10_rating5]])</f>
        <v>25.406098314666227</v>
      </c>
      <c r="JV10" s="1">
        <f>(Table1567891112[[#This Row],[failurecost500_rating6]]+Table1567891112[[#This Row],[failurecost100_rating6]]+Table1567891112[[#This Row],[failurecost50_rating6]]+Table1567891112[[#This Row],[failurecost10_rating6]])</f>
        <v>6.5329967094856034</v>
      </c>
      <c r="JW10" s="1">
        <f>(Table1567891112[[#This Row],[failurecost500_rating7]]+Table1567891112[[#This Row],[failurecost100_rating7]]+Table1567891112[[#This Row],[failurecost50_rating7]]+Table1567891112[[#This Row],[failurecost10_rating7]])</f>
        <v>6.5329967094856034</v>
      </c>
      <c r="JX10" s="1">
        <f>(Table1567891112[[#This Row],[failurecost500_rating8]]+Table1567891112[[#This Row],[failurecost100_rating8]]+Table1567891112[[#This Row],[failurecost50_rating8]]+Table1567891112[[#This Row],[failurecost10_rating8]])</f>
        <v>0.14517770465523561</v>
      </c>
      <c r="JY10" s="1">
        <f>(Table1567891112[[#This Row],[failurecost500_rating9]]+Table1567891112[[#This Row],[failurecost100_rating9]]+Table1567891112[[#This Row],[failurecost50_rating9]]+Table1567891112[[#This Row],[failurecost10_rating9]])</f>
        <v>9.0736065409522254E-2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Table1567891112[[#This Row],[Depth10_Soil_vol]]*(9.353+9.027)+(Table1567891112[[#This Row],[Depth10_Soil_vol]]/2.5)*20*1.053+(PI()*Table1567891112[[#This Row],[Depth10_Scour]])*Table1567891112[[#This Row],[DECK_WIDTH_MT_052]]*1.062</f>
        <v>12912.070383440046</v>
      </c>
      <c r="AR11" s="1">
        <f>Table1567891112[[#This Row],[Depth50_Soil_vol]]*(9.353+9.027)+(Table1567891112[[#This Row],[Depth50_Soil_vol]]/2.5)*20*1.053+(PI()*Table1567891112[[#This Row],[Depth50_Scour]])*Table1567891112[[#This Row],[DECK_WIDTH_MT_052]]*1.062</f>
        <v>13809.829327894035</v>
      </c>
      <c r="AS11" s="1">
        <f>Table1567891112[[#This Row],[Depth100_Soil_vol]]*(9.353+9.027)+(Table1567891112[[#This Row],[Depth100_Soil_vol]]/2.5)*20*1.053+(PI()*Table1567891112[[#This Row],[Depth100_Scour]])*Table1567891112[[#This Row],[DECK_WIDTH_MT_052]]*1.062</f>
        <v>14209.20261771438</v>
      </c>
      <c r="AT11" s="1">
        <f>Table1567891112[[#This Row],[Depth500_Soil_vol]]*(9.353+9.027)+(Table1567891112[[#This Row],[Depth500_Soil_vol]]/2.5)*20*1.053+(PI()*Table1567891112[[#This Row],[Depth500_Scour]])*Table1567891112[[#This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11" s="1">
        <v>52.303989393463411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46492.43501641191</v>
      </c>
      <c r="GM11" s="1">
        <f>Sheet4!R41*$GF11*1000000</f>
        <v>26151.994696731705</v>
      </c>
      <c r="GN11" s="1">
        <f>Sheet4!S41*$GF11*1000000</f>
        <v>16737.27660590829</v>
      </c>
      <c r="GO11" s="1">
        <f>Sheet4!T41*$GF11*1000000</f>
        <v>11623.108754102977</v>
      </c>
      <c r="GP11" s="1">
        <f>Sheet4!U41*$GF11*1000000</f>
        <v>8539.4268397491287</v>
      </c>
      <c r="GQ11" s="1">
        <f>Sheet4!V41*$GF11*1000000</f>
        <v>6537.9986741829262</v>
      </c>
      <c r="GR11" s="1">
        <f>Sheet4!W41*$GF11*1000000</f>
        <v>5165.8261129346574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0.01</v>
      </c>
      <c r="HF11" s="1">
        <v>1.25E-3</v>
      </c>
      <c r="HG11" s="1">
        <v>2.7500000000000002E-4</v>
      </c>
      <c r="HH11" s="1">
        <v>1E-4</v>
      </c>
      <c r="HI11" s="1">
        <v>1.7499999999999998E-5</v>
      </c>
      <c r="HJ11" s="1">
        <v>4.5000000000000001E-6</v>
      </c>
      <c r="HK11" s="1">
        <v>4.5000000000000001E-6</v>
      </c>
      <c r="HL11" s="1">
        <v>9.9999999999999995E-8</v>
      </c>
      <c r="HM11" s="1">
        <v>6.2499999999999997E-8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Table1567891112[[#This Row],[Total_Cost_MUSD]]*1000000*Table1567891112[[#This Row],[prob500-failure_rating1]]/500</f>
        <v>1046.0797878692681</v>
      </c>
      <c r="IG11" s="1">
        <f>Table1567891112[[#This Row],[Total_Cost_MUSD]]*1000000*Table1567891112[[#This Row],[prob500-failure_rating2]]/500</f>
        <v>523.03989393463405</v>
      </c>
      <c r="IH11" s="1">
        <f>Table1567891112[[#This Row],[Total_Cost_MUSD]]*1000000*Table1567891112[[#This Row],[prob500-failure_rating3]]/500</f>
        <v>115.06877666561951</v>
      </c>
      <c r="II11" s="1">
        <f>Table1567891112[[#This Row],[Total_Cost_MUSD]]*1000000*Table1567891112[[#This Row],[prob500-failure_rating4]]/500</f>
        <v>41.84319151477073</v>
      </c>
      <c r="IJ11" s="1">
        <f>Table1567891112[[#This Row],[Total_Cost_MUSD]]*1000000*Table1567891112[[#This Row],[prob500-failure_rating5]]/500</f>
        <v>7.3225585150848769</v>
      </c>
      <c r="IK11" s="1">
        <f>Table1567891112[[#This Row],[Total_Cost_MUSD]]*1000000*Table1567891112[[#This Row],[prob500-failure_rating6]]/500</f>
        <v>1.8829436181646828</v>
      </c>
      <c r="IL11" s="1">
        <f>Table1567891112[[#This Row],[Total_Cost_MUSD]]*1000000*Table1567891112[[#This Row],[prob500-failure_rating7]]/500</f>
        <v>1.8829436181646828</v>
      </c>
      <c r="IM11" s="1">
        <f>Table1567891112[[#This Row],[Total_Cost_MUSD]]*1000000*Table1567891112[[#This Row],[prob500-failure_rating8]]/500</f>
        <v>4.1843191514770721E-2</v>
      </c>
      <c r="IN11" s="1">
        <f>Table1567891112[[#This Row],[Total_Cost_MUSD]]*1000000*Table1567891112[[#This Row],[prob500-failure_rating9]]/500</f>
        <v>2.6151994696731705E-2</v>
      </c>
      <c r="IO11" s="1">
        <f>Table1567891112[[#This Row],[Total_Cost_MUSD]]*1000000*Table1567891112[[#This Row],[prob100-failure_rating1]]/100</f>
        <v>5230.3989393463407</v>
      </c>
      <c r="IP11" s="1">
        <f>Table1567891112[[#This Row],[Total_Cost_MUSD]]*1000000*Table1567891112[[#This Row],[prob100-failure_rating2]]/100</f>
        <v>653.79986741829259</v>
      </c>
      <c r="IQ11" s="1">
        <f>Table1567891112[[#This Row],[Total_Cost_MUSD]]*1000000*Table1567891112[[#This Row],[prob100-failure_rating3]]/100</f>
        <v>143.8359708320244</v>
      </c>
      <c r="IR11" s="1">
        <f>Table1567891112[[#This Row],[Total_Cost_MUSD]]*1000000*Table1567891112[[#This Row],[prob100-failure_rating4]]/100</f>
        <v>52.303989393463418</v>
      </c>
      <c r="IS11" s="1">
        <f>Table1567891112[[#This Row],[Total_Cost_MUSD]]*1000000*Table1567891112[[#This Row],[prob100-failure_rating5]]/100</f>
        <v>9.1531981438560948</v>
      </c>
      <c r="IT11" s="1">
        <f>Table1567891112[[#This Row],[Total_Cost_MUSD]]*1000000*Table1567891112[[#This Row],[prob100-failure_rating6]]/100</f>
        <v>2.3536795227058538</v>
      </c>
      <c r="IU11" s="1">
        <f>Table1567891112[[#This Row],[Total_Cost_MUSD]]*1000000*Table1567891112[[#This Row],[prob100-failure_rating7]]/100</f>
        <v>2.3536795227058538</v>
      </c>
      <c r="IV11" s="1">
        <f>Table1567891112[[#This Row],[Total_Cost_MUSD]]*1000000*Table1567891112[[#This Row],[prob100-failure_rating8]]/100</f>
        <v>5.2303989393463403E-2</v>
      </c>
      <c r="IW11" s="1">
        <f>Table1567891112[[#This Row],[Total_Cost_MUSD]]*1000000*Table1567891112[[#This Row],[prob100-failure_rating9]]/100</f>
        <v>3.2689993370914633E-2</v>
      </c>
      <c r="IX11" s="1">
        <f>Table1567891112[[#This Row],[Total_Cost_MUSD]]*1000000*Table1567891112[[#This Row],[prob50-failure_rating1]]/50</f>
        <v>10460.797878692681</v>
      </c>
      <c r="IY11" s="1">
        <f>Table1567891112[[#This Row],[Total_Cost_MUSD]]*1000000*Table1567891112[[#This Row],[prob50-failure_rating2]]/50</f>
        <v>871.73315655772353</v>
      </c>
      <c r="IZ11" s="1">
        <f>Table1567891112[[#This Row],[Total_Cost_MUSD]]*1000000*Table1567891112[[#This Row],[prob50-failure_rating3]]/50</f>
        <v>191.78129444269919</v>
      </c>
      <c r="JA11" s="1">
        <f>Table1567891112[[#This Row],[Total_Cost_MUSD]]*1000000*Table1567891112[[#This Row],[prob50-failure_rating4]]/50</f>
        <v>69.738652524617876</v>
      </c>
      <c r="JB11" s="1">
        <f>Table1567891112[[#This Row],[Total_Cost_MUSD]]*1000000*Table1567891112[[#This Row],[prob50-failure_rating5]]/50</f>
        <v>12.204264191808129</v>
      </c>
      <c r="JC11" s="1">
        <f>Table1567891112[[#This Row],[Total_Cost_MUSD]]*1000000*Table1567891112[[#This Row],[prob50-failure_rating6]]/50</f>
        <v>3.1382393636078048</v>
      </c>
      <c r="JD11" s="1">
        <f>Table1567891112[[#This Row],[Total_Cost_MUSD]]*1000000*Table1567891112[[#This Row],[prob50-failure_rating7]]/50</f>
        <v>3.1382393636078048</v>
      </c>
      <c r="JE11" s="1">
        <f>Table1567891112[[#This Row],[Total_Cost_MUSD]]*1000000*Table1567891112[[#This Row],[prob50-failure_rating8]]/50</f>
        <v>6.9738652524617889E-2</v>
      </c>
      <c r="JF11" s="1">
        <f>Table1567891112[[#This Row],[Total_Cost_MUSD]]*1000000*Table1567891112[[#This Row],[prob50-failure_rating9]]/50</f>
        <v>4.358665782788617E-2</v>
      </c>
      <c r="JG11" s="1">
        <f>Table1567891112[[#This Row],[Total_Cost_MUSD]]*1000000*Table1567891112[[#This Row],[prob10-failure_rating1]]/10</f>
        <v>52303.989393463409</v>
      </c>
      <c r="JH11" s="1">
        <f>Table1567891112[[#This Row],[Total_Cost_MUSD]]*1000000*Table1567891112[[#This Row],[prob10-failure_rating2]]/10</f>
        <v>2615.1994696731704</v>
      </c>
      <c r="JI11" s="1">
        <f>Table1567891112[[#This Row],[Total_Cost_MUSD]]*1000000*Table1567891112[[#This Row],[prob10-failure_rating3]]/10</f>
        <v>575.34388332809749</v>
      </c>
      <c r="JJ11" s="1">
        <f>Table1567891112[[#This Row],[Total_Cost_MUSD]]*1000000*Table1567891112[[#This Row],[prob10-failure_rating4]]/10</f>
        <v>209.21595757385367</v>
      </c>
      <c r="JK11" s="1">
        <f>Table1567891112[[#This Row],[Total_Cost_MUSD]]*1000000*Table1567891112[[#This Row],[prob10-failure_rating5]]/10</f>
        <v>36.612792575424386</v>
      </c>
      <c r="JL11" s="1">
        <f>Table1567891112[[#This Row],[Total_Cost_MUSD]]*1000000*Table1567891112[[#This Row],[prob10-failure_rating6]]/10</f>
        <v>9.4147180908234152</v>
      </c>
      <c r="JM11" s="1">
        <f>Table1567891112[[#This Row],[Total_Cost_MUSD]]*1000000*Table1567891112[[#This Row],[prob10-failure_rating7]]/10</f>
        <v>9.4147180908234152</v>
      </c>
      <c r="JN11" s="1">
        <f>Table1567891112[[#This Row],[Total_Cost_MUSD]]*1000000*Table1567891112[[#This Row],[prob10-failure_rating8]]/10</f>
        <v>0.20921595757385364</v>
      </c>
      <c r="JO11" s="1">
        <f>Table1567891112[[#This Row],[Total_Cost_MUSD]]*1000000*Table1567891112[[#This Row],[prob10-failure_rating9]]/10</f>
        <v>0.1307599734836585</v>
      </c>
      <c r="JP11" s="1">
        <f>Table1567891112[[#This Row],[FailureCost_Rating1]]</f>
        <v>4663.7723875838201</v>
      </c>
      <c r="JQ11" s="1">
        <f>Table1567891112[[#This Row],[FailureCost_Rating2]]</f>
        <v>4663.7723875838201</v>
      </c>
      <c r="JR11" s="1">
        <f>(Table1567891112[[#This Row],[failurecost500_rating2]]+Table1567891112[[#This Row],[failurecost100_rating2]]+Table1567891112[[#This Row],[failurecost50_rating2]]+Table1567891112[[#This Row],[failurecost10_rating2]])</f>
        <v>4663.7723875838201</v>
      </c>
      <c r="JS11" s="1">
        <f>(Table1567891112[[#This Row],[failurecost500_rating3]]+Table1567891112[[#This Row],[failurecost100_rating3]]+Table1567891112[[#This Row],[failurecost50_rating3]]+Table1567891112[[#This Row],[failurecost10_rating3]])</f>
        <v>1026.0299252684406</v>
      </c>
      <c r="JT11" s="1">
        <f>(Table1567891112[[#This Row],[failurecost500_rating4]]+Table1567891112[[#This Row],[failurecost100_rating4]]+Table1567891112[[#This Row],[failurecost50_rating4]]+Table1567891112[[#This Row],[failurecost10_rating4]])</f>
        <v>373.1017910067057</v>
      </c>
      <c r="JU11" s="1">
        <f>(Table1567891112[[#This Row],[failurecost500_rating5]]+Table1567891112[[#This Row],[failurecost100_rating5]]+Table1567891112[[#This Row],[failurecost50_rating5]]+Table1567891112[[#This Row],[failurecost10_rating5]])</f>
        <v>65.292813426173495</v>
      </c>
      <c r="JV11" s="1">
        <f>(Table1567891112[[#This Row],[failurecost500_rating6]]+Table1567891112[[#This Row],[failurecost100_rating6]]+Table1567891112[[#This Row],[failurecost50_rating6]]+Table1567891112[[#This Row],[failurecost10_rating6]])</f>
        <v>16.789580595301757</v>
      </c>
      <c r="JW11" s="1">
        <f>(Table1567891112[[#This Row],[failurecost500_rating7]]+Table1567891112[[#This Row],[failurecost100_rating7]]+Table1567891112[[#This Row],[failurecost50_rating7]]+Table1567891112[[#This Row],[failurecost10_rating7]])</f>
        <v>16.789580595301757</v>
      </c>
      <c r="JX11" s="1">
        <f>(Table1567891112[[#This Row],[failurecost500_rating8]]+Table1567891112[[#This Row],[failurecost100_rating8]]+Table1567891112[[#This Row],[failurecost50_rating8]]+Table1567891112[[#This Row],[failurecost10_rating8]])</f>
        <v>0.37310179100670565</v>
      </c>
      <c r="JY11" s="1">
        <f>(Table1567891112[[#This Row],[failurecost500_rating9]]+Table1567891112[[#This Row],[failurecost100_rating9]]+Table1567891112[[#This Row],[failurecost50_rating9]]+Table1567891112[[#This Row],[failurecost10_rating9]])</f>
        <v>0.233188619379191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Table1567891112[[#This Row],[Depth10_Soil_vol]]*(9.353+9.027)+(Table1567891112[[#This Row],[Depth10_Soil_vol]]/2.5)*20*1.053+(PI()*Table1567891112[[#This Row],[Depth10_Scour]])*Table1567891112[[#This Row],[DECK_WIDTH_MT_052]]*1.062</f>
        <v>6737.4062355001524</v>
      </c>
      <c r="AR12" s="1">
        <f>Table1567891112[[#This Row],[Depth50_Soil_vol]]*(9.353+9.027)+(Table1567891112[[#This Row],[Depth50_Soil_vol]]/2.5)*20*1.053+(PI()*Table1567891112[[#This Row],[Depth50_Scour]])*Table1567891112[[#This Row],[DECK_WIDTH_MT_052]]*1.062</f>
        <v>7415.8873465101096</v>
      </c>
      <c r="AS12" s="1">
        <f>Table1567891112[[#This Row],[Depth100_Soil_vol]]*(9.353+9.027)+(Table1567891112[[#This Row],[Depth100_Soil_vol]]/2.5)*20*1.053+(PI()*Table1567891112[[#This Row],[Depth100_Scour]])*Table1567891112[[#This Row],[DECK_WIDTH_MT_052]]*1.062</f>
        <v>7705.9386938101106</v>
      </c>
      <c r="AT12" s="1">
        <f>Table1567891112[[#This Row],[Depth500_Soil_vol]]*(9.353+9.027)+(Table1567891112[[#This Row],[Depth500_Soil_vol]]/2.5)*20*1.053+(PI()*Table1567891112[[#This Row],[Depth500_Scour]])*Table1567891112[[#This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12" s="1">
        <v>16.580746149034368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14738.44102136388</v>
      </c>
      <c r="GM12" s="1">
        <f>Sheet4!R42*$GF12*1000000</f>
        <v>8290.3730745171852</v>
      </c>
      <c r="GN12" s="1">
        <f>Sheet4!S42*$GF12*1000000</f>
        <v>5305.8387676909979</v>
      </c>
      <c r="GO12" s="1">
        <f>Sheet4!T42*$GF12*1000000</f>
        <v>3684.6102553409701</v>
      </c>
      <c r="GP12" s="1">
        <f>Sheet4!U42*$GF12*1000000</f>
        <v>2707.0605957607127</v>
      </c>
      <c r="GQ12" s="1">
        <f>Sheet4!V42*$GF12*1000000</f>
        <v>2072.5932686292963</v>
      </c>
      <c r="GR12" s="1">
        <f>Sheet4!W42*$GF12*1000000</f>
        <v>1637.6045579293204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0.01</v>
      </c>
      <c r="HF12" s="1">
        <v>1.25E-3</v>
      </c>
      <c r="HG12" s="1">
        <v>2.7500000000000002E-4</v>
      </c>
      <c r="HH12" s="1">
        <v>1E-4</v>
      </c>
      <c r="HI12" s="1">
        <v>1.7499999999999998E-5</v>
      </c>
      <c r="HJ12" s="1">
        <v>4.5000000000000001E-6</v>
      </c>
      <c r="HK12" s="1">
        <v>4.5000000000000001E-6</v>
      </c>
      <c r="HL12" s="1">
        <v>9.9999999999999995E-8</v>
      </c>
      <c r="HM12" s="1">
        <v>6.2499999999999997E-8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Table1567891112[[#This Row],[Total_Cost_MUSD]]*1000000*Table1567891112[[#This Row],[prob500-failure_rating1]]/500</f>
        <v>331.61492298068737</v>
      </c>
      <c r="IG12" s="1">
        <f>Table1567891112[[#This Row],[Total_Cost_MUSD]]*1000000*Table1567891112[[#This Row],[prob500-failure_rating2]]/500</f>
        <v>165.80746149034368</v>
      </c>
      <c r="IH12" s="1">
        <f>Table1567891112[[#This Row],[Total_Cost_MUSD]]*1000000*Table1567891112[[#This Row],[prob500-failure_rating3]]/500</f>
        <v>36.477641527875612</v>
      </c>
      <c r="II12" s="1">
        <f>Table1567891112[[#This Row],[Total_Cost_MUSD]]*1000000*Table1567891112[[#This Row],[prob500-failure_rating4]]/500</f>
        <v>13.264596919227495</v>
      </c>
      <c r="IJ12" s="1">
        <f>Table1567891112[[#This Row],[Total_Cost_MUSD]]*1000000*Table1567891112[[#This Row],[prob500-failure_rating5]]/500</f>
        <v>2.3213044608648117</v>
      </c>
      <c r="IK12" s="1">
        <f>Table1567891112[[#This Row],[Total_Cost_MUSD]]*1000000*Table1567891112[[#This Row],[prob500-failure_rating6]]/500</f>
        <v>0.59690686136523718</v>
      </c>
      <c r="IL12" s="1">
        <f>Table1567891112[[#This Row],[Total_Cost_MUSD]]*1000000*Table1567891112[[#This Row],[prob500-failure_rating7]]/500</f>
        <v>0.59690686136523718</v>
      </c>
      <c r="IM12" s="1">
        <f>Table1567891112[[#This Row],[Total_Cost_MUSD]]*1000000*Table1567891112[[#This Row],[prob500-failure_rating8]]/500</f>
        <v>1.3264596919227493E-2</v>
      </c>
      <c r="IN12" s="1">
        <f>Table1567891112[[#This Row],[Total_Cost_MUSD]]*1000000*Table1567891112[[#This Row],[prob500-failure_rating9]]/500</f>
        <v>8.2903730745171843E-3</v>
      </c>
      <c r="IO12" s="1">
        <f>Table1567891112[[#This Row],[Total_Cost_MUSD]]*1000000*Table1567891112[[#This Row],[prob100-failure_rating1]]/100</f>
        <v>1658.0746149034367</v>
      </c>
      <c r="IP12" s="1">
        <f>Table1567891112[[#This Row],[Total_Cost_MUSD]]*1000000*Table1567891112[[#This Row],[prob100-failure_rating2]]/100</f>
        <v>207.25932686292958</v>
      </c>
      <c r="IQ12" s="1">
        <f>Table1567891112[[#This Row],[Total_Cost_MUSD]]*1000000*Table1567891112[[#This Row],[prob100-failure_rating3]]/100</f>
        <v>45.59705190984451</v>
      </c>
      <c r="IR12" s="1">
        <f>Table1567891112[[#This Row],[Total_Cost_MUSD]]*1000000*Table1567891112[[#This Row],[prob100-failure_rating4]]/100</f>
        <v>16.580746149034368</v>
      </c>
      <c r="IS12" s="1">
        <f>Table1567891112[[#This Row],[Total_Cost_MUSD]]*1000000*Table1567891112[[#This Row],[prob100-failure_rating5]]/100</f>
        <v>2.9016305760810144</v>
      </c>
      <c r="IT12" s="1">
        <f>Table1567891112[[#This Row],[Total_Cost_MUSD]]*1000000*Table1567891112[[#This Row],[prob100-failure_rating6]]/100</f>
        <v>0.74613357670654645</v>
      </c>
      <c r="IU12" s="1">
        <f>Table1567891112[[#This Row],[Total_Cost_MUSD]]*1000000*Table1567891112[[#This Row],[prob100-failure_rating7]]/100</f>
        <v>0.74613357670654645</v>
      </c>
      <c r="IV12" s="1">
        <f>Table1567891112[[#This Row],[Total_Cost_MUSD]]*1000000*Table1567891112[[#This Row],[prob100-failure_rating8]]/100</f>
        <v>1.6580746149034365E-2</v>
      </c>
      <c r="IW12" s="1">
        <f>Table1567891112[[#This Row],[Total_Cost_MUSD]]*1000000*Table1567891112[[#This Row],[prob100-failure_rating9]]/100</f>
        <v>1.0362966343146479E-2</v>
      </c>
      <c r="IX12" s="1">
        <f>Table1567891112[[#This Row],[Total_Cost_MUSD]]*1000000*Table1567891112[[#This Row],[prob50-failure_rating1]]/50</f>
        <v>3316.1492298068733</v>
      </c>
      <c r="IY12" s="1">
        <f>Table1567891112[[#This Row],[Total_Cost_MUSD]]*1000000*Table1567891112[[#This Row],[prob50-failure_rating2]]/50</f>
        <v>276.34576915057283</v>
      </c>
      <c r="IZ12" s="1">
        <f>Table1567891112[[#This Row],[Total_Cost_MUSD]]*1000000*Table1567891112[[#This Row],[prob50-failure_rating3]]/50</f>
        <v>60.796069213126017</v>
      </c>
      <c r="JA12" s="1">
        <f>Table1567891112[[#This Row],[Total_Cost_MUSD]]*1000000*Table1567891112[[#This Row],[prob50-failure_rating4]]/50</f>
        <v>22.107661532045828</v>
      </c>
      <c r="JB12" s="1">
        <f>Table1567891112[[#This Row],[Total_Cost_MUSD]]*1000000*Table1567891112[[#This Row],[prob50-failure_rating5]]/50</f>
        <v>3.868840768108019</v>
      </c>
      <c r="JC12" s="1">
        <f>Table1567891112[[#This Row],[Total_Cost_MUSD]]*1000000*Table1567891112[[#This Row],[prob50-failure_rating6]]/50</f>
        <v>0.99484476894206209</v>
      </c>
      <c r="JD12" s="1">
        <f>Table1567891112[[#This Row],[Total_Cost_MUSD]]*1000000*Table1567891112[[#This Row],[prob50-failure_rating7]]/50</f>
        <v>0.99484476894206209</v>
      </c>
      <c r="JE12" s="1">
        <f>Table1567891112[[#This Row],[Total_Cost_MUSD]]*1000000*Table1567891112[[#This Row],[prob50-failure_rating8]]/50</f>
        <v>2.2107661532045825E-2</v>
      </c>
      <c r="JF12" s="1">
        <f>Table1567891112[[#This Row],[Total_Cost_MUSD]]*1000000*Table1567891112[[#This Row],[prob50-failure_rating9]]/50</f>
        <v>1.3817288457528639E-2</v>
      </c>
      <c r="JG12" s="1">
        <f>Table1567891112[[#This Row],[Total_Cost_MUSD]]*1000000*Table1567891112[[#This Row],[prob10-failure_rating1]]/10</f>
        <v>16580.746149034367</v>
      </c>
      <c r="JH12" s="1">
        <f>Table1567891112[[#This Row],[Total_Cost_MUSD]]*1000000*Table1567891112[[#This Row],[prob10-failure_rating2]]/10</f>
        <v>829.03730745171833</v>
      </c>
      <c r="JI12" s="1">
        <f>Table1567891112[[#This Row],[Total_Cost_MUSD]]*1000000*Table1567891112[[#This Row],[prob10-failure_rating3]]/10</f>
        <v>182.38820763937807</v>
      </c>
      <c r="JJ12" s="1">
        <f>Table1567891112[[#This Row],[Total_Cost_MUSD]]*1000000*Table1567891112[[#This Row],[prob10-failure_rating4]]/10</f>
        <v>66.322984596137474</v>
      </c>
      <c r="JK12" s="1">
        <f>Table1567891112[[#This Row],[Total_Cost_MUSD]]*1000000*Table1567891112[[#This Row],[prob10-failure_rating5]]/10</f>
        <v>11.606522304324056</v>
      </c>
      <c r="JL12" s="1">
        <f>Table1567891112[[#This Row],[Total_Cost_MUSD]]*1000000*Table1567891112[[#This Row],[prob10-failure_rating6]]/10</f>
        <v>2.9845343068261867</v>
      </c>
      <c r="JM12" s="1">
        <f>Table1567891112[[#This Row],[Total_Cost_MUSD]]*1000000*Table1567891112[[#This Row],[prob10-failure_rating7]]/10</f>
        <v>2.9845343068261867</v>
      </c>
      <c r="JN12" s="1">
        <f>Table1567891112[[#This Row],[Total_Cost_MUSD]]*1000000*Table1567891112[[#This Row],[prob10-failure_rating8]]/10</f>
        <v>6.6322984596137474E-2</v>
      </c>
      <c r="JO12" s="1">
        <f>Table1567891112[[#This Row],[Total_Cost_MUSD]]*1000000*Table1567891112[[#This Row],[prob10-failure_rating9]]/10</f>
        <v>4.1451865372585918E-2</v>
      </c>
      <c r="JP12" s="1">
        <f>Table1567891112[[#This Row],[FailureCost_Rating1]]</f>
        <v>1478.4498649555644</v>
      </c>
      <c r="JQ12" s="1">
        <f>Table1567891112[[#This Row],[FailureCost_Rating2]]</f>
        <v>1478.4498649555644</v>
      </c>
      <c r="JR12" s="1">
        <f>(Table1567891112[[#This Row],[failurecost500_rating2]]+Table1567891112[[#This Row],[failurecost100_rating2]]+Table1567891112[[#This Row],[failurecost50_rating2]]+Table1567891112[[#This Row],[failurecost10_rating2]])</f>
        <v>1478.4498649555644</v>
      </c>
      <c r="JS12" s="1">
        <f>(Table1567891112[[#This Row],[failurecost500_rating3]]+Table1567891112[[#This Row],[failurecost100_rating3]]+Table1567891112[[#This Row],[failurecost50_rating3]]+Table1567891112[[#This Row],[failurecost10_rating3]])</f>
        <v>325.25897029022417</v>
      </c>
      <c r="JT12" s="1">
        <f>(Table1567891112[[#This Row],[failurecost500_rating4]]+Table1567891112[[#This Row],[failurecost100_rating4]]+Table1567891112[[#This Row],[failurecost50_rating4]]+Table1567891112[[#This Row],[failurecost10_rating4]])</f>
        <v>118.27598919644517</v>
      </c>
      <c r="JU12" s="1">
        <f>(Table1567891112[[#This Row],[failurecost500_rating5]]+Table1567891112[[#This Row],[failurecost100_rating5]]+Table1567891112[[#This Row],[failurecost50_rating5]]+Table1567891112[[#This Row],[failurecost10_rating5]])</f>
        <v>20.698298109377902</v>
      </c>
      <c r="JV12" s="1">
        <f>(Table1567891112[[#This Row],[failurecost500_rating6]]+Table1567891112[[#This Row],[failurecost100_rating6]]+Table1567891112[[#This Row],[failurecost50_rating6]]+Table1567891112[[#This Row],[failurecost10_rating6]])</f>
        <v>5.3224195138400319</v>
      </c>
      <c r="JW12" s="1">
        <f>(Table1567891112[[#This Row],[failurecost500_rating7]]+Table1567891112[[#This Row],[failurecost100_rating7]]+Table1567891112[[#This Row],[failurecost50_rating7]]+Table1567891112[[#This Row],[failurecost10_rating7]])</f>
        <v>5.3224195138400319</v>
      </c>
      <c r="JX12" s="1">
        <f>(Table1567891112[[#This Row],[failurecost500_rating8]]+Table1567891112[[#This Row],[failurecost100_rating8]]+Table1567891112[[#This Row],[failurecost50_rating8]]+Table1567891112[[#This Row],[failurecost10_rating8]])</f>
        <v>0.11827598919644516</v>
      </c>
      <c r="JY12" s="1">
        <f>(Table1567891112[[#This Row],[failurecost500_rating9]]+Table1567891112[[#This Row],[failurecost100_rating9]]+Table1567891112[[#This Row],[failurecost50_rating9]]+Table1567891112[[#This Row],[failurecost10_rating9]])</f>
        <v>7.392249324777822E-2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Table1567891112[[#This Row],[Depth10_Soil_vol]]*(9.353+9.027)+(Table1567891112[[#This Row],[Depth10_Soil_vol]]/2.5)*20*1.053+(PI()*Table1567891112[[#This Row],[Depth10_Scour]])*Table1567891112[[#This Row],[DECK_WIDTH_MT_052]]*1.062</f>
        <v>6992.666213599131</v>
      </c>
      <c r="AR13" s="1">
        <f>Table1567891112[[#This Row],[Depth50_Soil_vol]]*(9.353+9.027)+(Table1567891112[[#This Row],[Depth50_Soil_vol]]/2.5)*20*1.053+(PI()*Table1567891112[[#This Row],[Depth50_Scour]])*Table1567891112[[#This Row],[DECK_WIDTH_MT_052]]*1.062</f>
        <v>8975.9969727162606</v>
      </c>
      <c r="AS13" s="1">
        <f>Table1567891112[[#This Row],[Depth100_Soil_vol]]*(9.353+9.027)+(Table1567891112[[#This Row],[Depth100_Soil_vol]]/2.5)*20*1.053+(PI()*Table1567891112[[#This Row],[Depth100_Scour]])*Table1567891112[[#This Row],[DECK_WIDTH_MT_052]]*1.062</f>
        <v>9724.0394899581861</v>
      </c>
      <c r="AT13" s="1">
        <f>Table1567891112[[#This Row],[Depth500_Soil_vol]]*(9.353+9.027)+(Table1567891112[[#This Row],[Depth500_Soil_vol]]/2.5)*20*1.053+(PI()*Table1567891112[[#This Row],[Depth500_Scour]])*Table1567891112[[#This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</v>
      </c>
      <c r="GF13" s="1">
        <v>28.805076994745228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25604.512884217977</v>
      </c>
      <c r="GM13" s="1">
        <f>Sheet4!R43*$GF13*1000000</f>
        <v>14402.538497372614</v>
      </c>
      <c r="GN13" s="1">
        <f>Sheet4!S43*$GF13*1000000</f>
        <v>9217.6246383184753</v>
      </c>
      <c r="GO13" s="1">
        <f>Sheet4!T43*$GF13*1000000</f>
        <v>6401.1282210544941</v>
      </c>
      <c r="GP13" s="1">
        <f>Sheet4!U43*$GF13*1000000</f>
        <v>4702.8697134277936</v>
      </c>
      <c r="GQ13" s="1">
        <f>Sheet4!V43*$GF13*1000000</f>
        <v>3600.6346243431535</v>
      </c>
      <c r="GR13" s="1">
        <f>Sheet4!W43*$GF13*1000000</f>
        <v>2844.9458760242196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0.01</v>
      </c>
      <c r="HF13" s="1">
        <v>1.25E-3</v>
      </c>
      <c r="HG13" s="1">
        <v>2.7500000000000002E-4</v>
      </c>
      <c r="HH13" s="1">
        <v>1E-4</v>
      </c>
      <c r="HI13" s="1">
        <v>1.7499999999999998E-5</v>
      </c>
      <c r="HJ13" s="1">
        <v>4.5000000000000001E-6</v>
      </c>
      <c r="HK13" s="1">
        <v>4.5000000000000001E-6</v>
      </c>
      <c r="HL13" s="1">
        <v>9.9999999999999995E-8</v>
      </c>
      <c r="HM13" s="1">
        <v>6.2499999999999997E-8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Table1567891112[[#This Row],[Total_Cost_MUSD]]*1000000*Table1567891112[[#This Row],[prob500-failure_rating1]]/500</f>
        <v>576.10153989490459</v>
      </c>
      <c r="IG13" s="1">
        <f>Table1567891112[[#This Row],[Total_Cost_MUSD]]*1000000*Table1567891112[[#This Row],[prob500-failure_rating2]]/500</f>
        <v>288.0507699474523</v>
      </c>
      <c r="IH13" s="1">
        <f>Table1567891112[[#This Row],[Total_Cost_MUSD]]*1000000*Table1567891112[[#This Row],[prob500-failure_rating3]]/500</f>
        <v>63.371169388439505</v>
      </c>
      <c r="II13" s="1">
        <f>Table1567891112[[#This Row],[Total_Cost_MUSD]]*1000000*Table1567891112[[#This Row],[prob500-failure_rating4]]/500</f>
        <v>23.044061595796187</v>
      </c>
      <c r="IJ13" s="1">
        <f>Table1567891112[[#This Row],[Total_Cost_MUSD]]*1000000*Table1567891112[[#This Row],[prob500-failure_rating5]]/500</f>
        <v>4.0327107792643311</v>
      </c>
      <c r="IK13" s="1">
        <f>Table1567891112[[#This Row],[Total_Cost_MUSD]]*1000000*Table1567891112[[#This Row],[prob500-failure_rating6]]/500</f>
        <v>1.0369827718108284</v>
      </c>
      <c r="IL13" s="1">
        <f>Table1567891112[[#This Row],[Total_Cost_MUSD]]*1000000*Table1567891112[[#This Row],[prob500-failure_rating7]]/500</f>
        <v>1.0369827718108284</v>
      </c>
      <c r="IM13" s="1">
        <f>Table1567891112[[#This Row],[Total_Cost_MUSD]]*1000000*Table1567891112[[#This Row],[prob500-failure_rating8]]/500</f>
        <v>2.3044061595796184E-2</v>
      </c>
      <c r="IN13" s="1">
        <f>Table1567891112[[#This Row],[Total_Cost_MUSD]]*1000000*Table1567891112[[#This Row],[prob500-failure_rating9]]/500</f>
        <v>1.4402538497372615E-2</v>
      </c>
      <c r="IO13" s="1">
        <f>Table1567891112[[#This Row],[Total_Cost_MUSD]]*1000000*Table1567891112[[#This Row],[prob100-failure_rating1]]/100</f>
        <v>2880.5076994745232</v>
      </c>
      <c r="IP13" s="1">
        <f>Table1567891112[[#This Row],[Total_Cost_MUSD]]*1000000*Table1567891112[[#This Row],[prob100-failure_rating2]]/100</f>
        <v>360.0634624343154</v>
      </c>
      <c r="IQ13" s="1">
        <f>Table1567891112[[#This Row],[Total_Cost_MUSD]]*1000000*Table1567891112[[#This Row],[prob100-failure_rating3]]/100</f>
        <v>79.21396173554939</v>
      </c>
      <c r="IR13" s="1">
        <f>Table1567891112[[#This Row],[Total_Cost_MUSD]]*1000000*Table1567891112[[#This Row],[prob100-failure_rating4]]/100</f>
        <v>28.805076994745232</v>
      </c>
      <c r="IS13" s="1">
        <f>Table1567891112[[#This Row],[Total_Cost_MUSD]]*1000000*Table1567891112[[#This Row],[prob100-failure_rating5]]/100</f>
        <v>5.0408884740804147</v>
      </c>
      <c r="IT13" s="1">
        <f>Table1567891112[[#This Row],[Total_Cost_MUSD]]*1000000*Table1567891112[[#This Row],[prob100-failure_rating6]]/100</f>
        <v>1.2962284647635354</v>
      </c>
      <c r="IU13" s="1">
        <f>Table1567891112[[#This Row],[Total_Cost_MUSD]]*1000000*Table1567891112[[#This Row],[prob100-failure_rating7]]/100</f>
        <v>1.2962284647635354</v>
      </c>
      <c r="IV13" s="1">
        <f>Table1567891112[[#This Row],[Total_Cost_MUSD]]*1000000*Table1567891112[[#This Row],[prob100-failure_rating8]]/100</f>
        <v>2.880507699474523E-2</v>
      </c>
      <c r="IW13" s="1">
        <f>Table1567891112[[#This Row],[Total_Cost_MUSD]]*1000000*Table1567891112[[#This Row],[prob100-failure_rating9]]/100</f>
        <v>1.8003173121715767E-2</v>
      </c>
      <c r="IX13" s="1">
        <f>Table1567891112[[#This Row],[Total_Cost_MUSD]]*1000000*Table1567891112[[#This Row],[prob50-failure_rating1]]/50</f>
        <v>5761.0153989490464</v>
      </c>
      <c r="IY13" s="1">
        <f>Table1567891112[[#This Row],[Total_Cost_MUSD]]*1000000*Table1567891112[[#This Row],[prob50-failure_rating2]]/50</f>
        <v>480.08461657908714</v>
      </c>
      <c r="IZ13" s="1">
        <f>Table1567891112[[#This Row],[Total_Cost_MUSD]]*1000000*Table1567891112[[#This Row],[prob50-failure_rating3]]/50</f>
        <v>105.61861564739917</v>
      </c>
      <c r="JA13" s="1">
        <f>Table1567891112[[#This Row],[Total_Cost_MUSD]]*1000000*Table1567891112[[#This Row],[prob50-failure_rating4]]/50</f>
        <v>38.406769326326973</v>
      </c>
      <c r="JB13" s="1">
        <f>Table1567891112[[#This Row],[Total_Cost_MUSD]]*1000000*Table1567891112[[#This Row],[prob50-failure_rating5]]/50</f>
        <v>6.7211846321072199</v>
      </c>
      <c r="JC13" s="1">
        <f>Table1567891112[[#This Row],[Total_Cost_MUSD]]*1000000*Table1567891112[[#This Row],[prob50-failure_rating6]]/50</f>
        <v>1.7283046196847138</v>
      </c>
      <c r="JD13" s="1">
        <f>Table1567891112[[#This Row],[Total_Cost_MUSD]]*1000000*Table1567891112[[#This Row],[prob50-failure_rating7]]/50</f>
        <v>1.7283046196847138</v>
      </c>
      <c r="JE13" s="1">
        <f>Table1567891112[[#This Row],[Total_Cost_MUSD]]*1000000*Table1567891112[[#This Row],[prob50-failure_rating8]]/50</f>
        <v>3.8406769326326973E-2</v>
      </c>
      <c r="JF13" s="1">
        <f>Table1567891112[[#This Row],[Total_Cost_MUSD]]*1000000*Table1567891112[[#This Row],[prob50-failure_rating9]]/50</f>
        <v>2.4004230828954354E-2</v>
      </c>
      <c r="JG13" s="1">
        <f>Table1567891112[[#This Row],[Total_Cost_MUSD]]*1000000*Table1567891112[[#This Row],[prob10-failure_rating1]]/10</f>
        <v>28805.076994745228</v>
      </c>
      <c r="JH13" s="1">
        <f>Table1567891112[[#This Row],[Total_Cost_MUSD]]*1000000*Table1567891112[[#This Row],[prob10-failure_rating2]]/10</f>
        <v>1440.2538497372614</v>
      </c>
      <c r="JI13" s="1">
        <f>Table1567891112[[#This Row],[Total_Cost_MUSD]]*1000000*Table1567891112[[#This Row],[prob10-failure_rating3]]/10</f>
        <v>316.8558469421975</v>
      </c>
      <c r="JJ13" s="1">
        <f>Table1567891112[[#This Row],[Total_Cost_MUSD]]*1000000*Table1567891112[[#This Row],[prob10-failure_rating4]]/10</f>
        <v>115.22030797898091</v>
      </c>
      <c r="JK13" s="1">
        <f>Table1567891112[[#This Row],[Total_Cost_MUSD]]*1000000*Table1567891112[[#This Row],[prob10-failure_rating5]]/10</f>
        <v>20.163553896321655</v>
      </c>
      <c r="JL13" s="1">
        <f>Table1567891112[[#This Row],[Total_Cost_MUSD]]*1000000*Table1567891112[[#This Row],[prob10-failure_rating6]]/10</f>
        <v>5.1849138590541415</v>
      </c>
      <c r="JM13" s="1">
        <f>Table1567891112[[#This Row],[Total_Cost_MUSD]]*1000000*Table1567891112[[#This Row],[prob10-failure_rating7]]/10</f>
        <v>5.1849138590541415</v>
      </c>
      <c r="JN13" s="1">
        <f>Table1567891112[[#This Row],[Total_Cost_MUSD]]*1000000*Table1567891112[[#This Row],[prob10-failure_rating8]]/10</f>
        <v>0.1152203079789809</v>
      </c>
      <c r="JO13" s="1">
        <f>Table1567891112[[#This Row],[Total_Cost_MUSD]]*1000000*Table1567891112[[#This Row],[prob10-failure_rating9]]/10</f>
        <v>7.2012692486863067E-2</v>
      </c>
      <c r="JP13" s="1">
        <f>Table1567891112[[#This Row],[FailureCost_Rating1]]</f>
        <v>2568.4526986981164</v>
      </c>
      <c r="JQ13" s="1">
        <f>Table1567891112[[#This Row],[FailureCost_Rating2]]</f>
        <v>2568.4526986981164</v>
      </c>
      <c r="JR13" s="1">
        <f>(Table1567891112[[#This Row],[failurecost500_rating2]]+Table1567891112[[#This Row],[failurecost100_rating2]]+Table1567891112[[#This Row],[failurecost50_rating2]]+Table1567891112[[#This Row],[failurecost10_rating2]])</f>
        <v>2568.4526986981164</v>
      </c>
      <c r="JS13" s="1">
        <f>(Table1567891112[[#This Row],[failurecost500_rating3]]+Table1567891112[[#This Row],[failurecost100_rating3]]+Table1567891112[[#This Row],[failurecost50_rating3]]+Table1567891112[[#This Row],[failurecost10_rating3]])</f>
        <v>565.05959371358563</v>
      </c>
      <c r="JT13" s="1">
        <f>(Table1567891112[[#This Row],[failurecost500_rating4]]+Table1567891112[[#This Row],[failurecost100_rating4]]+Table1567891112[[#This Row],[failurecost50_rating4]]+Table1567891112[[#This Row],[failurecost10_rating4]])</f>
        <v>205.47621589584929</v>
      </c>
      <c r="JU13" s="1">
        <f>(Table1567891112[[#This Row],[failurecost500_rating5]]+Table1567891112[[#This Row],[failurecost100_rating5]]+Table1567891112[[#This Row],[failurecost50_rating5]]+Table1567891112[[#This Row],[failurecost10_rating5]])</f>
        <v>35.958337781773622</v>
      </c>
      <c r="JV13" s="1">
        <f>(Table1567891112[[#This Row],[failurecost500_rating6]]+Table1567891112[[#This Row],[failurecost100_rating6]]+Table1567891112[[#This Row],[failurecost50_rating6]]+Table1567891112[[#This Row],[failurecost10_rating6]])</f>
        <v>9.2464297153132193</v>
      </c>
      <c r="JW13" s="1">
        <f>(Table1567891112[[#This Row],[failurecost500_rating7]]+Table1567891112[[#This Row],[failurecost100_rating7]]+Table1567891112[[#This Row],[failurecost50_rating7]]+Table1567891112[[#This Row],[failurecost10_rating7]])</f>
        <v>9.2464297153132193</v>
      </c>
      <c r="JX13" s="1">
        <f>(Table1567891112[[#This Row],[failurecost500_rating8]]+Table1567891112[[#This Row],[failurecost100_rating8]]+Table1567891112[[#This Row],[failurecost50_rating8]]+Table1567891112[[#This Row],[failurecost10_rating8]])</f>
        <v>0.2054762158958493</v>
      </c>
      <c r="JY13" s="1">
        <f>(Table1567891112[[#This Row],[failurecost500_rating9]]+Table1567891112[[#This Row],[failurecost100_rating9]]+Table1567891112[[#This Row],[failurecost50_rating9]]+Table1567891112[[#This Row],[failurecost10_rating9]])</f>
        <v>0.1284226349349058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Table1567891112[[#This Row],[Depth10_Soil_vol]]*(9.353+9.027)+(Table1567891112[[#This Row],[Depth10_Soil_vol]]/2.5)*20*1.053+(PI()*Table1567891112[[#This Row],[Depth10_Scour]])*Table1567891112[[#This Row],[DECK_WIDTH_MT_052]]*1.062</f>
        <v>13653.389769605932</v>
      </c>
      <c r="AR14" s="1">
        <f>Table1567891112[[#This Row],[Depth50_Soil_vol]]*(9.353+9.027)+(Table1567891112[[#This Row],[Depth50_Soil_vol]]/2.5)*20*1.053+(PI()*Table1567891112[[#This Row],[Depth50_Scour]])*Table1567891112[[#This Row],[DECK_WIDTH_MT_052]]*1.062</f>
        <v>14501.430182908143</v>
      </c>
      <c r="AS14" s="1">
        <f>Table1567891112[[#This Row],[Depth100_Soil_vol]]*(9.353+9.027)+(Table1567891112[[#This Row],[Depth100_Soil_vol]]/2.5)*20*1.053+(PI()*Table1567891112[[#This Row],[Depth100_Scour]])*Table1567891112[[#This Row],[DECK_WIDTH_MT_052]]*1.062</f>
        <v>14880.875971506524</v>
      </c>
      <c r="AT14" s="1">
        <f>Table1567891112[[#This Row],[Depth500_Soil_vol]]*(9.353+9.027)+(Table1567891112[[#This Row],[Depth500_Soil_vol]]/2.5)*20*1.053+(PI()*Table1567891112[[#This Row],[Depth500_Scour]])*Table1567891112[[#This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0.52800000000000002</v>
      </c>
      <c r="GF14" s="1">
        <v>68.09925826280525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60532.674011382434</v>
      </c>
      <c r="GM14" s="1">
        <f>Sheet4!R44*$GF14*1000000</f>
        <v>34049.629131402638</v>
      </c>
      <c r="GN14" s="1">
        <f>Sheet4!S44*$GF14*1000000</f>
        <v>21791.762644097682</v>
      </c>
      <c r="GO14" s="1">
        <f>Sheet4!T44*$GF14*1000000</f>
        <v>15133.168502845609</v>
      </c>
      <c r="GP14" s="1">
        <f>Sheet4!U44*$GF14*1000000</f>
        <v>11118.246246988612</v>
      </c>
      <c r="GQ14" s="1">
        <f>Sheet4!V44*$GF14*1000000</f>
        <v>8512.4072828506596</v>
      </c>
      <c r="GR14" s="1">
        <f>Sheet4!W44*$GF14*1000000</f>
        <v>6725.8526679313818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0.01</v>
      </c>
      <c r="HF14" s="1">
        <v>1.25E-3</v>
      </c>
      <c r="HG14" s="1">
        <v>2.7500000000000002E-4</v>
      </c>
      <c r="HH14" s="1">
        <v>1E-4</v>
      </c>
      <c r="HI14" s="1">
        <v>1.7499999999999998E-5</v>
      </c>
      <c r="HJ14" s="1">
        <v>4.5000000000000001E-6</v>
      </c>
      <c r="HK14" s="1">
        <v>4.5000000000000001E-6</v>
      </c>
      <c r="HL14" s="1">
        <v>9.9999999999999995E-8</v>
      </c>
      <c r="HM14" s="1">
        <v>6.2499999999999997E-8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Table1567891112[[#This Row],[Total_Cost_MUSD]]*1000000*Table1567891112[[#This Row],[prob500-failure_rating1]]/500</f>
        <v>1361.9851652561051</v>
      </c>
      <c r="IG14" s="1">
        <f>Table1567891112[[#This Row],[Total_Cost_MUSD]]*1000000*Table1567891112[[#This Row],[prob500-failure_rating2]]/500</f>
        <v>680.99258262805256</v>
      </c>
      <c r="IH14" s="1">
        <f>Table1567891112[[#This Row],[Total_Cost_MUSD]]*1000000*Table1567891112[[#This Row],[prob500-failure_rating3]]/500</f>
        <v>149.81836817817157</v>
      </c>
      <c r="II14" s="1">
        <f>Table1567891112[[#This Row],[Total_Cost_MUSD]]*1000000*Table1567891112[[#This Row],[prob500-failure_rating4]]/500</f>
        <v>54.479406610244212</v>
      </c>
      <c r="IJ14" s="1">
        <f>Table1567891112[[#This Row],[Total_Cost_MUSD]]*1000000*Table1567891112[[#This Row],[prob500-failure_rating5]]/500</f>
        <v>9.5338961567927338</v>
      </c>
      <c r="IK14" s="1">
        <f>Table1567891112[[#This Row],[Total_Cost_MUSD]]*1000000*Table1567891112[[#This Row],[prob500-failure_rating6]]/500</f>
        <v>2.451573297460989</v>
      </c>
      <c r="IL14" s="1">
        <f>Table1567891112[[#This Row],[Total_Cost_MUSD]]*1000000*Table1567891112[[#This Row],[prob500-failure_rating7]]/500</f>
        <v>2.451573297460989</v>
      </c>
      <c r="IM14" s="1">
        <f>Table1567891112[[#This Row],[Total_Cost_MUSD]]*1000000*Table1567891112[[#This Row],[prob500-failure_rating8]]/500</f>
        <v>5.4479406610244197E-2</v>
      </c>
      <c r="IN14" s="1">
        <f>Table1567891112[[#This Row],[Total_Cost_MUSD]]*1000000*Table1567891112[[#This Row],[prob500-failure_rating9]]/500</f>
        <v>3.4049629131402623E-2</v>
      </c>
      <c r="IO14" s="1">
        <f>Table1567891112[[#This Row],[Total_Cost_MUSD]]*1000000*Table1567891112[[#This Row],[prob100-failure_rating1]]/100</f>
        <v>6809.9258262805261</v>
      </c>
      <c r="IP14" s="1">
        <f>Table1567891112[[#This Row],[Total_Cost_MUSD]]*1000000*Table1567891112[[#This Row],[prob100-failure_rating2]]/100</f>
        <v>851.24072828506576</v>
      </c>
      <c r="IQ14" s="1">
        <f>Table1567891112[[#This Row],[Total_Cost_MUSD]]*1000000*Table1567891112[[#This Row],[prob100-failure_rating3]]/100</f>
        <v>187.27296022271446</v>
      </c>
      <c r="IR14" s="1">
        <f>Table1567891112[[#This Row],[Total_Cost_MUSD]]*1000000*Table1567891112[[#This Row],[prob100-failure_rating4]]/100</f>
        <v>68.099258262805265</v>
      </c>
      <c r="IS14" s="1">
        <f>Table1567891112[[#This Row],[Total_Cost_MUSD]]*1000000*Table1567891112[[#This Row],[prob100-failure_rating5]]/100</f>
        <v>11.917370195990918</v>
      </c>
      <c r="IT14" s="1">
        <f>Table1567891112[[#This Row],[Total_Cost_MUSD]]*1000000*Table1567891112[[#This Row],[prob100-failure_rating6]]/100</f>
        <v>3.0644666218262362</v>
      </c>
      <c r="IU14" s="1">
        <f>Table1567891112[[#This Row],[Total_Cost_MUSD]]*1000000*Table1567891112[[#This Row],[prob100-failure_rating7]]/100</f>
        <v>3.0644666218262362</v>
      </c>
      <c r="IV14" s="1">
        <f>Table1567891112[[#This Row],[Total_Cost_MUSD]]*1000000*Table1567891112[[#This Row],[prob100-failure_rating8]]/100</f>
        <v>6.8099258262805246E-2</v>
      </c>
      <c r="IW14" s="1">
        <f>Table1567891112[[#This Row],[Total_Cost_MUSD]]*1000000*Table1567891112[[#This Row],[prob100-failure_rating9]]/100</f>
        <v>4.2562036414253282E-2</v>
      </c>
      <c r="IX14" s="1">
        <f>Table1567891112[[#This Row],[Total_Cost_MUSD]]*1000000*Table1567891112[[#This Row],[prob50-failure_rating1]]/50</f>
        <v>13619.851652561052</v>
      </c>
      <c r="IY14" s="1">
        <f>Table1567891112[[#This Row],[Total_Cost_MUSD]]*1000000*Table1567891112[[#This Row],[prob50-failure_rating2]]/50</f>
        <v>1134.987637713421</v>
      </c>
      <c r="IZ14" s="1">
        <f>Table1567891112[[#This Row],[Total_Cost_MUSD]]*1000000*Table1567891112[[#This Row],[prob50-failure_rating3]]/50</f>
        <v>249.69728029695258</v>
      </c>
      <c r="JA14" s="1">
        <f>Table1567891112[[#This Row],[Total_Cost_MUSD]]*1000000*Table1567891112[[#This Row],[prob50-failure_rating4]]/50</f>
        <v>90.799011017073681</v>
      </c>
      <c r="JB14" s="1">
        <f>Table1567891112[[#This Row],[Total_Cost_MUSD]]*1000000*Table1567891112[[#This Row],[prob50-failure_rating5]]/50</f>
        <v>15.889826927987892</v>
      </c>
      <c r="JC14" s="1">
        <f>Table1567891112[[#This Row],[Total_Cost_MUSD]]*1000000*Table1567891112[[#This Row],[prob50-failure_rating6]]/50</f>
        <v>4.0859554957683146</v>
      </c>
      <c r="JD14" s="1">
        <f>Table1567891112[[#This Row],[Total_Cost_MUSD]]*1000000*Table1567891112[[#This Row],[prob50-failure_rating7]]/50</f>
        <v>4.0859554957683146</v>
      </c>
      <c r="JE14" s="1">
        <f>Table1567891112[[#This Row],[Total_Cost_MUSD]]*1000000*Table1567891112[[#This Row],[prob50-failure_rating8]]/50</f>
        <v>9.0799011017073675E-2</v>
      </c>
      <c r="JF14" s="1">
        <f>Table1567891112[[#This Row],[Total_Cost_MUSD]]*1000000*Table1567891112[[#This Row],[prob50-failure_rating9]]/50</f>
        <v>5.6749381885671045E-2</v>
      </c>
      <c r="JG14" s="1">
        <f>Table1567891112[[#This Row],[Total_Cost_MUSD]]*1000000*Table1567891112[[#This Row],[prob10-failure_rating1]]/10</f>
        <v>68099.258262805262</v>
      </c>
      <c r="JH14" s="1">
        <f>Table1567891112[[#This Row],[Total_Cost_MUSD]]*1000000*Table1567891112[[#This Row],[prob10-failure_rating2]]/10</f>
        <v>3404.9629131402626</v>
      </c>
      <c r="JI14" s="1">
        <f>Table1567891112[[#This Row],[Total_Cost_MUSD]]*1000000*Table1567891112[[#This Row],[prob10-failure_rating3]]/10</f>
        <v>749.09184089085784</v>
      </c>
      <c r="JJ14" s="1">
        <f>Table1567891112[[#This Row],[Total_Cost_MUSD]]*1000000*Table1567891112[[#This Row],[prob10-failure_rating4]]/10</f>
        <v>272.397033051221</v>
      </c>
      <c r="JK14" s="1">
        <f>Table1567891112[[#This Row],[Total_Cost_MUSD]]*1000000*Table1567891112[[#This Row],[prob10-failure_rating5]]/10</f>
        <v>47.669480783963671</v>
      </c>
      <c r="JL14" s="1">
        <f>Table1567891112[[#This Row],[Total_Cost_MUSD]]*1000000*Table1567891112[[#This Row],[prob10-failure_rating6]]/10</f>
        <v>12.257866487304947</v>
      </c>
      <c r="JM14" s="1">
        <f>Table1567891112[[#This Row],[Total_Cost_MUSD]]*1000000*Table1567891112[[#This Row],[prob10-failure_rating7]]/10</f>
        <v>12.257866487304947</v>
      </c>
      <c r="JN14" s="1">
        <f>Table1567891112[[#This Row],[Total_Cost_MUSD]]*1000000*Table1567891112[[#This Row],[prob10-failure_rating8]]/10</f>
        <v>0.27239703305122098</v>
      </c>
      <c r="JO14" s="1">
        <f>Table1567891112[[#This Row],[Total_Cost_MUSD]]*1000000*Table1567891112[[#This Row],[prob10-failure_rating9]]/10</f>
        <v>0.17024814565701313</v>
      </c>
      <c r="JP14" s="1">
        <f>Table1567891112[[#This Row],[FailureCost_Rating1]]</f>
        <v>6072.1838617668018</v>
      </c>
      <c r="JQ14" s="1">
        <f>Table1567891112[[#This Row],[FailureCost_Rating2]]</f>
        <v>6072.1838617668018</v>
      </c>
      <c r="JR14" s="1">
        <f>(Table1567891112[[#This Row],[failurecost500_rating2]]+Table1567891112[[#This Row],[failurecost100_rating2]]+Table1567891112[[#This Row],[failurecost50_rating2]]+Table1567891112[[#This Row],[failurecost10_rating2]])</f>
        <v>6072.1838617668018</v>
      </c>
      <c r="JS14" s="1">
        <f>(Table1567891112[[#This Row],[failurecost500_rating3]]+Table1567891112[[#This Row],[failurecost100_rating3]]+Table1567891112[[#This Row],[failurecost50_rating3]]+Table1567891112[[#This Row],[failurecost10_rating3]])</f>
        <v>1335.8804495886966</v>
      </c>
      <c r="JT14" s="1">
        <f>(Table1567891112[[#This Row],[failurecost500_rating4]]+Table1567891112[[#This Row],[failurecost100_rating4]]+Table1567891112[[#This Row],[failurecost50_rating4]]+Table1567891112[[#This Row],[failurecost10_rating4]])</f>
        <v>485.77470894134416</v>
      </c>
      <c r="JU14" s="1">
        <f>(Table1567891112[[#This Row],[failurecost500_rating5]]+Table1567891112[[#This Row],[failurecost100_rating5]]+Table1567891112[[#This Row],[failurecost50_rating5]]+Table1567891112[[#This Row],[failurecost10_rating5]])</f>
        <v>85.010574064735209</v>
      </c>
      <c r="JV14" s="1">
        <f>(Table1567891112[[#This Row],[failurecost500_rating6]]+Table1567891112[[#This Row],[failurecost100_rating6]]+Table1567891112[[#This Row],[failurecost50_rating6]]+Table1567891112[[#This Row],[failurecost10_rating6]])</f>
        <v>21.859861902360485</v>
      </c>
      <c r="JW14" s="1">
        <f>(Table1567891112[[#This Row],[failurecost500_rating7]]+Table1567891112[[#This Row],[failurecost100_rating7]]+Table1567891112[[#This Row],[failurecost50_rating7]]+Table1567891112[[#This Row],[failurecost10_rating7]])</f>
        <v>21.859861902360485</v>
      </c>
      <c r="JX14" s="1">
        <f>(Table1567891112[[#This Row],[failurecost500_rating8]]+Table1567891112[[#This Row],[failurecost100_rating8]]+Table1567891112[[#This Row],[failurecost50_rating8]]+Table1567891112[[#This Row],[failurecost10_rating8]])</f>
        <v>0.48577470894134411</v>
      </c>
      <c r="JY14" s="1">
        <f>(Table1567891112[[#This Row],[failurecost500_rating9]]+Table1567891112[[#This Row],[failurecost100_rating9]]+Table1567891112[[#This Row],[failurecost50_rating9]]+Table1567891112[[#This Row],[failurecost10_rating9]])</f>
        <v>0.30360919308834011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Table1567891112[[#This Row],[Depth10_Soil_vol]]*(9.353+9.027)+(Table1567891112[[#This Row],[Depth10_Soil_vol]]/2.5)*20*1.053+(PI()*Table1567891112[[#This Row],[Depth10_Scour]])*Table1567891112[[#This Row],[DECK_WIDTH_MT_052]]*1.062</f>
        <v>9589.4503766877388</v>
      </c>
      <c r="AR15" s="1">
        <f>Table1567891112[[#This Row],[Depth50_Soil_vol]]*(9.353+9.027)+(Table1567891112[[#This Row],[Depth50_Soil_vol]]/2.5)*20*1.053+(PI()*Table1567891112[[#This Row],[Depth50_Scour]])*Table1567891112[[#This Row],[DECK_WIDTH_MT_052]]*1.062</f>
        <v>10089.839206196759</v>
      </c>
      <c r="AS15" s="1">
        <f>Table1567891112[[#This Row],[Depth100_Soil_vol]]*(9.353+9.027)+(Table1567891112[[#This Row],[Depth100_Soil_vol]]/2.5)*20*1.053+(PI()*Table1567891112[[#This Row],[Depth100_Scour]])*Table1567891112[[#This Row],[DECK_WIDTH_MT_052]]*1.062</f>
        <v>10312.30726316059</v>
      </c>
      <c r="AT15" s="1">
        <f>Table1567891112[[#This Row],[Depth500_Soil_vol]]*(9.353+9.027)+(Table1567891112[[#This Row],[Depth500_Soil_vol]]/2.5)*20*1.053+(PI()*Table1567891112[[#This Row],[Depth500_Scour]])*Table1567891112[[#This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0.66</v>
      </c>
      <c r="GF15" s="1">
        <v>48.069323426147328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42728.287489908733</v>
      </c>
      <c r="GM15" s="1">
        <f>Sheet4!R45*$GF15*1000000</f>
        <v>24034.661713073659</v>
      </c>
      <c r="GN15" s="1">
        <f>Sheet4!S45*$GF15*1000000</f>
        <v>15382.183496367146</v>
      </c>
      <c r="GO15" s="1">
        <f>Sheet4!T45*$GF15*1000000</f>
        <v>10682.071872477183</v>
      </c>
      <c r="GP15" s="1">
        <f>Sheet4!U45*$GF15*1000000</f>
        <v>7848.0528042689511</v>
      </c>
      <c r="GQ15" s="1">
        <f>Sheet4!V45*$GF15*1000000</f>
        <v>6008.6654282684149</v>
      </c>
      <c r="GR15" s="1">
        <f>Sheet4!W45*$GF15*1000000</f>
        <v>4747.5874988787482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0.01</v>
      </c>
      <c r="HF15" s="1">
        <v>1.25E-3</v>
      </c>
      <c r="HG15" s="1">
        <v>2.7500000000000002E-4</v>
      </c>
      <c r="HH15" s="1">
        <v>1E-4</v>
      </c>
      <c r="HI15" s="1">
        <v>1.7499999999999998E-5</v>
      </c>
      <c r="HJ15" s="1">
        <v>4.5000000000000001E-6</v>
      </c>
      <c r="HK15" s="1">
        <v>4.5000000000000001E-6</v>
      </c>
      <c r="HL15" s="1">
        <v>9.9999999999999995E-8</v>
      </c>
      <c r="HM15" s="1">
        <v>6.2499999999999997E-8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Table1567891112[[#This Row],[Total_Cost_MUSD]]*1000000*Table1567891112[[#This Row],[prob500-failure_rating1]]/500</f>
        <v>961.38646852294653</v>
      </c>
      <c r="IG15" s="1">
        <f>Table1567891112[[#This Row],[Total_Cost_MUSD]]*1000000*Table1567891112[[#This Row],[prob500-failure_rating2]]/500</f>
        <v>480.69323426147326</v>
      </c>
      <c r="IH15" s="1">
        <f>Table1567891112[[#This Row],[Total_Cost_MUSD]]*1000000*Table1567891112[[#This Row],[prob500-failure_rating3]]/500</f>
        <v>105.75251153752413</v>
      </c>
      <c r="II15" s="1">
        <f>Table1567891112[[#This Row],[Total_Cost_MUSD]]*1000000*Table1567891112[[#This Row],[prob500-failure_rating4]]/500</f>
        <v>38.455458740917862</v>
      </c>
      <c r="IJ15" s="1">
        <f>Table1567891112[[#This Row],[Total_Cost_MUSD]]*1000000*Table1567891112[[#This Row],[prob500-failure_rating5]]/500</f>
        <v>6.7297052796606245</v>
      </c>
      <c r="IK15" s="1">
        <f>Table1567891112[[#This Row],[Total_Cost_MUSD]]*1000000*Table1567891112[[#This Row],[prob500-failure_rating6]]/500</f>
        <v>1.7304956433413037</v>
      </c>
      <c r="IL15" s="1">
        <f>Table1567891112[[#This Row],[Total_Cost_MUSD]]*1000000*Table1567891112[[#This Row],[prob500-failure_rating7]]/500</f>
        <v>1.7304956433413037</v>
      </c>
      <c r="IM15" s="1">
        <f>Table1567891112[[#This Row],[Total_Cost_MUSD]]*1000000*Table1567891112[[#This Row],[prob500-failure_rating8]]/500</f>
        <v>3.845545874091786E-2</v>
      </c>
      <c r="IN15" s="1">
        <f>Table1567891112[[#This Row],[Total_Cost_MUSD]]*1000000*Table1567891112[[#This Row],[prob500-failure_rating9]]/500</f>
        <v>2.4034661713073665E-2</v>
      </c>
      <c r="IO15" s="1">
        <f>Table1567891112[[#This Row],[Total_Cost_MUSD]]*1000000*Table1567891112[[#This Row],[prob100-failure_rating1]]/100</f>
        <v>4806.932342614733</v>
      </c>
      <c r="IP15" s="1">
        <f>Table1567891112[[#This Row],[Total_Cost_MUSD]]*1000000*Table1567891112[[#This Row],[prob100-failure_rating2]]/100</f>
        <v>600.86654282684162</v>
      </c>
      <c r="IQ15" s="1">
        <f>Table1567891112[[#This Row],[Total_Cost_MUSD]]*1000000*Table1567891112[[#This Row],[prob100-failure_rating3]]/100</f>
        <v>132.19063942190516</v>
      </c>
      <c r="IR15" s="1">
        <f>Table1567891112[[#This Row],[Total_Cost_MUSD]]*1000000*Table1567891112[[#This Row],[prob100-failure_rating4]]/100</f>
        <v>48.069323426147328</v>
      </c>
      <c r="IS15" s="1">
        <f>Table1567891112[[#This Row],[Total_Cost_MUSD]]*1000000*Table1567891112[[#This Row],[prob100-failure_rating5]]/100</f>
        <v>8.4121315995757815</v>
      </c>
      <c r="IT15" s="1">
        <f>Table1567891112[[#This Row],[Total_Cost_MUSD]]*1000000*Table1567891112[[#This Row],[prob100-failure_rating6]]/100</f>
        <v>2.1631195541766299</v>
      </c>
      <c r="IU15" s="1">
        <f>Table1567891112[[#This Row],[Total_Cost_MUSD]]*1000000*Table1567891112[[#This Row],[prob100-failure_rating7]]/100</f>
        <v>2.1631195541766299</v>
      </c>
      <c r="IV15" s="1">
        <f>Table1567891112[[#This Row],[Total_Cost_MUSD]]*1000000*Table1567891112[[#This Row],[prob100-failure_rating8]]/100</f>
        <v>4.806932342614733E-2</v>
      </c>
      <c r="IW15" s="1">
        <f>Table1567891112[[#This Row],[Total_Cost_MUSD]]*1000000*Table1567891112[[#This Row],[prob100-failure_rating9]]/100</f>
        <v>3.0043327141342079E-2</v>
      </c>
      <c r="IX15" s="1">
        <f>Table1567891112[[#This Row],[Total_Cost_MUSD]]*1000000*Table1567891112[[#This Row],[prob50-failure_rating1]]/50</f>
        <v>9613.864685229466</v>
      </c>
      <c r="IY15" s="1">
        <f>Table1567891112[[#This Row],[Total_Cost_MUSD]]*1000000*Table1567891112[[#This Row],[prob50-failure_rating2]]/50</f>
        <v>801.15539043578883</v>
      </c>
      <c r="IZ15" s="1">
        <f>Table1567891112[[#This Row],[Total_Cost_MUSD]]*1000000*Table1567891112[[#This Row],[prob50-failure_rating3]]/50</f>
        <v>176.25418589587352</v>
      </c>
      <c r="JA15" s="1">
        <f>Table1567891112[[#This Row],[Total_Cost_MUSD]]*1000000*Table1567891112[[#This Row],[prob50-failure_rating4]]/50</f>
        <v>64.092431234863113</v>
      </c>
      <c r="JB15" s="1">
        <f>Table1567891112[[#This Row],[Total_Cost_MUSD]]*1000000*Table1567891112[[#This Row],[prob50-failure_rating5]]/50</f>
        <v>11.216175466101042</v>
      </c>
      <c r="JC15" s="1">
        <f>Table1567891112[[#This Row],[Total_Cost_MUSD]]*1000000*Table1567891112[[#This Row],[prob50-failure_rating6]]/50</f>
        <v>2.8841594055688398</v>
      </c>
      <c r="JD15" s="1">
        <f>Table1567891112[[#This Row],[Total_Cost_MUSD]]*1000000*Table1567891112[[#This Row],[prob50-failure_rating7]]/50</f>
        <v>2.8841594055688398</v>
      </c>
      <c r="JE15" s="1">
        <f>Table1567891112[[#This Row],[Total_Cost_MUSD]]*1000000*Table1567891112[[#This Row],[prob50-failure_rating8]]/50</f>
        <v>6.4092431234863106E-2</v>
      </c>
      <c r="JF15" s="1">
        <f>Table1567891112[[#This Row],[Total_Cost_MUSD]]*1000000*Table1567891112[[#This Row],[prob50-failure_rating9]]/50</f>
        <v>4.0057769521789438E-2</v>
      </c>
      <c r="JG15" s="1">
        <f>Table1567891112[[#This Row],[Total_Cost_MUSD]]*1000000*Table1567891112[[#This Row],[prob10-failure_rating1]]/10</f>
        <v>48069.323426147326</v>
      </c>
      <c r="JH15" s="1">
        <f>Table1567891112[[#This Row],[Total_Cost_MUSD]]*1000000*Table1567891112[[#This Row],[prob10-failure_rating2]]/10</f>
        <v>2403.4661713073665</v>
      </c>
      <c r="JI15" s="1">
        <f>Table1567891112[[#This Row],[Total_Cost_MUSD]]*1000000*Table1567891112[[#This Row],[prob10-failure_rating3]]/10</f>
        <v>528.76255768762053</v>
      </c>
      <c r="JJ15" s="1">
        <f>Table1567891112[[#This Row],[Total_Cost_MUSD]]*1000000*Table1567891112[[#This Row],[prob10-failure_rating4]]/10</f>
        <v>192.27729370458934</v>
      </c>
      <c r="JK15" s="1">
        <f>Table1567891112[[#This Row],[Total_Cost_MUSD]]*1000000*Table1567891112[[#This Row],[prob10-failure_rating5]]/10</f>
        <v>33.648526398303126</v>
      </c>
      <c r="JL15" s="1">
        <f>Table1567891112[[#This Row],[Total_Cost_MUSD]]*1000000*Table1567891112[[#This Row],[prob10-failure_rating6]]/10</f>
        <v>8.6524782167065197</v>
      </c>
      <c r="JM15" s="1">
        <f>Table1567891112[[#This Row],[Total_Cost_MUSD]]*1000000*Table1567891112[[#This Row],[prob10-failure_rating7]]/10</f>
        <v>8.6524782167065197</v>
      </c>
      <c r="JN15" s="1">
        <f>Table1567891112[[#This Row],[Total_Cost_MUSD]]*1000000*Table1567891112[[#This Row],[prob10-failure_rating8]]/10</f>
        <v>0.19227729370458929</v>
      </c>
      <c r="JO15" s="1">
        <f>Table1567891112[[#This Row],[Total_Cost_MUSD]]*1000000*Table1567891112[[#This Row],[prob10-failure_rating9]]/10</f>
        <v>0.12017330856536831</v>
      </c>
      <c r="JP15" s="1">
        <f>Table1567891112[[#This Row],[FailureCost_Rating1]]</f>
        <v>4286.1813388314704</v>
      </c>
      <c r="JQ15" s="1">
        <f>Table1567891112[[#This Row],[FailureCost_Rating2]]</f>
        <v>4286.1813388314704</v>
      </c>
      <c r="JR15" s="1">
        <f>(Table1567891112[[#This Row],[failurecost500_rating2]]+Table1567891112[[#This Row],[failurecost100_rating2]]+Table1567891112[[#This Row],[failurecost50_rating2]]+Table1567891112[[#This Row],[failurecost10_rating2]])</f>
        <v>4286.1813388314704</v>
      </c>
      <c r="JS15" s="1">
        <f>(Table1567891112[[#This Row],[failurecost500_rating3]]+Table1567891112[[#This Row],[failurecost100_rating3]]+Table1567891112[[#This Row],[failurecost50_rating3]]+Table1567891112[[#This Row],[failurecost10_rating3]])</f>
        <v>942.95989454292339</v>
      </c>
      <c r="JT15" s="1">
        <f>(Table1567891112[[#This Row],[failurecost500_rating4]]+Table1567891112[[#This Row],[failurecost100_rating4]]+Table1567891112[[#This Row],[failurecost50_rating4]]+Table1567891112[[#This Row],[failurecost10_rating4]])</f>
        <v>342.89450710651761</v>
      </c>
      <c r="JU15" s="1">
        <f>(Table1567891112[[#This Row],[failurecost500_rating5]]+Table1567891112[[#This Row],[failurecost100_rating5]]+Table1567891112[[#This Row],[failurecost50_rating5]]+Table1567891112[[#This Row],[failurecost10_rating5]])</f>
        <v>60.006538743640576</v>
      </c>
      <c r="JV15" s="1">
        <f>(Table1567891112[[#This Row],[failurecost500_rating6]]+Table1567891112[[#This Row],[failurecost100_rating6]]+Table1567891112[[#This Row],[failurecost50_rating6]]+Table1567891112[[#This Row],[failurecost10_rating6]])</f>
        <v>15.430252819793292</v>
      </c>
      <c r="JW15" s="1">
        <f>(Table1567891112[[#This Row],[failurecost500_rating7]]+Table1567891112[[#This Row],[failurecost100_rating7]]+Table1567891112[[#This Row],[failurecost50_rating7]]+Table1567891112[[#This Row],[failurecost10_rating7]])</f>
        <v>15.430252819793292</v>
      </c>
      <c r="JX15" s="1">
        <f>(Table1567891112[[#This Row],[failurecost500_rating8]]+Table1567891112[[#This Row],[failurecost100_rating8]]+Table1567891112[[#This Row],[failurecost50_rating8]]+Table1567891112[[#This Row],[failurecost10_rating8]])</f>
        <v>0.34289450710651759</v>
      </c>
      <c r="JY15" s="1">
        <f>(Table1567891112[[#This Row],[failurecost500_rating9]]+Table1567891112[[#This Row],[failurecost100_rating9]]+Table1567891112[[#This Row],[failurecost50_rating9]]+Table1567891112[[#This Row],[failurecost10_rating9]])</f>
        <v>0.21430906694157348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Table1567891112[[#This Row],[Depth10_Soil_vol]]*(9.353+9.027)+(Table1567891112[[#This Row],[Depth10_Soil_vol]]/2.5)*20*1.053+(PI()*Table1567891112[[#This Row],[Depth10_Scour]])*Table1567891112[[#This Row],[DECK_WIDTH_MT_052]]*1.062</f>
        <v>6758.7093437956364</v>
      </c>
      <c r="AR16" s="1">
        <f>Table1567891112[[#This Row],[Depth50_Soil_vol]]*(9.353+9.027)+(Table1567891112[[#This Row],[Depth50_Soil_vol]]/2.5)*20*1.053+(PI()*Table1567891112[[#This Row],[Depth50_Scour]])*Table1567891112[[#This Row],[DECK_WIDTH_MT_052]]*1.062</f>
        <v>7157.860599196707</v>
      </c>
      <c r="AS16" s="1">
        <f>Table1567891112[[#This Row],[Depth100_Soil_vol]]*(9.353+9.027)+(Table1567891112[[#This Row],[Depth100_Soil_vol]]/2.5)*20*1.053+(PI()*Table1567891112[[#This Row],[Depth100_Scour]])*Table1567891112[[#This Row],[DECK_WIDTH_MT_052]]*1.062</f>
        <v>7335.7235370312192</v>
      </c>
      <c r="AT16" s="1">
        <f>Table1567891112[[#This Row],[Depth500_Soil_vol]]*(9.353+9.027)+(Table1567891112[[#This Row],[Depth500_Soil_vol]]/2.5)*20*1.053+(PI()*Table1567891112[[#This Row],[Depth500_Scour]])*Table1567891112[[#This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0.66</v>
      </c>
      <c r="GF16" s="1">
        <v>58.694115864826479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52172.547435401313</v>
      </c>
      <c r="GM16" s="1">
        <f>Sheet4!R46*$GF16*1000000</f>
        <v>29347.057932413234</v>
      </c>
      <c r="GN16" s="1">
        <f>Sheet4!S46*$GF16*1000000</f>
        <v>18782.117076744475</v>
      </c>
      <c r="GO16" s="1">
        <f>Sheet4!T46*$GF16*1000000</f>
        <v>13043.136858850328</v>
      </c>
      <c r="GP16" s="1">
        <f>Sheet4!U46*$GF16*1000000</f>
        <v>9582.7127942573843</v>
      </c>
      <c r="GQ16" s="1">
        <f>Sheet4!V46*$GF16*1000000</f>
        <v>7336.7644831033085</v>
      </c>
      <c r="GR16" s="1">
        <f>Sheet4!W46*$GF16*1000000</f>
        <v>5796.9497150445904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0.01</v>
      </c>
      <c r="HF16" s="1">
        <v>1.25E-3</v>
      </c>
      <c r="HG16" s="1">
        <v>2.7500000000000002E-4</v>
      </c>
      <c r="HH16" s="1">
        <v>1E-4</v>
      </c>
      <c r="HI16" s="1">
        <v>1.7499999999999998E-5</v>
      </c>
      <c r="HJ16" s="1">
        <v>4.5000000000000001E-6</v>
      </c>
      <c r="HK16" s="1">
        <v>4.5000000000000001E-6</v>
      </c>
      <c r="HL16" s="1">
        <v>9.9999999999999995E-8</v>
      </c>
      <c r="HM16" s="1">
        <v>6.2499999999999997E-8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Table1567891112[[#This Row],[Total_Cost_MUSD]]*1000000*Table1567891112[[#This Row],[prob500-failure_rating1]]/500</f>
        <v>1173.8823172965297</v>
      </c>
      <c r="IG16" s="1">
        <f>Table1567891112[[#This Row],[Total_Cost_MUSD]]*1000000*Table1567891112[[#This Row],[prob500-failure_rating2]]/500</f>
        <v>586.94115864826483</v>
      </c>
      <c r="IH16" s="1">
        <f>Table1567891112[[#This Row],[Total_Cost_MUSD]]*1000000*Table1567891112[[#This Row],[prob500-failure_rating3]]/500</f>
        <v>129.12705490261826</v>
      </c>
      <c r="II16" s="1">
        <f>Table1567891112[[#This Row],[Total_Cost_MUSD]]*1000000*Table1567891112[[#This Row],[prob500-failure_rating4]]/500</f>
        <v>46.955292691861182</v>
      </c>
      <c r="IJ16" s="1">
        <f>Table1567891112[[#This Row],[Total_Cost_MUSD]]*1000000*Table1567891112[[#This Row],[prob500-failure_rating5]]/500</f>
        <v>8.2171762210757056</v>
      </c>
      <c r="IK16" s="1">
        <f>Table1567891112[[#This Row],[Total_Cost_MUSD]]*1000000*Table1567891112[[#This Row],[prob500-failure_rating6]]/500</f>
        <v>2.1129881711337535</v>
      </c>
      <c r="IL16" s="1">
        <f>Table1567891112[[#This Row],[Total_Cost_MUSD]]*1000000*Table1567891112[[#This Row],[prob500-failure_rating7]]/500</f>
        <v>2.1129881711337535</v>
      </c>
      <c r="IM16" s="1">
        <f>Table1567891112[[#This Row],[Total_Cost_MUSD]]*1000000*Table1567891112[[#This Row],[prob500-failure_rating8]]/500</f>
        <v>4.6955292691861182E-2</v>
      </c>
      <c r="IN16" s="1">
        <f>Table1567891112[[#This Row],[Total_Cost_MUSD]]*1000000*Table1567891112[[#This Row],[prob500-failure_rating9]]/500</f>
        <v>2.934705793241324E-2</v>
      </c>
      <c r="IO16" s="1">
        <f>Table1567891112[[#This Row],[Total_Cost_MUSD]]*1000000*Table1567891112[[#This Row],[prob100-failure_rating1]]/100</f>
        <v>5869.4115864826481</v>
      </c>
      <c r="IP16" s="1">
        <f>Table1567891112[[#This Row],[Total_Cost_MUSD]]*1000000*Table1567891112[[#This Row],[prob100-failure_rating2]]/100</f>
        <v>733.67644831033101</v>
      </c>
      <c r="IQ16" s="1">
        <f>Table1567891112[[#This Row],[Total_Cost_MUSD]]*1000000*Table1567891112[[#This Row],[prob100-failure_rating3]]/100</f>
        <v>161.40881862827283</v>
      </c>
      <c r="IR16" s="1">
        <f>Table1567891112[[#This Row],[Total_Cost_MUSD]]*1000000*Table1567891112[[#This Row],[prob100-failure_rating4]]/100</f>
        <v>58.694115864826479</v>
      </c>
      <c r="IS16" s="1">
        <f>Table1567891112[[#This Row],[Total_Cost_MUSD]]*1000000*Table1567891112[[#This Row],[prob100-failure_rating5]]/100</f>
        <v>10.271470276344633</v>
      </c>
      <c r="IT16" s="1">
        <f>Table1567891112[[#This Row],[Total_Cost_MUSD]]*1000000*Table1567891112[[#This Row],[prob100-failure_rating6]]/100</f>
        <v>2.641235213917192</v>
      </c>
      <c r="IU16" s="1">
        <f>Table1567891112[[#This Row],[Total_Cost_MUSD]]*1000000*Table1567891112[[#This Row],[prob100-failure_rating7]]/100</f>
        <v>2.641235213917192</v>
      </c>
      <c r="IV16" s="1">
        <f>Table1567891112[[#This Row],[Total_Cost_MUSD]]*1000000*Table1567891112[[#This Row],[prob100-failure_rating8]]/100</f>
        <v>5.8694115864826479E-2</v>
      </c>
      <c r="IW16" s="1">
        <f>Table1567891112[[#This Row],[Total_Cost_MUSD]]*1000000*Table1567891112[[#This Row],[prob100-failure_rating9]]/100</f>
        <v>3.668382241551655E-2</v>
      </c>
      <c r="IX16" s="1">
        <f>Table1567891112[[#This Row],[Total_Cost_MUSD]]*1000000*Table1567891112[[#This Row],[prob50-failure_rating1]]/50</f>
        <v>11738.823172965296</v>
      </c>
      <c r="IY16" s="1">
        <f>Table1567891112[[#This Row],[Total_Cost_MUSD]]*1000000*Table1567891112[[#This Row],[prob50-failure_rating2]]/50</f>
        <v>978.23526441377476</v>
      </c>
      <c r="IZ16" s="1">
        <f>Table1567891112[[#This Row],[Total_Cost_MUSD]]*1000000*Table1567891112[[#This Row],[prob50-failure_rating3]]/50</f>
        <v>215.21175817103043</v>
      </c>
      <c r="JA16" s="1">
        <f>Table1567891112[[#This Row],[Total_Cost_MUSD]]*1000000*Table1567891112[[#This Row],[prob50-failure_rating4]]/50</f>
        <v>78.258821153101977</v>
      </c>
      <c r="JB16" s="1">
        <f>Table1567891112[[#This Row],[Total_Cost_MUSD]]*1000000*Table1567891112[[#This Row],[prob50-failure_rating5]]/50</f>
        <v>13.695293701792844</v>
      </c>
      <c r="JC16" s="1">
        <f>Table1567891112[[#This Row],[Total_Cost_MUSD]]*1000000*Table1567891112[[#This Row],[prob50-failure_rating6]]/50</f>
        <v>3.521646951889589</v>
      </c>
      <c r="JD16" s="1">
        <f>Table1567891112[[#This Row],[Total_Cost_MUSD]]*1000000*Table1567891112[[#This Row],[prob50-failure_rating7]]/50</f>
        <v>3.521646951889589</v>
      </c>
      <c r="JE16" s="1">
        <f>Table1567891112[[#This Row],[Total_Cost_MUSD]]*1000000*Table1567891112[[#This Row],[prob50-failure_rating8]]/50</f>
        <v>7.8258821153101968E-2</v>
      </c>
      <c r="JF16" s="1">
        <f>Table1567891112[[#This Row],[Total_Cost_MUSD]]*1000000*Table1567891112[[#This Row],[prob50-failure_rating9]]/50</f>
        <v>4.8911763220688728E-2</v>
      </c>
      <c r="JG16" s="1">
        <f>Table1567891112[[#This Row],[Total_Cost_MUSD]]*1000000*Table1567891112[[#This Row],[prob10-failure_rating1]]/10</f>
        <v>58694.115864826483</v>
      </c>
      <c r="JH16" s="1">
        <f>Table1567891112[[#This Row],[Total_Cost_MUSD]]*1000000*Table1567891112[[#This Row],[prob10-failure_rating2]]/10</f>
        <v>2934.705793241324</v>
      </c>
      <c r="JI16" s="1">
        <f>Table1567891112[[#This Row],[Total_Cost_MUSD]]*1000000*Table1567891112[[#This Row],[prob10-failure_rating3]]/10</f>
        <v>645.6352745130913</v>
      </c>
      <c r="JJ16" s="1">
        <f>Table1567891112[[#This Row],[Total_Cost_MUSD]]*1000000*Table1567891112[[#This Row],[prob10-failure_rating4]]/10</f>
        <v>234.77646345930594</v>
      </c>
      <c r="JK16" s="1">
        <f>Table1567891112[[#This Row],[Total_Cost_MUSD]]*1000000*Table1567891112[[#This Row],[prob10-failure_rating5]]/10</f>
        <v>41.085881105378533</v>
      </c>
      <c r="JL16" s="1">
        <f>Table1567891112[[#This Row],[Total_Cost_MUSD]]*1000000*Table1567891112[[#This Row],[prob10-failure_rating6]]/10</f>
        <v>10.564940855668768</v>
      </c>
      <c r="JM16" s="1">
        <f>Table1567891112[[#This Row],[Total_Cost_MUSD]]*1000000*Table1567891112[[#This Row],[prob10-failure_rating7]]/10</f>
        <v>10.564940855668768</v>
      </c>
      <c r="JN16" s="1">
        <f>Table1567891112[[#This Row],[Total_Cost_MUSD]]*1000000*Table1567891112[[#This Row],[prob10-failure_rating8]]/10</f>
        <v>0.23477646345930592</v>
      </c>
      <c r="JO16" s="1">
        <f>Table1567891112[[#This Row],[Total_Cost_MUSD]]*1000000*Table1567891112[[#This Row],[prob10-failure_rating9]]/10</f>
        <v>0.1467352896620662</v>
      </c>
      <c r="JP16" s="1">
        <f>Table1567891112[[#This Row],[FailureCost_Rating1]]</f>
        <v>5233.5586646136944</v>
      </c>
      <c r="JQ16" s="1">
        <f>Table1567891112[[#This Row],[FailureCost_Rating2]]</f>
        <v>5233.5586646136944</v>
      </c>
      <c r="JR16" s="1">
        <f>(Table1567891112[[#This Row],[failurecost500_rating2]]+Table1567891112[[#This Row],[failurecost100_rating2]]+Table1567891112[[#This Row],[failurecost50_rating2]]+Table1567891112[[#This Row],[failurecost10_rating2]])</f>
        <v>5233.5586646136944</v>
      </c>
      <c r="JS16" s="1">
        <f>(Table1567891112[[#This Row],[failurecost500_rating3]]+Table1567891112[[#This Row],[failurecost100_rating3]]+Table1567891112[[#This Row],[failurecost50_rating3]]+Table1567891112[[#This Row],[failurecost10_rating3]])</f>
        <v>1151.3829062150128</v>
      </c>
      <c r="JT16" s="1">
        <f>(Table1567891112[[#This Row],[failurecost500_rating4]]+Table1567891112[[#This Row],[failurecost100_rating4]]+Table1567891112[[#This Row],[failurecost50_rating4]]+Table1567891112[[#This Row],[failurecost10_rating4]])</f>
        <v>418.68469316909557</v>
      </c>
      <c r="JU16" s="1">
        <f>(Table1567891112[[#This Row],[failurecost500_rating5]]+Table1567891112[[#This Row],[failurecost100_rating5]]+Table1567891112[[#This Row],[failurecost50_rating5]]+Table1567891112[[#This Row],[failurecost10_rating5]])</f>
        <v>73.269821304591716</v>
      </c>
      <c r="JV16" s="1">
        <f>(Table1567891112[[#This Row],[failurecost500_rating6]]+Table1567891112[[#This Row],[failurecost100_rating6]]+Table1567891112[[#This Row],[failurecost50_rating6]]+Table1567891112[[#This Row],[failurecost10_rating6]])</f>
        <v>18.840811192609301</v>
      </c>
      <c r="JW16" s="1">
        <f>(Table1567891112[[#This Row],[failurecost500_rating7]]+Table1567891112[[#This Row],[failurecost100_rating7]]+Table1567891112[[#This Row],[failurecost50_rating7]]+Table1567891112[[#This Row],[failurecost10_rating7]])</f>
        <v>18.840811192609301</v>
      </c>
      <c r="JX16" s="1">
        <f>(Table1567891112[[#This Row],[failurecost500_rating8]]+Table1567891112[[#This Row],[failurecost100_rating8]]+Table1567891112[[#This Row],[failurecost50_rating8]]+Table1567891112[[#This Row],[failurecost10_rating8]])</f>
        <v>0.41868469316909557</v>
      </c>
      <c r="JY16" s="1">
        <f>(Table1567891112[[#This Row],[failurecost500_rating9]]+Table1567891112[[#This Row],[failurecost100_rating9]]+Table1567891112[[#This Row],[failurecost50_rating9]]+Table1567891112[[#This Row],[failurecost10_rating9]])</f>
        <v>0.26167793323068472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Table1567891112[[#This Row],[Depth10_Soil_vol]]*(9.353+9.027)+(Table1567891112[[#This Row],[Depth10_Soil_vol]]/2.5)*20*1.053+(PI()*Table1567891112[[#This Row],[Depth10_Scour]])*Table1567891112[[#This Row],[DECK_WIDTH_MT_052]]*1.062</f>
        <v>0</v>
      </c>
      <c r="AR17" s="1">
        <f>Table1567891112[[#This Row],[Depth50_Soil_vol]]*(9.353+9.027)+(Table1567891112[[#This Row],[Depth50_Soil_vol]]/2.5)*20*1.053+(PI()*Table1567891112[[#This Row],[Depth50_Scour]])*Table1567891112[[#This Row],[DECK_WIDTH_MT_052]]*1.062</f>
        <v>73.925295948361111</v>
      </c>
      <c r="AS17" s="1">
        <f>Table1567891112[[#This Row],[Depth100_Soil_vol]]*(9.353+9.027)+(Table1567891112[[#This Row],[Depth100_Soil_vol]]/2.5)*20*1.053+(PI()*Table1567891112[[#This Row],[Depth100_Scour]])*Table1567891112[[#This Row],[DECK_WIDTH_MT_052]]*1.062</f>
        <v>101.29876563204503</v>
      </c>
      <c r="AT17" s="1">
        <f>Table1567891112[[#This Row],[Depth500_Soil_vol]]*(9.353+9.027)+(Table1567891112[[#This Row],[Depth500_Soil_vol]]/2.5)*20*1.053+(PI()*Table1567891112[[#This Row],[Depth500_Scour]])*Table1567891112[[#This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0.22800000000000001</v>
      </c>
      <c r="GF17" s="1">
        <v>11.204563556729939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9959.6120504266128</v>
      </c>
      <c r="GM17" s="1">
        <f>Sheet4!R47*$GF17*1000000</f>
        <v>5602.2817783649716</v>
      </c>
      <c r="GN17" s="1">
        <f>Sheet4!S47*$GF17*1000000</f>
        <v>3585.4603381535808</v>
      </c>
      <c r="GO17" s="1">
        <f>Sheet4!T47*$GF17*1000000</f>
        <v>2489.9030126066532</v>
      </c>
      <c r="GP17" s="1">
        <f>Sheet4!U47*$GF17*1000000</f>
        <v>1829.3164990579492</v>
      </c>
      <c r="GQ17" s="1">
        <f>Sheet4!V47*$GF17*1000000</f>
        <v>1400.5704445912429</v>
      </c>
      <c r="GR17" s="1">
        <f>Sheet4!W47*$GF17*1000000</f>
        <v>1106.6235611585125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0.01</v>
      </c>
      <c r="HF17" s="1">
        <v>1.25E-3</v>
      </c>
      <c r="HG17" s="1">
        <v>2.7500000000000002E-4</v>
      </c>
      <c r="HH17" s="1">
        <v>1E-4</v>
      </c>
      <c r="HI17" s="1">
        <v>1.7499999999999998E-5</v>
      </c>
      <c r="HJ17" s="1">
        <v>4.5000000000000001E-6</v>
      </c>
      <c r="HK17" s="1">
        <v>4.5000000000000001E-6</v>
      </c>
      <c r="HL17" s="1">
        <v>9.9999999999999995E-8</v>
      </c>
      <c r="HM17" s="1">
        <v>6.2499999999999997E-8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Table1567891112[[#This Row],[Total_Cost_MUSD]]*1000000*Table1567891112[[#This Row],[prob500-failure_rating1]]/500</f>
        <v>224.0912711345988</v>
      </c>
      <c r="IG17" s="1">
        <f>Table1567891112[[#This Row],[Total_Cost_MUSD]]*1000000*Table1567891112[[#This Row],[prob500-failure_rating2]]/500</f>
        <v>112.0456355672994</v>
      </c>
      <c r="IH17" s="1">
        <f>Table1567891112[[#This Row],[Total_Cost_MUSD]]*1000000*Table1567891112[[#This Row],[prob500-failure_rating3]]/500</f>
        <v>24.650039824805866</v>
      </c>
      <c r="II17" s="1">
        <f>Table1567891112[[#This Row],[Total_Cost_MUSD]]*1000000*Table1567891112[[#This Row],[prob500-failure_rating4]]/500</f>
        <v>8.9636508453839525</v>
      </c>
      <c r="IJ17" s="1">
        <f>Table1567891112[[#This Row],[Total_Cost_MUSD]]*1000000*Table1567891112[[#This Row],[prob500-failure_rating5]]/500</f>
        <v>1.5686388979421912</v>
      </c>
      <c r="IK17" s="1">
        <f>Table1567891112[[#This Row],[Total_Cost_MUSD]]*1000000*Table1567891112[[#This Row],[prob500-failure_rating6]]/500</f>
        <v>0.40336428804227781</v>
      </c>
      <c r="IL17" s="1">
        <f>Table1567891112[[#This Row],[Total_Cost_MUSD]]*1000000*Table1567891112[[#This Row],[prob500-failure_rating7]]/500</f>
        <v>0.40336428804227781</v>
      </c>
      <c r="IM17" s="1">
        <f>Table1567891112[[#This Row],[Total_Cost_MUSD]]*1000000*Table1567891112[[#This Row],[prob500-failure_rating8]]/500</f>
        <v>8.9636508453839504E-3</v>
      </c>
      <c r="IN17" s="1">
        <f>Table1567891112[[#This Row],[Total_Cost_MUSD]]*1000000*Table1567891112[[#This Row],[prob500-failure_rating9]]/500</f>
        <v>5.6022817783649695E-3</v>
      </c>
      <c r="IO17" s="1">
        <f>Table1567891112[[#This Row],[Total_Cost_MUSD]]*1000000*Table1567891112[[#This Row],[prob100-failure_rating1]]/100</f>
        <v>1120.4563556729941</v>
      </c>
      <c r="IP17" s="1">
        <f>Table1567891112[[#This Row],[Total_Cost_MUSD]]*1000000*Table1567891112[[#This Row],[prob100-failure_rating2]]/100</f>
        <v>140.05704445912426</v>
      </c>
      <c r="IQ17" s="1">
        <f>Table1567891112[[#This Row],[Total_Cost_MUSD]]*1000000*Table1567891112[[#This Row],[prob100-failure_rating3]]/100</f>
        <v>30.812549781007334</v>
      </c>
      <c r="IR17" s="1">
        <f>Table1567891112[[#This Row],[Total_Cost_MUSD]]*1000000*Table1567891112[[#This Row],[prob100-failure_rating4]]/100</f>
        <v>11.204563556729941</v>
      </c>
      <c r="IS17" s="1">
        <f>Table1567891112[[#This Row],[Total_Cost_MUSD]]*1000000*Table1567891112[[#This Row],[prob100-failure_rating5]]/100</f>
        <v>1.9607986224277392</v>
      </c>
      <c r="IT17" s="1">
        <f>Table1567891112[[#This Row],[Total_Cost_MUSD]]*1000000*Table1567891112[[#This Row],[prob100-failure_rating6]]/100</f>
        <v>0.50420536005284722</v>
      </c>
      <c r="IU17" s="1">
        <f>Table1567891112[[#This Row],[Total_Cost_MUSD]]*1000000*Table1567891112[[#This Row],[prob100-failure_rating7]]/100</f>
        <v>0.50420536005284722</v>
      </c>
      <c r="IV17" s="1">
        <f>Table1567891112[[#This Row],[Total_Cost_MUSD]]*1000000*Table1567891112[[#This Row],[prob100-failure_rating8]]/100</f>
        <v>1.1204563556729939E-2</v>
      </c>
      <c r="IW17" s="1">
        <f>Table1567891112[[#This Row],[Total_Cost_MUSD]]*1000000*Table1567891112[[#This Row],[prob100-failure_rating9]]/100</f>
        <v>7.002852222956212E-3</v>
      </c>
      <c r="IX17" s="1">
        <f>Table1567891112[[#This Row],[Total_Cost_MUSD]]*1000000*Table1567891112[[#This Row],[prob50-failure_rating1]]/50</f>
        <v>2240.9127113459881</v>
      </c>
      <c r="IY17" s="1">
        <f>Table1567891112[[#This Row],[Total_Cost_MUSD]]*1000000*Table1567891112[[#This Row],[prob50-failure_rating2]]/50</f>
        <v>186.74272594549902</v>
      </c>
      <c r="IZ17" s="1">
        <f>Table1567891112[[#This Row],[Total_Cost_MUSD]]*1000000*Table1567891112[[#This Row],[prob50-failure_rating3]]/50</f>
        <v>41.083399708009772</v>
      </c>
      <c r="JA17" s="1">
        <f>Table1567891112[[#This Row],[Total_Cost_MUSD]]*1000000*Table1567891112[[#This Row],[prob50-failure_rating4]]/50</f>
        <v>14.939418075639919</v>
      </c>
      <c r="JB17" s="1">
        <f>Table1567891112[[#This Row],[Total_Cost_MUSD]]*1000000*Table1567891112[[#This Row],[prob50-failure_rating5]]/50</f>
        <v>2.6143981632369857</v>
      </c>
      <c r="JC17" s="1">
        <f>Table1567891112[[#This Row],[Total_Cost_MUSD]]*1000000*Table1567891112[[#This Row],[prob50-failure_rating6]]/50</f>
        <v>0.67227381340379633</v>
      </c>
      <c r="JD17" s="1">
        <f>Table1567891112[[#This Row],[Total_Cost_MUSD]]*1000000*Table1567891112[[#This Row],[prob50-failure_rating7]]/50</f>
        <v>0.67227381340379633</v>
      </c>
      <c r="JE17" s="1">
        <f>Table1567891112[[#This Row],[Total_Cost_MUSD]]*1000000*Table1567891112[[#This Row],[prob50-failure_rating8]]/50</f>
        <v>1.4939418075639919E-2</v>
      </c>
      <c r="JF17" s="1">
        <f>Table1567891112[[#This Row],[Total_Cost_MUSD]]*1000000*Table1567891112[[#This Row],[prob50-failure_rating9]]/50</f>
        <v>9.3371362972749488E-3</v>
      </c>
      <c r="JG17" s="1">
        <f>Table1567891112[[#This Row],[Total_Cost_MUSD]]*1000000*Table1567891112[[#This Row],[prob10-failure_rating1]]/10</f>
        <v>11204.56355672994</v>
      </c>
      <c r="JH17" s="1">
        <f>Table1567891112[[#This Row],[Total_Cost_MUSD]]*1000000*Table1567891112[[#This Row],[prob10-failure_rating2]]/10</f>
        <v>560.22817783649703</v>
      </c>
      <c r="JI17" s="1">
        <f>Table1567891112[[#This Row],[Total_Cost_MUSD]]*1000000*Table1567891112[[#This Row],[prob10-failure_rating3]]/10</f>
        <v>123.25019912402934</v>
      </c>
      <c r="JJ17" s="1">
        <f>Table1567891112[[#This Row],[Total_Cost_MUSD]]*1000000*Table1567891112[[#This Row],[prob10-failure_rating4]]/10</f>
        <v>44.818254226919763</v>
      </c>
      <c r="JK17" s="1">
        <f>Table1567891112[[#This Row],[Total_Cost_MUSD]]*1000000*Table1567891112[[#This Row],[prob10-failure_rating5]]/10</f>
        <v>7.8431944897109558</v>
      </c>
      <c r="JL17" s="1">
        <f>Table1567891112[[#This Row],[Total_Cost_MUSD]]*1000000*Table1567891112[[#This Row],[prob10-failure_rating6]]/10</f>
        <v>2.0168214402113889</v>
      </c>
      <c r="JM17" s="1">
        <f>Table1567891112[[#This Row],[Total_Cost_MUSD]]*1000000*Table1567891112[[#This Row],[prob10-failure_rating7]]/10</f>
        <v>2.0168214402113889</v>
      </c>
      <c r="JN17" s="1">
        <f>Table1567891112[[#This Row],[Total_Cost_MUSD]]*1000000*Table1567891112[[#This Row],[prob10-failure_rating8]]/10</f>
        <v>4.4818254226919756E-2</v>
      </c>
      <c r="JO17" s="1">
        <f>Table1567891112[[#This Row],[Total_Cost_MUSD]]*1000000*Table1567891112[[#This Row],[prob10-failure_rating9]]/10</f>
        <v>2.8011408891824845E-2</v>
      </c>
      <c r="JP17" s="1">
        <f>Table1567891112[[#This Row],[FailureCost_Rating1]]</f>
        <v>999.0735838084197</v>
      </c>
      <c r="JQ17" s="1">
        <f>Table1567891112[[#This Row],[FailureCost_Rating2]]</f>
        <v>999.0735838084197</v>
      </c>
      <c r="JR17" s="1">
        <f>(Table1567891112[[#This Row],[failurecost500_rating2]]+Table1567891112[[#This Row],[failurecost100_rating2]]+Table1567891112[[#This Row],[failurecost50_rating2]]+Table1567891112[[#This Row],[failurecost10_rating2]])</f>
        <v>999.0735838084197</v>
      </c>
      <c r="JS17" s="1">
        <f>(Table1567891112[[#This Row],[failurecost500_rating3]]+Table1567891112[[#This Row],[failurecost100_rating3]]+Table1567891112[[#This Row],[failurecost50_rating3]]+Table1567891112[[#This Row],[failurecost10_rating3]])</f>
        <v>219.79618843785232</v>
      </c>
      <c r="JT17" s="1">
        <f>(Table1567891112[[#This Row],[failurecost500_rating4]]+Table1567891112[[#This Row],[failurecost100_rating4]]+Table1567891112[[#This Row],[failurecost50_rating4]]+Table1567891112[[#This Row],[failurecost10_rating4]])</f>
        <v>79.925886704673573</v>
      </c>
      <c r="JU17" s="1">
        <f>(Table1567891112[[#This Row],[failurecost500_rating5]]+Table1567891112[[#This Row],[failurecost100_rating5]]+Table1567891112[[#This Row],[failurecost50_rating5]]+Table1567891112[[#This Row],[failurecost10_rating5]])</f>
        <v>13.987030173317873</v>
      </c>
      <c r="JV17" s="1">
        <f>(Table1567891112[[#This Row],[failurecost500_rating6]]+Table1567891112[[#This Row],[failurecost100_rating6]]+Table1567891112[[#This Row],[failurecost50_rating6]]+Table1567891112[[#This Row],[failurecost10_rating6]])</f>
        <v>3.5966649017103101</v>
      </c>
      <c r="JW17" s="1">
        <f>(Table1567891112[[#This Row],[failurecost500_rating7]]+Table1567891112[[#This Row],[failurecost100_rating7]]+Table1567891112[[#This Row],[failurecost50_rating7]]+Table1567891112[[#This Row],[failurecost10_rating7]])</f>
        <v>3.5966649017103101</v>
      </c>
      <c r="JX17" s="1">
        <f>(Table1567891112[[#This Row],[failurecost500_rating8]]+Table1567891112[[#This Row],[failurecost100_rating8]]+Table1567891112[[#This Row],[failurecost50_rating8]]+Table1567891112[[#This Row],[failurecost10_rating8]])</f>
        <v>7.9925886704673571E-2</v>
      </c>
      <c r="JY17" s="1">
        <f>(Table1567891112[[#This Row],[failurecost500_rating9]]+Table1567891112[[#This Row],[failurecost100_rating9]]+Table1567891112[[#This Row],[failurecost50_rating9]]+Table1567891112[[#This Row],[failurecost10_rating9]])</f>
        <v>4.9953679190420971E-2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Table1567891112[[#This Row],[Depth10_Soil_vol]]*(9.353+9.027)+(Table1567891112[[#This Row],[Depth10_Soil_vol]]/2.5)*20*1.053+(PI()*Table1567891112[[#This Row],[Depth10_Scour]])*Table1567891112[[#This Row],[DECK_WIDTH_MT_052]]*1.062</f>
        <v>15354.595084739485</v>
      </c>
      <c r="AR18" s="1">
        <f>Table1567891112[[#This Row],[Depth50_Soil_vol]]*(9.353+9.027)+(Table1567891112[[#This Row],[Depth50_Soil_vol]]/2.5)*20*1.053+(PI()*Table1567891112[[#This Row],[Depth50_Scour]])*Table1567891112[[#This Row],[DECK_WIDTH_MT_052]]*1.062</f>
        <v>13414.428771618834</v>
      </c>
      <c r="AS18" s="1">
        <f>Table1567891112[[#This Row],[Depth100_Soil_vol]]*(9.353+9.027)+(Table1567891112[[#This Row],[Depth100_Soil_vol]]/2.5)*20*1.053+(PI()*Table1567891112[[#This Row],[Depth100_Scour]])*Table1567891112[[#This Row],[DECK_WIDTH_MT_052]]*1.062</f>
        <v>13976.739331979787</v>
      </c>
      <c r="AT18" s="1">
        <f>Table1567891112[[#This Row],[Depth500_Soil_vol]]*(9.353+9.027)+(Table1567891112[[#This Row],[Depth500_Soil_vol]]/2.5)*20*1.053+(PI()*Table1567891112[[#This Row],[Depth500_Scour]])*Table1567891112[[#This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0.52800000000000002</v>
      </c>
      <c r="GF18" s="1">
        <v>4.9831507347139032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4429.4673197456914</v>
      </c>
      <c r="GM18" s="1">
        <f>Sheet4!R48*$GF18*1000000</f>
        <v>2491.5753673569516</v>
      </c>
      <c r="GN18" s="1">
        <f>Sheet4!S48*$GF18*1000000</f>
        <v>1594.6082351084494</v>
      </c>
      <c r="GO18" s="1">
        <f>Sheet4!T48*$GF18*1000000</f>
        <v>1107.3668299364228</v>
      </c>
      <c r="GP18" s="1">
        <f>Sheet4!U48*$GF18*1000000</f>
        <v>813.57563015737196</v>
      </c>
      <c r="GQ18" s="1">
        <f>Sheet4!V48*$GF18*1000000</f>
        <v>622.89384183923789</v>
      </c>
      <c r="GR18" s="1">
        <f>Sheet4!W48*$GF18*1000000</f>
        <v>492.16303552729909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0.01</v>
      </c>
      <c r="HF18" s="1">
        <v>1.25E-3</v>
      </c>
      <c r="HG18" s="1">
        <v>2.7500000000000002E-4</v>
      </c>
      <c r="HH18" s="1">
        <v>1E-4</v>
      </c>
      <c r="HI18" s="1">
        <v>1.7499999999999998E-5</v>
      </c>
      <c r="HJ18" s="1">
        <v>4.5000000000000001E-6</v>
      </c>
      <c r="HK18" s="1">
        <v>4.5000000000000001E-6</v>
      </c>
      <c r="HL18" s="1">
        <v>9.9999999999999995E-8</v>
      </c>
      <c r="HM18" s="1">
        <v>6.2499999999999997E-8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Table1567891112[[#This Row],[Total_Cost_MUSD]]*1000000*Table1567891112[[#This Row],[prob500-failure_rating1]]/500</f>
        <v>99.663014694278075</v>
      </c>
      <c r="IG18" s="1">
        <f>Table1567891112[[#This Row],[Total_Cost_MUSD]]*1000000*Table1567891112[[#This Row],[prob500-failure_rating2]]/500</f>
        <v>49.831507347139038</v>
      </c>
      <c r="IH18" s="1">
        <f>Table1567891112[[#This Row],[Total_Cost_MUSD]]*1000000*Table1567891112[[#This Row],[prob500-failure_rating3]]/500</f>
        <v>10.962931616370588</v>
      </c>
      <c r="II18" s="1">
        <f>Table1567891112[[#This Row],[Total_Cost_MUSD]]*1000000*Table1567891112[[#This Row],[prob500-failure_rating4]]/500</f>
        <v>3.9865205877711234</v>
      </c>
      <c r="IJ18" s="1">
        <f>Table1567891112[[#This Row],[Total_Cost_MUSD]]*1000000*Table1567891112[[#This Row],[prob500-failure_rating5]]/500</f>
        <v>0.69764110285994652</v>
      </c>
      <c r="IK18" s="1">
        <f>Table1567891112[[#This Row],[Total_Cost_MUSD]]*1000000*Table1567891112[[#This Row],[prob500-failure_rating6]]/500</f>
        <v>0.17939342644970055</v>
      </c>
      <c r="IL18" s="1">
        <f>Table1567891112[[#This Row],[Total_Cost_MUSD]]*1000000*Table1567891112[[#This Row],[prob500-failure_rating7]]/500</f>
        <v>0.17939342644970055</v>
      </c>
      <c r="IM18" s="1">
        <f>Table1567891112[[#This Row],[Total_Cost_MUSD]]*1000000*Table1567891112[[#This Row],[prob500-failure_rating8]]/500</f>
        <v>3.9865205877711229E-3</v>
      </c>
      <c r="IN18" s="1">
        <f>Table1567891112[[#This Row],[Total_Cost_MUSD]]*1000000*Table1567891112[[#This Row],[prob500-failure_rating9]]/500</f>
        <v>2.4915753673569515E-3</v>
      </c>
      <c r="IO18" s="1">
        <f>Table1567891112[[#This Row],[Total_Cost_MUSD]]*1000000*Table1567891112[[#This Row],[prob100-failure_rating1]]/100</f>
        <v>498.31507347139035</v>
      </c>
      <c r="IP18" s="1">
        <f>Table1567891112[[#This Row],[Total_Cost_MUSD]]*1000000*Table1567891112[[#This Row],[prob100-failure_rating2]]/100</f>
        <v>62.289384183923794</v>
      </c>
      <c r="IQ18" s="1">
        <f>Table1567891112[[#This Row],[Total_Cost_MUSD]]*1000000*Table1567891112[[#This Row],[prob100-failure_rating3]]/100</f>
        <v>13.703664520463235</v>
      </c>
      <c r="IR18" s="1">
        <f>Table1567891112[[#This Row],[Total_Cost_MUSD]]*1000000*Table1567891112[[#This Row],[prob100-failure_rating4]]/100</f>
        <v>4.9831507347139041</v>
      </c>
      <c r="IS18" s="1">
        <f>Table1567891112[[#This Row],[Total_Cost_MUSD]]*1000000*Table1567891112[[#This Row],[prob100-failure_rating5]]/100</f>
        <v>0.87205137857493309</v>
      </c>
      <c r="IT18" s="1">
        <f>Table1567891112[[#This Row],[Total_Cost_MUSD]]*1000000*Table1567891112[[#This Row],[prob100-failure_rating6]]/100</f>
        <v>0.22424178306212567</v>
      </c>
      <c r="IU18" s="1">
        <f>Table1567891112[[#This Row],[Total_Cost_MUSD]]*1000000*Table1567891112[[#This Row],[prob100-failure_rating7]]/100</f>
        <v>0.22424178306212567</v>
      </c>
      <c r="IV18" s="1">
        <f>Table1567891112[[#This Row],[Total_Cost_MUSD]]*1000000*Table1567891112[[#This Row],[prob100-failure_rating8]]/100</f>
        <v>4.983150734713903E-3</v>
      </c>
      <c r="IW18" s="1">
        <f>Table1567891112[[#This Row],[Total_Cost_MUSD]]*1000000*Table1567891112[[#This Row],[prob100-failure_rating9]]/100</f>
        <v>3.1144692091961894E-3</v>
      </c>
      <c r="IX18" s="1">
        <f>Table1567891112[[#This Row],[Total_Cost_MUSD]]*1000000*Table1567891112[[#This Row],[prob50-failure_rating1]]/50</f>
        <v>996.6301469427807</v>
      </c>
      <c r="IY18" s="1">
        <f>Table1567891112[[#This Row],[Total_Cost_MUSD]]*1000000*Table1567891112[[#This Row],[prob50-failure_rating2]]/50</f>
        <v>83.052512245231739</v>
      </c>
      <c r="IZ18" s="1">
        <f>Table1567891112[[#This Row],[Total_Cost_MUSD]]*1000000*Table1567891112[[#This Row],[prob50-failure_rating3]]/50</f>
        <v>18.27155269395098</v>
      </c>
      <c r="JA18" s="1">
        <f>Table1567891112[[#This Row],[Total_Cost_MUSD]]*1000000*Table1567891112[[#This Row],[prob50-failure_rating4]]/50</f>
        <v>6.6442009796185379</v>
      </c>
      <c r="JB18" s="1">
        <f>Table1567891112[[#This Row],[Total_Cost_MUSD]]*1000000*Table1567891112[[#This Row],[prob50-failure_rating5]]/50</f>
        <v>1.1627351714332441</v>
      </c>
      <c r="JC18" s="1">
        <f>Table1567891112[[#This Row],[Total_Cost_MUSD]]*1000000*Table1567891112[[#This Row],[prob50-failure_rating6]]/50</f>
        <v>0.29898904408283422</v>
      </c>
      <c r="JD18" s="1">
        <f>Table1567891112[[#This Row],[Total_Cost_MUSD]]*1000000*Table1567891112[[#This Row],[prob50-failure_rating7]]/50</f>
        <v>0.29898904408283422</v>
      </c>
      <c r="JE18" s="1">
        <f>Table1567891112[[#This Row],[Total_Cost_MUSD]]*1000000*Table1567891112[[#This Row],[prob50-failure_rating8]]/50</f>
        <v>6.6442009796185385E-3</v>
      </c>
      <c r="JF18" s="1">
        <f>Table1567891112[[#This Row],[Total_Cost_MUSD]]*1000000*Table1567891112[[#This Row],[prob50-failure_rating9]]/50</f>
        <v>4.1526256122615861E-3</v>
      </c>
      <c r="JG18" s="1">
        <f>Table1567891112[[#This Row],[Total_Cost_MUSD]]*1000000*Table1567891112[[#This Row],[prob10-failure_rating1]]/10</f>
        <v>4983.1507347139031</v>
      </c>
      <c r="JH18" s="1">
        <f>Table1567891112[[#This Row],[Total_Cost_MUSD]]*1000000*Table1567891112[[#This Row],[prob10-failure_rating2]]/10</f>
        <v>249.1575367356952</v>
      </c>
      <c r="JI18" s="1">
        <f>Table1567891112[[#This Row],[Total_Cost_MUSD]]*1000000*Table1567891112[[#This Row],[prob10-failure_rating3]]/10</f>
        <v>54.81465808185294</v>
      </c>
      <c r="JJ18" s="1">
        <f>Table1567891112[[#This Row],[Total_Cost_MUSD]]*1000000*Table1567891112[[#This Row],[prob10-failure_rating4]]/10</f>
        <v>19.932602938855617</v>
      </c>
      <c r="JK18" s="1">
        <f>Table1567891112[[#This Row],[Total_Cost_MUSD]]*1000000*Table1567891112[[#This Row],[prob10-failure_rating5]]/10</f>
        <v>3.4882055142997324</v>
      </c>
      <c r="JL18" s="1">
        <f>Table1567891112[[#This Row],[Total_Cost_MUSD]]*1000000*Table1567891112[[#This Row],[prob10-failure_rating6]]/10</f>
        <v>0.89696713224850266</v>
      </c>
      <c r="JM18" s="1">
        <f>Table1567891112[[#This Row],[Total_Cost_MUSD]]*1000000*Table1567891112[[#This Row],[prob10-failure_rating7]]/10</f>
        <v>0.89696713224850266</v>
      </c>
      <c r="JN18" s="1">
        <f>Table1567891112[[#This Row],[Total_Cost_MUSD]]*1000000*Table1567891112[[#This Row],[prob10-failure_rating8]]/10</f>
        <v>1.9932602938855615E-2</v>
      </c>
      <c r="JO18" s="1">
        <f>Table1567891112[[#This Row],[Total_Cost_MUSD]]*1000000*Table1567891112[[#This Row],[prob10-failure_rating9]]/10</f>
        <v>1.2457876836784757E-2</v>
      </c>
      <c r="JP18" s="1">
        <f>Table1567891112[[#This Row],[FailureCost_Rating1]]</f>
        <v>444.33094051198975</v>
      </c>
      <c r="JQ18" s="1">
        <f>Table1567891112[[#This Row],[FailureCost_Rating2]]</f>
        <v>444.33094051198975</v>
      </c>
      <c r="JR18" s="1">
        <f>(Table1567891112[[#This Row],[failurecost500_rating2]]+Table1567891112[[#This Row],[failurecost100_rating2]]+Table1567891112[[#This Row],[failurecost50_rating2]]+Table1567891112[[#This Row],[failurecost10_rating2]])</f>
        <v>444.33094051198975</v>
      </c>
      <c r="JS18" s="1">
        <f>(Table1567891112[[#This Row],[failurecost500_rating3]]+Table1567891112[[#This Row],[failurecost100_rating3]]+Table1567891112[[#This Row],[failurecost50_rating3]]+Table1567891112[[#This Row],[failurecost10_rating3]])</f>
        <v>97.752806912637737</v>
      </c>
      <c r="JT18" s="1">
        <f>(Table1567891112[[#This Row],[failurecost500_rating4]]+Table1567891112[[#This Row],[failurecost100_rating4]]+Table1567891112[[#This Row],[failurecost50_rating4]]+Table1567891112[[#This Row],[failurecost10_rating4]])</f>
        <v>35.546475240959182</v>
      </c>
      <c r="JU18" s="1">
        <f>(Table1567891112[[#This Row],[failurecost500_rating5]]+Table1567891112[[#This Row],[failurecost100_rating5]]+Table1567891112[[#This Row],[failurecost50_rating5]]+Table1567891112[[#This Row],[failurecost10_rating5]])</f>
        <v>6.2206331671678559</v>
      </c>
      <c r="JV18" s="1">
        <f>(Table1567891112[[#This Row],[failurecost500_rating6]]+Table1567891112[[#This Row],[failurecost100_rating6]]+Table1567891112[[#This Row],[failurecost50_rating6]]+Table1567891112[[#This Row],[failurecost10_rating6]])</f>
        <v>1.599591385843163</v>
      </c>
      <c r="JW18" s="1">
        <f>(Table1567891112[[#This Row],[failurecost500_rating7]]+Table1567891112[[#This Row],[failurecost100_rating7]]+Table1567891112[[#This Row],[failurecost50_rating7]]+Table1567891112[[#This Row],[failurecost10_rating7]])</f>
        <v>1.599591385843163</v>
      </c>
      <c r="JX18" s="1">
        <f>(Table1567891112[[#This Row],[failurecost500_rating8]]+Table1567891112[[#This Row],[failurecost100_rating8]]+Table1567891112[[#This Row],[failurecost50_rating8]]+Table1567891112[[#This Row],[failurecost10_rating8]])</f>
        <v>3.5546475240959177E-2</v>
      </c>
      <c r="JY18" s="1">
        <f>(Table1567891112[[#This Row],[failurecost500_rating9]]+Table1567891112[[#This Row],[failurecost100_rating9]]+Table1567891112[[#This Row],[failurecost50_rating9]]+Table1567891112[[#This Row],[failurecost10_rating9]])</f>
        <v>2.2216547025599484E-2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Table1567891112[[#This Row],[Depth10_Soil_vol]]*(9.353+9.027)+(Table1567891112[[#This Row],[Depth10_Soil_vol]]/2.5)*20*1.053+(PI()*Table1567891112[[#This Row],[Depth10_Scour]])*Table1567891112[[#This Row],[DECK_WIDTH_MT_052]]*1.062</f>
        <v>10223.699035708925</v>
      </c>
      <c r="AR19" s="1">
        <f>Table1567891112[[#This Row],[Depth50_Soil_vol]]*(9.353+9.027)+(Table1567891112[[#This Row],[Depth50_Soil_vol]]/2.5)*20*1.053+(PI()*Table1567891112[[#This Row],[Depth50_Scour]])*Table1567891112[[#This Row],[DECK_WIDTH_MT_052]]*1.062</f>
        <v>11295.880242844603</v>
      </c>
      <c r="AS19" s="1">
        <f>Table1567891112[[#This Row],[Depth100_Soil_vol]]*(9.353+9.027)+(Table1567891112[[#This Row],[Depth100_Soil_vol]]/2.5)*20*1.053+(PI()*Table1567891112[[#This Row],[Depth100_Scour]])*Table1567891112[[#This Row],[DECK_WIDTH_MT_052]]*1.062</f>
        <v>11757.366155411924</v>
      </c>
      <c r="AT19" s="1">
        <f>Table1567891112[[#This Row],[Depth500_Soil_vol]]*(9.353+9.027)+(Table1567891112[[#This Row],[Depth500_Soil_vol]]/2.5)*20*1.053+(PI()*Table1567891112[[#This Row],[Depth500_Scour]])*Table1567891112[[#This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0.79200000000000004</v>
      </c>
      <c r="GF19" s="1">
        <v>28.884412300213732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25675.033155745543</v>
      </c>
      <c r="GM19" s="1">
        <f>Sheet4!R49*$GF19*1000000</f>
        <v>14442.206150106867</v>
      </c>
      <c r="GN19" s="1">
        <f>Sheet4!S49*$GF19*1000000</f>
        <v>9243.0119360683948</v>
      </c>
      <c r="GO19" s="1">
        <f>Sheet4!T49*$GF19*1000000</f>
        <v>6418.7582889363857</v>
      </c>
      <c r="GP19" s="1">
        <f>Sheet4!U49*$GF19*1000000</f>
        <v>4715.8224163614259</v>
      </c>
      <c r="GQ19" s="1">
        <f>Sheet4!V49*$GF19*1000000</f>
        <v>3610.5515375267169</v>
      </c>
      <c r="GR19" s="1">
        <f>Sheet4!W49*$GF19*1000000</f>
        <v>2852.7814617495042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0.01</v>
      </c>
      <c r="HF19" s="1">
        <v>1.25E-3</v>
      </c>
      <c r="HG19" s="1">
        <v>2.7500000000000002E-4</v>
      </c>
      <c r="HH19" s="1">
        <v>1E-4</v>
      </c>
      <c r="HI19" s="1">
        <v>1.7499999999999998E-5</v>
      </c>
      <c r="HJ19" s="1">
        <v>4.5000000000000001E-6</v>
      </c>
      <c r="HK19" s="1">
        <v>4.5000000000000001E-6</v>
      </c>
      <c r="HL19" s="1">
        <v>9.9999999999999995E-8</v>
      </c>
      <c r="HM19" s="1">
        <v>6.2499999999999997E-8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Table1567891112[[#This Row],[Total_Cost_MUSD]]*1000000*Table1567891112[[#This Row],[prob500-failure_rating1]]/500</f>
        <v>577.68824600427467</v>
      </c>
      <c r="IG19" s="1">
        <f>Table1567891112[[#This Row],[Total_Cost_MUSD]]*1000000*Table1567891112[[#This Row],[prob500-failure_rating2]]/500</f>
        <v>288.84412300213734</v>
      </c>
      <c r="IH19" s="1">
        <f>Table1567891112[[#This Row],[Total_Cost_MUSD]]*1000000*Table1567891112[[#This Row],[prob500-failure_rating3]]/500</f>
        <v>63.545707060470214</v>
      </c>
      <c r="II19" s="1">
        <f>Table1567891112[[#This Row],[Total_Cost_MUSD]]*1000000*Table1567891112[[#This Row],[prob500-failure_rating4]]/500</f>
        <v>23.107529840170987</v>
      </c>
      <c r="IJ19" s="1">
        <f>Table1567891112[[#This Row],[Total_Cost_MUSD]]*1000000*Table1567891112[[#This Row],[prob500-failure_rating5]]/500</f>
        <v>4.0438177220299218</v>
      </c>
      <c r="IK19" s="1">
        <f>Table1567891112[[#This Row],[Total_Cost_MUSD]]*1000000*Table1567891112[[#This Row],[prob500-failure_rating6]]/500</f>
        <v>1.0398388428076943</v>
      </c>
      <c r="IL19" s="1">
        <f>Table1567891112[[#This Row],[Total_Cost_MUSD]]*1000000*Table1567891112[[#This Row],[prob500-failure_rating7]]/500</f>
        <v>1.0398388428076943</v>
      </c>
      <c r="IM19" s="1">
        <f>Table1567891112[[#This Row],[Total_Cost_MUSD]]*1000000*Table1567891112[[#This Row],[prob500-failure_rating8]]/500</f>
        <v>2.3107529840170983E-2</v>
      </c>
      <c r="IN19" s="1">
        <f>Table1567891112[[#This Row],[Total_Cost_MUSD]]*1000000*Table1567891112[[#This Row],[prob500-failure_rating9]]/500</f>
        <v>1.4442206150106867E-2</v>
      </c>
      <c r="IO19" s="1">
        <f>Table1567891112[[#This Row],[Total_Cost_MUSD]]*1000000*Table1567891112[[#This Row],[prob100-failure_rating1]]/100</f>
        <v>2888.4412300213735</v>
      </c>
      <c r="IP19" s="1">
        <f>Table1567891112[[#This Row],[Total_Cost_MUSD]]*1000000*Table1567891112[[#This Row],[prob100-failure_rating2]]/100</f>
        <v>361.05515375267169</v>
      </c>
      <c r="IQ19" s="1">
        <f>Table1567891112[[#This Row],[Total_Cost_MUSD]]*1000000*Table1567891112[[#This Row],[prob100-failure_rating3]]/100</f>
        <v>79.432133825587769</v>
      </c>
      <c r="IR19" s="1">
        <f>Table1567891112[[#This Row],[Total_Cost_MUSD]]*1000000*Table1567891112[[#This Row],[prob100-failure_rating4]]/100</f>
        <v>28.884412300213736</v>
      </c>
      <c r="IS19" s="1">
        <f>Table1567891112[[#This Row],[Total_Cost_MUSD]]*1000000*Table1567891112[[#This Row],[prob100-failure_rating5]]/100</f>
        <v>5.054772152537403</v>
      </c>
      <c r="IT19" s="1">
        <f>Table1567891112[[#This Row],[Total_Cost_MUSD]]*1000000*Table1567891112[[#This Row],[prob100-failure_rating6]]/100</f>
        <v>1.2997985535096179</v>
      </c>
      <c r="IU19" s="1">
        <f>Table1567891112[[#This Row],[Total_Cost_MUSD]]*1000000*Table1567891112[[#This Row],[prob100-failure_rating7]]/100</f>
        <v>1.2997985535096179</v>
      </c>
      <c r="IV19" s="1">
        <f>Table1567891112[[#This Row],[Total_Cost_MUSD]]*1000000*Table1567891112[[#This Row],[prob100-failure_rating8]]/100</f>
        <v>2.8884412300213727E-2</v>
      </c>
      <c r="IW19" s="1">
        <f>Table1567891112[[#This Row],[Total_Cost_MUSD]]*1000000*Table1567891112[[#This Row],[prob100-failure_rating9]]/100</f>
        <v>1.8052757687633581E-2</v>
      </c>
      <c r="IX19" s="1">
        <f>Table1567891112[[#This Row],[Total_Cost_MUSD]]*1000000*Table1567891112[[#This Row],[prob50-failure_rating1]]/50</f>
        <v>5776.882460042747</v>
      </c>
      <c r="IY19" s="1">
        <f>Table1567891112[[#This Row],[Total_Cost_MUSD]]*1000000*Table1567891112[[#This Row],[prob50-failure_rating2]]/50</f>
        <v>481.40687167022884</v>
      </c>
      <c r="IZ19" s="1">
        <f>Table1567891112[[#This Row],[Total_Cost_MUSD]]*1000000*Table1567891112[[#This Row],[prob50-failure_rating3]]/50</f>
        <v>105.90951176745035</v>
      </c>
      <c r="JA19" s="1">
        <f>Table1567891112[[#This Row],[Total_Cost_MUSD]]*1000000*Table1567891112[[#This Row],[prob50-failure_rating4]]/50</f>
        <v>38.512549733618314</v>
      </c>
      <c r="JB19" s="1">
        <f>Table1567891112[[#This Row],[Total_Cost_MUSD]]*1000000*Table1567891112[[#This Row],[prob50-failure_rating5]]/50</f>
        <v>6.739696203383204</v>
      </c>
      <c r="JC19" s="1">
        <f>Table1567891112[[#This Row],[Total_Cost_MUSD]]*1000000*Table1567891112[[#This Row],[prob50-failure_rating6]]/50</f>
        <v>1.7330647380128241</v>
      </c>
      <c r="JD19" s="1">
        <f>Table1567891112[[#This Row],[Total_Cost_MUSD]]*1000000*Table1567891112[[#This Row],[prob50-failure_rating7]]/50</f>
        <v>1.7330647380128241</v>
      </c>
      <c r="JE19" s="1">
        <f>Table1567891112[[#This Row],[Total_Cost_MUSD]]*1000000*Table1567891112[[#This Row],[prob50-failure_rating8]]/50</f>
        <v>3.8512549733618312E-2</v>
      </c>
      <c r="JF19" s="1">
        <f>Table1567891112[[#This Row],[Total_Cost_MUSD]]*1000000*Table1567891112[[#This Row],[prob50-failure_rating9]]/50</f>
        <v>2.4070343583511442E-2</v>
      </c>
      <c r="JG19" s="1">
        <f>Table1567891112[[#This Row],[Total_Cost_MUSD]]*1000000*Table1567891112[[#This Row],[prob10-failure_rating1]]/10</f>
        <v>28884.412300213735</v>
      </c>
      <c r="JH19" s="1">
        <f>Table1567891112[[#This Row],[Total_Cost_MUSD]]*1000000*Table1567891112[[#This Row],[prob10-failure_rating2]]/10</f>
        <v>1444.2206150106865</v>
      </c>
      <c r="JI19" s="1">
        <f>Table1567891112[[#This Row],[Total_Cost_MUSD]]*1000000*Table1567891112[[#This Row],[prob10-failure_rating3]]/10</f>
        <v>317.72853530235108</v>
      </c>
      <c r="JJ19" s="1">
        <f>Table1567891112[[#This Row],[Total_Cost_MUSD]]*1000000*Table1567891112[[#This Row],[prob10-failure_rating4]]/10</f>
        <v>115.53764920085493</v>
      </c>
      <c r="JK19" s="1">
        <f>Table1567891112[[#This Row],[Total_Cost_MUSD]]*1000000*Table1567891112[[#This Row],[prob10-failure_rating5]]/10</f>
        <v>20.219088610149608</v>
      </c>
      <c r="JL19" s="1">
        <f>Table1567891112[[#This Row],[Total_Cost_MUSD]]*1000000*Table1567891112[[#This Row],[prob10-failure_rating6]]/10</f>
        <v>5.1991942140384726</v>
      </c>
      <c r="JM19" s="1">
        <f>Table1567891112[[#This Row],[Total_Cost_MUSD]]*1000000*Table1567891112[[#This Row],[prob10-failure_rating7]]/10</f>
        <v>5.1991942140384726</v>
      </c>
      <c r="JN19" s="1">
        <f>Table1567891112[[#This Row],[Total_Cost_MUSD]]*1000000*Table1567891112[[#This Row],[prob10-failure_rating8]]/10</f>
        <v>0.11553764920085492</v>
      </c>
      <c r="JO19" s="1">
        <f>Table1567891112[[#This Row],[Total_Cost_MUSD]]*1000000*Table1567891112[[#This Row],[prob10-failure_rating9]]/10</f>
        <v>7.2211030750534325E-2</v>
      </c>
      <c r="JP19" s="1">
        <f>Table1567891112[[#This Row],[FailureCost_Rating1]]</f>
        <v>2575.5267634357242</v>
      </c>
      <c r="JQ19" s="1">
        <f>Table1567891112[[#This Row],[FailureCost_Rating2]]</f>
        <v>2575.5267634357242</v>
      </c>
      <c r="JR19" s="1">
        <f>(Table1567891112[[#This Row],[failurecost500_rating2]]+Table1567891112[[#This Row],[failurecost100_rating2]]+Table1567891112[[#This Row],[failurecost50_rating2]]+Table1567891112[[#This Row],[failurecost10_rating2]])</f>
        <v>2575.5267634357242</v>
      </c>
      <c r="JS19" s="1">
        <f>(Table1567891112[[#This Row],[failurecost500_rating3]]+Table1567891112[[#This Row],[failurecost100_rating3]]+Table1567891112[[#This Row],[failurecost50_rating3]]+Table1567891112[[#This Row],[failurecost10_rating3]])</f>
        <v>566.61588795585942</v>
      </c>
      <c r="JT19" s="1">
        <f>(Table1567891112[[#This Row],[failurecost500_rating4]]+Table1567891112[[#This Row],[failurecost100_rating4]]+Table1567891112[[#This Row],[failurecost50_rating4]]+Table1567891112[[#This Row],[failurecost10_rating4]])</f>
        <v>206.04214107485797</v>
      </c>
      <c r="JU19" s="1">
        <f>(Table1567891112[[#This Row],[failurecost500_rating5]]+Table1567891112[[#This Row],[failurecost100_rating5]]+Table1567891112[[#This Row],[failurecost50_rating5]]+Table1567891112[[#This Row],[failurecost10_rating5]])</f>
        <v>36.05737468810014</v>
      </c>
      <c r="JV19" s="1">
        <f>(Table1567891112[[#This Row],[failurecost500_rating6]]+Table1567891112[[#This Row],[failurecost100_rating6]]+Table1567891112[[#This Row],[failurecost50_rating6]]+Table1567891112[[#This Row],[failurecost10_rating6]])</f>
        <v>9.2718963483686085</v>
      </c>
      <c r="JW19" s="1">
        <f>(Table1567891112[[#This Row],[failurecost500_rating7]]+Table1567891112[[#This Row],[failurecost100_rating7]]+Table1567891112[[#This Row],[failurecost50_rating7]]+Table1567891112[[#This Row],[failurecost10_rating7]])</f>
        <v>9.2718963483686085</v>
      </c>
      <c r="JX19" s="1">
        <f>(Table1567891112[[#This Row],[failurecost500_rating8]]+Table1567891112[[#This Row],[failurecost100_rating8]]+Table1567891112[[#This Row],[failurecost50_rating8]]+Table1567891112[[#This Row],[failurecost10_rating8]])</f>
        <v>0.20604214107485797</v>
      </c>
      <c r="JY19" s="1">
        <f>(Table1567891112[[#This Row],[failurecost500_rating9]]+Table1567891112[[#This Row],[failurecost100_rating9]]+Table1567891112[[#This Row],[failurecost50_rating9]]+Table1567891112[[#This Row],[failurecost10_rating9]])</f>
        <v>0.12877633817178621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Table1567891112[[#This Row],[Depth10_Soil_vol]]*(9.353+9.027)+(Table1567891112[[#This Row],[Depth10_Soil_vol]]/2.5)*20*1.053+(PI()*Table1567891112[[#This Row],[Depth10_Scour]])*Table1567891112[[#This Row],[DECK_WIDTH_MT_052]]*1.062</f>
        <v>13853.451944603266</v>
      </c>
      <c r="AR20" s="1">
        <f>Table1567891112[[#This Row],[Depth50_Soil_vol]]*(9.353+9.027)+(Table1567891112[[#This Row],[Depth50_Soil_vol]]/2.5)*20*1.053+(PI()*Table1567891112[[#This Row],[Depth50_Scour]])*Table1567891112[[#This Row],[DECK_WIDTH_MT_052]]*1.062</f>
        <v>14885.488907843239</v>
      </c>
      <c r="AS20" s="1">
        <f>Table1567891112[[#This Row],[Depth100_Soil_vol]]*(9.353+9.027)+(Table1567891112[[#This Row],[Depth100_Soil_vol]]/2.5)*20*1.053+(PI()*Table1567891112[[#This Row],[Depth100_Scour]])*Table1567891112[[#This Row],[DECK_WIDTH_MT_052]]*1.062</f>
        <v>15342.083437730904</v>
      </c>
      <c r="AT20" s="1">
        <f>Table1567891112[[#This Row],[Depth500_Soil_vol]]*(9.353+9.027)+(Table1567891112[[#This Row],[Depth500_Soil_vol]]/2.5)*20*1.053+(PI()*Table1567891112[[#This Row],[Depth500_Scour]])*Table1567891112[[#This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MAX(0,(Table1567891112[[#This Row],[Current_rating]]-Table1567891112[[#This Row],[Depth10_Rating]])/10+(Table1567891112[[#This Row],[Current_rating]]-Table1567891112[[#This Row],[Depth50_Rating]])/50+(Table1567891112[[#This Row],[Current_rating]]-Table1567891112[[#This Row],[Depth100_Rating]])/100+(Table1567891112[[#This Row],[Current_rating]]-Table1567891112[[#This Row],[Depth500_Rating]])/500)</f>
        <v>0.26400000000000001</v>
      </c>
      <c r="GF20" s="1">
        <v>31.342781808211328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27860.250496187848</v>
      </c>
      <c r="GM20" s="1">
        <f>Sheet4!R50*$GF20*1000000</f>
        <v>15671.390904105665</v>
      </c>
      <c r="GN20" s="1">
        <f>Sheet4!S50*$GF20*1000000</f>
        <v>10029.690178627625</v>
      </c>
      <c r="GO20" s="1">
        <f>Sheet4!T50*$GF20*1000000</f>
        <v>6965.0626240469619</v>
      </c>
      <c r="GP20" s="1">
        <f>Sheet4!U50*$GF20*1000000</f>
        <v>5117.1888666467476</v>
      </c>
      <c r="GQ20" s="1">
        <f>Sheet4!V50*$GF20*1000000</f>
        <v>3917.8477260264162</v>
      </c>
      <c r="GR20" s="1">
        <f>Sheet4!W50*$GF20*1000000</f>
        <v>3095.5833884653157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0.01</v>
      </c>
      <c r="HF20" s="1">
        <v>1.25E-3</v>
      </c>
      <c r="HG20" s="1">
        <v>2.7500000000000002E-4</v>
      </c>
      <c r="HH20" s="1">
        <v>1E-4</v>
      </c>
      <c r="HI20" s="1">
        <v>1.7499999999999998E-5</v>
      </c>
      <c r="HJ20" s="1">
        <v>4.5000000000000001E-6</v>
      </c>
      <c r="HK20" s="1">
        <v>4.5000000000000001E-6</v>
      </c>
      <c r="HL20" s="1">
        <v>9.9999999999999995E-8</v>
      </c>
      <c r="HM20" s="1">
        <v>6.2499999999999997E-8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Table1567891112[[#This Row],[Total_Cost_MUSD]]*1000000*Table1567891112[[#This Row],[prob500-failure_rating1]]/500</f>
        <v>626.85563616422655</v>
      </c>
      <c r="IG20" s="1">
        <f>Table1567891112[[#This Row],[Total_Cost_MUSD]]*1000000*Table1567891112[[#This Row],[prob500-failure_rating2]]/500</f>
        <v>313.42781808211328</v>
      </c>
      <c r="IH20" s="1">
        <f>Table1567891112[[#This Row],[Total_Cost_MUSD]]*1000000*Table1567891112[[#This Row],[prob500-failure_rating3]]/500</f>
        <v>68.954119978064924</v>
      </c>
      <c r="II20" s="1">
        <f>Table1567891112[[#This Row],[Total_Cost_MUSD]]*1000000*Table1567891112[[#This Row],[prob500-failure_rating4]]/500</f>
        <v>25.074225446569063</v>
      </c>
      <c r="IJ20" s="1">
        <f>Table1567891112[[#This Row],[Total_Cost_MUSD]]*1000000*Table1567891112[[#This Row],[prob500-failure_rating5]]/500</f>
        <v>4.3879894531495856</v>
      </c>
      <c r="IK20" s="1">
        <f>Table1567891112[[#This Row],[Total_Cost_MUSD]]*1000000*Table1567891112[[#This Row],[prob500-failure_rating6]]/500</f>
        <v>1.1283401450956079</v>
      </c>
      <c r="IL20" s="1">
        <f>Table1567891112[[#This Row],[Total_Cost_MUSD]]*1000000*Table1567891112[[#This Row],[prob500-failure_rating7]]/500</f>
        <v>1.1283401450956079</v>
      </c>
      <c r="IM20" s="1">
        <f>Table1567891112[[#This Row],[Total_Cost_MUSD]]*1000000*Table1567891112[[#This Row],[prob500-failure_rating8]]/500</f>
        <v>2.5074225446569058E-2</v>
      </c>
      <c r="IN20" s="1">
        <f>Table1567891112[[#This Row],[Total_Cost_MUSD]]*1000000*Table1567891112[[#This Row],[prob500-failure_rating9]]/500</f>
        <v>1.5671390904105662E-2</v>
      </c>
      <c r="IO20" s="1">
        <f>Table1567891112[[#This Row],[Total_Cost_MUSD]]*1000000*Table1567891112[[#This Row],[prob100-failure_rating1]]/100</f>
        <v>3134.278180821133</v>
      </c>
      <c r="IP20" s="1">
        <f>Table1567891112[[#This Row],[Total_Cost_MUSD]]*1000000*Table1567891112[[#This Row],[prob100-failure_rating2]]/100</f>
        <v>391.78477260264162</v>
      </c>
      <c r="IQ20" s="1">
        <f>Table1567891112[[#This Row],[Total_Cost_MUSD]]*1000000*Table1567891112[[#This Row],[prob100-failure_rating3]]/100</f>
        <v>86.192649972581151</v>
      </c>
      <c r="IR20" s="1">
        <f>Table1567891112[[#This Row],[Total_Cost_MUSD]]*1000000*Table1567891112[[#This Row],[prob100-failure_rating4]]/100</f>
        <v>31.342781808211331</v>
      </c>
      <c r="IS20" s="1">
        <f>Table1567891112[[#This Row],[Total_Cost_MUSD]]*1000000*Table1567891112[[#This Row],[prob100-failure_rating5]]/100</f>
        <v>5.4849868164369822</v>
      </c>
      <c r="IT20" s="1">
        <f>Table1567891112[[#This Row],[Total_Cost_MUSD]]*1000000*Table1567891112[[#This Row],[prob100-failure_rating6]]/100</f>
        <v>1.4104251813695097</v>
      </c>
      <c r="IU20" s="1">
        <f>Table1567891112[[#This Row],[Total_Cost_MUSD]]*1000000*Table1567891112[[#This Row],[prob100-failure_rating7]]/100</f>
        <v>1.4104251813695097</v>
      </c>
      <c r="IV20" s="1">
        <f>Table1567891112[[#This Row],[Total_Cost_MUSD]]*1000000*Table1567891112[[#This Row],[prob100-failure_rating8]]/100</f>
        <v>3.1342781808211324E-2</v>
      </c>
      <c r="IW20" s="1">
        <f>Table1567891112[[#This Row],[Total_Cost_MUSD]]*1000000*Table1567891112[[#This Row],[prob100-failure_rating9]]/100</f>
        <v>1.9589238630132077E-2</v>
      </c>
      <c r="IX20" s="1">
        <f>Table1567891112[[#This Row],[Total_Cost_MUSD]]*1000000*Table1567891112[[#This Row],[prob50-failure_rating1]]/50</f>
        <v>6268.556361642266</v>
      </c>
      <c r="IY20" s="1">
        <f>Table1567891112[[#This Row],[Total_Cost_MUSD]]*1000000*Table1567891112[[#This Row],[prob50-failure_rating2]]/50</f>
        <v>522.37969680352217</v>
      </c>
      <c r="IZ20" s="1">
        <f>Table1567891112[[#This Row],[Total_Cost_MUSD]]*1000000*Table1567891112[[#This Row],[prob50-failure_rating3]]/50</f>
        <v>114.92353329677486</v>
      </c>
      <c r="JA20" s="1">
        <f>Table1567891112[[#This Row],[Total_Cost_MUSD]]*1000000*Table1567891112[[#This Row],[prob50-failure_rating4]]/50</f>
        <v>41.790375744281775</v>
      </c>
      <c r="JB20" s="1">
        <f>Table1567891112[[#This Row],[Total_Cost_MUSD]]*1000000*Table1567891112[[#This Row],[prob50-failure_rating5]]/50</f>
        <v>7.3133157552493095</v>
      </c>
      <c r="JC20" s="1">
        <f>Table1567891112[[#This Row],[Total_Cost_MUSD]]*1000000*Table1567891112[[#This Row],[prob50-failure_rating6]]/50</f>
        <v>1.8805669084926797</v>
      </c>
      <c r="JD20" s="1">
        <f>Table1567891112[[#This Row],[Total_Cost_MUSD]]*1000000*Table1567891112[[#This Row],[prob50-failure_rating7]]/50</f>
        <v>1.8805669084926797</v>
      </c>
      <c r="JE20" s="1">
        <f>Table1567891112[[#This Row],[Total_Cost_MUSD]]*1000000*Table1567891112[[#This Row],[prob50-failure_rating8]]/50</f>
        <v>4.1790375744281773E-2</v>
      </c>
      <c r="JF20" s="1">
        <f>Table1567891112[[#This Row],[Total_Cost_MUSD]]*1000000*Table1567891112[[#This Row],[prob50-failure_rating9]]/50</f>
        <v>2.6118984840176104E-2</v>
      </c>
      <c r="JG20" s="1">
        <f>Table1567891112[[#This Row],[Total_Cost_MUSD]]*1000000*Table1567891112[[#This Row],[prob10-failure_rating1]]/10</f>
        <v>31342.78180821133</v>
      </c>
      <c r="JH20" s="1">
        <f>Table1567891112[[#This Row],[Total_Cost_MUSD]]*1000000*Table1567891112[[#This Row],[prob10-failure_rating2]]/10</f>
        <v>1567.1390904105663</v>
      </c>
      <c r="JI20" s="1">
        <f>Table1567891112[[#This Row],[Total_Cost_MUSD]]*1000000*Table1567891112[[#This Row],[prob10-failure_rating3]]/10</f>
        <v>344.7705998903246</v>
      </c>
      <c r="JJ20" s="1">
        <f>Table1567891112[[#This Row],[Total_Cost_MUSD]]*1000000*Table1567891112[[#This Row],[prob10-failure_rating4]]/10</f>
        <v>125.37112723284531</v>
      </c>
      <c r="JK20" s="1">
        <f>Table1567891112[[#This Row],[Total_Cost_MUSD]]*1000000*Table1567891112[[#This Row],[prob10-failure_rating5]]/10</f>
        <v>21.939947265747925</v>
      </c>
      <c r="JL20" s="1">
        <f>Table1567891112[[#This Row],[Total_Cost_MUSD]]*1000000*Table1567891112[[#This Row],[prob10-failure_rating6]]/10</f>
        <v>5.6417007254780396</v>
      </c>
      <c r="JM20" s="1">
        <f>Table1567891112[[#This Row],[Total_Cost_MUSD]]*1000000*Table1567891112[[#This Row],[prob10-failure_rating7]]/10</f>
        <v>5.6417007254780396</v>
      </c>
      <c r="JN20" s="1">
        <f>Table1567891112[[#This Row],[Total_Cost_MUSD]]*1000000*Table1567891112[[#This Row],[prob10-failure_rating8]]/10</f>
        <v>0.12537112723284533</v>
      </c>
      <c r="JO20" s="1">
        <f>Table1567891112[[#This Row],[Total_Cost_MUSD]]*1000000*Table1567891112[[#This Row],[prob10-failure_rating9]]/10</f>
        <v>7.8356954520528307E-2</v>
      </c>
      <c r="JP20" s="1">
        <f>Table1567891112[[#This Row],[FailureCost_Rating1]]</f>
        <v>2794.7313778988437</v>
      </c>
      <c r="JQ20" s="1">
        <f>Table1567891112[[#This Row],[FailureCost_Rating2]]</f>
        <v>2794.7313778988437</v>
      </c>
      <c r="JR20" s="1">
        <f>(Table1567891112[[#This Row],[failurecost500_rating2]]+Table1567891112[[#This Row],[failurecost100_rating2]]+Table1567891112[[#This Row],[failurecost50_rating2]]+Table1567891112[[#This Row],[failurecost10_rating2]])</f>
        <v>2794.7313778988437</v>
      </c>
      <c r="JS20" s="1">
        <f>(Table1567891112[[#This Row],[failurecost500_rating3]]+Table1567891112[[#This Row],[failurecost100_rating3]]+Table1567891112[[#This Row],[failurecost50_rating3]]+Table1567891112[[#This Row],[failurecost10_rating3]])</f>
        <v>614.8409031377455</v>
      </c>
      <c r="JT20" s="1">
        <f>(Table1567891112[[#This Row],[failurecost500_rating4]]+Table1567891112[[#This Row],[failurecost100_rating4]]+Table1567891112[[#This Row],[failurecost50_rating4]]+Table1567891112[[#This Row],[failurecost10_rating4]])</f>
        <v>223.57851023190747</v>
      </c>
      <c r="JU20" s="1">
        <f>(Table1567891112[[#This Row],[failurecost500_rating5]]+Table1567891112[[#This Row],[failurecost100_rating5]]+Table1567891112[[#This Row],[failurecost50_rating5]]+Table1567891112[[#This Row],[failurecost10_rating5]])</f>
        <v>39.126239290583804</v>
      </c>
      <c r="JV20" s="1">
        <f>(Table1567891112[[#This Row],[failurecost500_rating6]]+Table1567891112[[#This Row],[failurecost100_rating6]]+Table1567891112[[#This Row],[failurecost50_rating6]]+Table1567891112[[#This Row],[failurecost10_rating6]])</f>
        <v>10.061032960435838</v>
      </c>
      <c r="JW20" s="1">
        <f>(Table1567891112[[#This Row],[failurecost500_rating7]]+Table1567891112[[#This Row],[failurecost100_rating7]]+Table1567891112[[#This Row],[failurecost50_rating7]]+Table1567891112[[#This Row],[failurecost10_rating7]])</f>
        <v>10.061032960435838</v>
      </c>
      <c r="JX20" s="1">
        <f>(Table1567891112[[#This Row],[failurecost500_rating8]]+Table1567891112[[#This Row],[failurecost100_rating8]]+Table1567891112[[#This Row],[failurecost50_rating8]]+Table1567891112[[#This Row],[failurecost10_rating8]])</f>
        <v>0.22357851023190747</v>
      </c>
      <c r="JY20" s="1">
        <f>(Table1567891112[[#This Row],[failurecost500_rating9]]+Table1567891112[[#This Row],[failurecost100_rating9]]+Table1567891112[[#This Row],[failurecost50_rating9]]+Table1567891112[[#This Row],[failurecost10_rating9]])</f>
        <v>0.13973656889494215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9555-9476-42F0-9EF0-217D7E41A0DB}">
  <dimension ref="A1:JY20"/>
  <sheetViews>
    <sheetView zoomScaleNormal="100" workbookViewId="0">
      <selection activeCell="GF15" sqref="GF15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Table156789111213[[#This Row],[Depth10_Soil_vol]]*(9.353+9.027)+(Table156789111213[[#This Row],[Depth10_Soil_vol]]/2.5)*20*1.053+(PI()*Table156789111213[[#This Row],[Depth10_Scour]])*Table156789111213[[#This Row],[DECK_WIDTH_MT_052]]*1.062</f>
        <v>11998.897701083155</v>
      </c>
      <c r="AR2" s="1">
        <f>Table156789111213[[#This Row],[Depth50_Soil_vol]]*(9.353+9.027)+(Table156789111213[[#This Row],[Depth50_Soil_vol]]/2.5)*20*1.053+(PI()*Table156789111213[[#This Row],[Depth50_Scour]])*Table156789111213[[#This Row],[DECK_WIDTH_MT_052]]*1.062</f>
        <v>12798.983727608316</v>
      </c>
      <c r="AS2" s="1">
        <f>Table156789111213[[#This Row],[Depth100_Soil_vol]]*(9.353+9.027)+(Table156789111213[[#This Row],[Depth100_Soil_vol]]/2.5)*20*1.053+(PI()*Table156789111213[[#This Row],[Depth100_Scour]])*Table156789111213[[#This Row],[DECK_WIDTH_MT_052]]*1.062</f>
        <v>13156.203147223239</v>
      </c>
      <c r="AT2" s="1">
        <f>Table156789111213[[#This Row],[Depth500_Soil_vol]]*(9.353+9.027)+(Table156789111213[[#This Row],[Depth500_Soil_vol]]/2.5)*20*1.053+(PI()*Table156789111213[[#This Row],[Depth500_Scour]])*Table156789111213[[#This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0.39600000000000002</v>
      </c>
      <c r="GF2" s="1">
        <v>27.2457239651599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24218.421302364353</v>
      </c>
      <c r="GM2" s="1">
        <f>Sheet4!R32*$GF2*1000000</f>
        <v>13622.861982579951</v>
      </c>
      <c r="GN2" s="1">
        <f>Sheet4!S32*$GF2*1000000</f>
        <v>8718.6316688511688</v>
      </c>
      <c r="GO2" s="1">
        <f>Sheet4!T32*$GF2*1000000</f>
        <v>6054.6053255910883</v>
      </c>
      <c r="GP2" s="1">
        <f>Sheet4!U32*$GF2*1000000</f>
        <v>4448.2814636995754</v>
      </c>
      <c r="GQ2" s="1">
        <f>Sheet4!V32*$GF2*1000000</f>
        <v>3405.7154956449876</v>
      </c>
      <c r="GR2" s="1">
        <f>Sheet4!W32*$GF2*1000000</f>
        <v>2690.9357002627062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0.01</v>
      </c>
      <c r="HF2" s="1">
        <v>1.25E-3</v>
      </c>
      <c r="HG2" s="1">
        <v>2.7500000000000002E-4</v>
      </c>
      <c r="HH2" s="1">
        <v>1E-4</v>
      </c>
      <c r="HI2" s="1">
        <v>1.7499999999999998E-5</v>
      </c>
      <c r="HJ2" s="1">
        <v>4.5000000000000001E-6</v>
      </c>
      <c r="HK2" s="1">
        <v>4.5000000000000001E-6</v>
      </c>
      <c r="HL2" s="1">
        <v>9.9999999999999995E-8</v>
      </c>
      <c r="HM2" s="1">
        <v>6.2499999999999997E-8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Table156789111213[[#This Row],[Total_Cost_MUSD]]*1000000*Table156789111213[[#This Row],[prob500-failure_rating1]]/500</f>
        <v>544.91447930319805</v>
      </c>
      <c r="IG2" s="1">
        <f>Table156789111213[[#This Row],[Total_Cost_MUSD]]*1000000*Table156789111213[[#This Row],[prob500-failure_rating2]]/500</f>
        <v>272.45723965159902</v>
      </c>
      <c r="IH2" s="1">
        <f>Table156789111213[[#This Row],[Total_Cost_MUSD]]*1000000*Table156789111213[[#This Row],[prob500-failure_rating3]]/500</f>
        <v>59.940592723351784</v>
      </c>
      <c r="II2" s="1">
        <f>Table156789111213[[#This Row],[Total_Cost_MUSD]]*1000000*Table156789111213[[#This Row],[prob500-failure_rating4]]/500</f>
        <v>21.79657917212792</v>
      </c>
      <c r="IJ2" s="1">
        <f>Table156789111213[[#This Row],[Total_Cost_MUSD]]*1000000*Table156789111213[[#This Row],[prob500-failure_rating5]]/500</f>
        <v>3.8144013551223859</v>
      </c>
      <c r="IK2" s="1">
        <f>Table156789111213[[#This Row],[Total_Cost_MUSD]]*1000000*Table156789111213[[#This Row],[prob500-failure_rating6]]/500</f>
        <v>0.98084606274575636</v>
      </c>
      <c r="IL2" s="1">
        <f>Table156789111213[[#This Row],[Total_Cost_MUSD]]*1000000*Table156789111213[[#This Row],[prob500-failure_rating7]]/500</f>
        <v>0.98084606274575636</v>
      </c>
      <c r="IM2" s="1">
        <f>Table156789111213[[#This Row],[Total_Cost_MUSD]]*1000000*Table156789111213[[#This Row],[prob500-failure_rating8]]/500</f>
        <v>2.179657917212792E-2</v>
      </c>
      <c r="IN2" s="1">
        <f>Table156789111213[[#This Row],[Total_Cost_MUSD]]*1000000*Table156789111213[[#This Row],[prob500-failure_rating9]]/500</f>
        <v>1.362286198257995E-2</v>
      </c>
      <c r="IO2" s="1">
        <f>Table156789111213[[#This Row],[Total_Cost_MUSD]]*1000000*Table156789111213[[#This Row],[prob100-failure_rating1]]/100</f>
        <v>2724.5723965159905</v>
      </c>
      <c r="IP2" s="1">
        <f>Table156789111213[[#This Row],[Total_Cost_MUSD]]*1000000*Table156789111213[[#This Row],[prob100-failure_rating2]]/100</f>
        <v>340.57154956449881</v>
      </c>
      <c r="IQ2" s="1">
        <f>Table156789111213[[#This Row],[Total_Cost_MUSD]]*1000000*Table156789111213[[#This Row],[prob100-failure_rating3]]/100</f>
        <v>74.925740904189738</v>
      </c>
      <c r="IR2" s="1">
        <f>Table156789111213[[#This Row],[Total_Cost_MUSD]]*1000000*Table156789111213[[#This Row],[prob100-failure_rating4]]/100</f>
        <v>27.2457239651599</v>
      </c>
      <c r="IS2" s="1">
        <f>Table156789111213[[#This Row],[Total_Cost_MUSD]]*1000000*Table156789111213[[#This Row],[prob100-failure_rating5]]/100</f>
        <v>4.7680016939029821</v>
      </c>
      <c r="IT2" s="1">
        <f>Table156789111213[[#This Row],[Total_Cost_MUSD]]*1000000*Table156789111213[[#This Row],[prob100-failure_rating6]]/100</f>
        <v>1.2260575784321954</v>
      </c>
      <c r="IU2" s="1">
        <f>Table156789111213[[#This Row],[Total_Cost_MUSD]]*1000000*Table156789111213[[#This Row],[prob100-failure_rating7]]/100</f>
        <v>1.2260575784321954</v>
      </c>
      <c r="IV2" s="1">
        <f>Table156789111213[[#This Row],[Total_Cost_MUSD]]*1000000*Table156789111213[[#This Row],[prob100-failure_rating8]]/100</f>
        <v>2.7245723965159899E-2</v>
      </c>
      <c r="IW2" s="1">
        <f>Table156789111213[[#This Row],[Total_Cost_MUSD]]*1000000*Table156789111213[[#This Row],[prob100-failure_rating9]]/100</f>
        <v>1.7028577478224938E-2</v>
      </c>
      <c r="IX2" s="1">
        <f>Table156789111213[[#This Row],[Total_Cost_MUSD]]*1000000*Table156789111213[[#This Row],[prob50-failure_rating1]]/50</f>
        <v>5449.144793031981</v>
      </c>
      <c r="IY2" s="1">
        <f>Table156789111213[[#This Row],[Total_Cost_MUSD]]*1000000*Table156789111213[[#This Row],[prob50-failure_rating2]]/50</f>
        <v>454.09539941933173</v>
      </c>
      <c r="IZ2" s="1">
        <f>Table156789111213[[#This Row],[Total_Cost_MUSD]]*1000000*Table156789111213[[#This Row],[prob50-failure_rating3]]/50</f>
        <v>99.900987872252969</v>
      </c>
      <c r="JA2" s="1">
        <f>Table156789111213[[#This Row],[Total_Cost_MUSD]]*1000000*Table156789111213[[#This Row],[prob50-failure_rating4]]/50</f>
        <v>36.327631953546536</v>
      </c>
      <c r="JB2" s="1">
        <f>Table156789111213[[#This Row],[Total_Cost_MUSD]]*1000000*Table156789111213[[#This Row],[prob50-failure_rating5]]/50</f>
        <v>6.3573355918706431</v>
      </c>
      <c r="JC2" s="1">
        <f>Table156789111213[[#This Row],[Total_Cost_MUSD]]*1000000*Table156789111213[[#This Row],[prob50-failure_rating6]]/50</f>
        <v>1.6347434379095942</v>
      </c>
      <c r="JD2" s="1">
        <f>Table156789111213[[#This Row],[Total_Cost_MUSD]]*1000000*Table156789111213[[#This Row],[prob50-failure_rating7]]/50</f>
        <v>1.6347434379095942</v>
      </c>
      <c r="JE2" s="1">
        <f>Table156789111213[[#This Row],[Total_Cost_MUSD]]*1000000*Table156789111213[[#This Row],[prob50-failure_rating8]]/50</f>
        <v>3.6327631953546533E-2</v>
      </c>
      <c r="JF2" s="1">
        <f>Table156789111213[[#This Row],[Total_Cost_MUSD]]*1000000*Table156789111213[[#This Row],[prob50-failure_rating9]]/50</f>
        <v>2.2704769970966581E-2</v>
      </c>
      <c r="JG2" s="1">
        <f>Table156789111213[[#This Row],[Total_Cost_MUSD]]*1000000*Table156789111213[[#This Row],[prob10-failure_rating1]]/10</f>
        <v>27245.723965159901</v>
      </c>
      <c r="JH2" s="1">
        <f>Table156789111213[[#This Row],[Total_Cost_MUSD]]*1000000*Table156789111213[[#This Row],[prob10-failure_rating2]]/10</f>
        <v>1362.286198257995</v>
      </c>
      <c r="JI2" s="1">
        <f>Table156789111213[[#This Row],[Total_Cost_MUSD]]*1000000*Table156789111213[[#This Row],[prob10-failure_rating3]]/10</f>
        <v>299.70296361675889</v>
      </c>
      <c r="JJ2" s="1">
        <f>Table156789111213[[#This Row],[Total_Cost_MUSD]]*1000000*Table156789111213[[#This Row],[prob10-failure_rating4]]/10</f>
        <v>108.98289586063962</v>
      </c>
      <c r="JK2" s="1">
        <f>Table156789111213[[#This Row],[Total_Cost_MUSD]]*1000000*Table156789111213[[#This Row],[prob10-failure_rating5]]/10</f>
        <v>19.072006775611928</v>
      </c>
      <c r="JL2" s="1">
        <f>Table156789111213[[#This Row],[Total_Cost_MUSD]]*1000000*Table156789111213[[#This Row],[prob10-failure_rating6]]/10</f>
        <v>4.9042303137287826</v>
      </c>
      <c r="JM2" s="1">
        <f>Table156789111213[[#This Row],[Total_Cost_MUSD]]*1000000*Table156789111213[[#This Row],[prob10-failure_rating7]]/10</f>
        <v>4.9042303137287826</v>
      </c>
      <c r="JN2" s="1">
        <f>Table156789111213[[#This Row],[Total_Cost_MUSD]]*1000000*Table156789111213[[#This Row],[prob10-failure_rating8]]/10</f>
        <v>0.10898289586063961</v>
      </c>
      <c r="JO2" s="1">
        <f>Table156789111213[[#This Row],[Total_Cost_MUSD]]*1000000*Table156789111213[[#This Row],[prob10-failure_rating9]]/10</f>
        <v>6.8114309912899754E-2</v>
      </c>
      <c r="JP2" s="1">
        <f>Table156789111213[[#This Row],[FailureCost_Rating1]]</f>
        <v>2429.4103868934244</v>
      </c>
      <c r="JQ2" s="1">
        <f>Table156789111213[[#This Row],[FailureCost_Rating2]]</f>
        <v>2429.4103868934244</v>
      </c>
      <c r="JR2" s="1">
        <f>(Table156789111213[[#This Row],[failurecost500_rating2]]+Table156789111213[[#This Row],[failurecost100_rating2]]+Table156789111213[[#This Row],[failurecost50_rating2]]+Table156789111213[[#This Row],[failurecost10_rating2]])</f>
        <v>2429.4103868934244</v>
      </c>
      <c r="JS2" s="1">
        <f>(Table156789111213[[#This Row],[failurecost500_rating3]]+Table156789111213[[#This Row],[failurecost100_rating3]]+Table156789111213[[#This Row],[failurecost50_rating3]]+Table156789111213[[#This Row],[failurecost10_rating3]])</f>
        <v>534.47028511655344</v>
      </c>
      <c r="JT2" s="1">
        <f>(Table156789111213[[#This Row],[failurecost500_rating4]]+Table156789111213[[#This Row],[failurecost100_rating4]]+Table156789111213[[#This Row],[failurecost50_rating4]]+Table156789111213[[#This Row],[failurecost10_rating4]])</f>
        <v>194.35283095147398</v>
      </c>
      <c r="JU2" s="1">
        <f>(Table156789111213[[#This Row],[failurecost500_rating5]]+Table156789111213[[#This Row],[failurecost100_rating5]]+Table156789111213[[#This Row],[failurecost50_rating5]]+Table156789111213[[#This Row],[failurecost10_rating5]])</f>
        <v>34.011745416507935</v>
      </c>
      <c r="JV2" s="1">
        <f>(Table156789111213[[#This Row],[failurecost500_rating6]]+Table156789111213[[#This Row],[failurecost100_rating6]]+Table156789111213[[#This Row],[failurecost50_rating6]]+Table156789111213[[#This Row],[failurecost10_rating6]])</f>
        <v>8.7458773928163289</v>
      </c>
      <c r="JW2" s="1">
        <f>(Table156789111213[[#This Row],[failurecost500_rating7]]+Table156789111213[[#This Row],[failurecost100_rating7]]+Table156789111213[[#This Row],[failurecost50_rating7]]+Table156789111213[[#This Row],[failurecost10_rating7]])</f>
        <v>8.7458773928163289</v>
      </c>
      <c r="JX2" s="1">
        <f>(Table156789111213[[#This Row],[failurecost500_rating8]]+Table156789111213[[#This Row],[failurecost100_rating8]]+Table156789111213[[#This Row],[failurecost50_rating8]]+Table156789111213[[#This Row],[failurecost10_rating8]])</f>
        <v>0.19435283095147396</v>
      </c>
      <c r="JY2" s="1">
        <f>(Table156789111213[[#This Row],[failurecost500_rating9]]+Table156789111213[[#This Row],[failurecost100_rating9]]+Table156789111213[[#This Row],[failurecost50_rating9]]+Table156789111213[[#This Row],[failurecost10_rating9]])</f>
        <v>0.12147051934467122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Table156789111213[[#This Row],[Depth10_Soil_vol]]*(9.353+9.027)+(Table156789111213[[#This Row],[Depth10_Soil_vol]]/2.5)*20*1.053+(PI()*Table156789111213[[#This Row],[Depth10_Scour]])*Table156789111213[[#This Row],[DECK_WIDTH_MT_052]]*1.062</f>
        <v>0</v>
      </c>
      <c r="AR3" s="1">
        <f>Table156789111213[[#This Row],[Depth50_Soil_vol]]*(9.353+9.027)+(Table156789111213[[#This Row],[Depth50_Soil_vol]]/2.5)*20*1.053+(PI()*Table156789111213[[#This Row],[Depth50_Scour]])*Table156789111213[[#This Row],[DECK_WIDTH_MT_052]]*1.062</f>
        <v>9520.728233804819</v>
      </c>
      <c r="AS3" s="1">
        <f>Table156789111213[[#This Row],[Depth100_Soil_vol]]*(9.353+9.027)+(Table156789111213[[#This Row],[Depth100_Soil_vol]]/2.5)*20*1.053+(PI()*Table156789111213[[#This Row],[Depth100_Scour]])*Table156789111213[[#This Row],[DECK_WIDTH_MT_052]]*1.062</f>
        <v>9985.7559384332872</v>
      </c>
      <c r="AT3" s="1">
        <f>Table156789111213[[#This Row],[Depth500_Soil_vol]]*(9.353+9.027)+(Table156789111213[[#This Row],[Depth500_Soil_vol]]/2.5)*20*1.053+(PI()*Table156789111213[[#This Row],[Depth500_Scour]])*Table156789111213[[#This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3" s="1">
        <v>27.46282975665795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24411.404228140396</v>
      </c>
      <c r="GM3" s="1">
        <f>Sheet4!R33*$GF3*1000000</f>
        <v>13731.414878328975</v>
      </c>
      <c r="GN3" s="1">
        <f>Sheet4!S33*$GF3*1000000</f>
        <v>8788.1055221305451</v>
      </c>
      <c r="GO3" s="1">
        <f>Sheet4!T33*$GF3*1000000</f>
        <v>6102.8510570350991</v>
      </c>
      <c r="GP3" s="1">
        <f>Sheet4!U33*$GF3*1000000</f>
        <v>4483.7273072094613</v>
      </c>
      <c r="GQ3" s="1">
        <f>Sheet4!V33*$GF3*1000000</f>
        <v>3432.8537195822437</v>
      </c>
      <c r="GR3" s="1">
        <f>Sheet4!W33*$GF3*1000000</f>
        <v>2712.3782475711555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0.01</v>
      </c>
      <c r="HF3" s="1">
        <v>1.25E-3</v>
      </c>
      <c r="HG3" s="1">
        <v>2.7500000000000002E-4</v>
      </c>
      <c r="HH3" s="1">
        <v>1E-4</v>
      </c>
      <c r="HI3" s="1">
        <v>1.7499999999999998E-5</v>
      </c>
      <c r="HJ3" s="1">
        <v>4.5000000000000001E-6</v>
      </c>
      <c r="HK3" s="1">
        <v>4.5000000000000001E-6</v>
      </c>
      <c r="HL3" s="1">
        <v>9.9999999999999995E-8</v>
      </c>
      <c r="HM3" s="1">
        <v>6.2499999999999997E-8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Table156789111213[[#This Row],[Total_Cost_MUSD]]*1000000*Table156789111213[[#This Row],[prob500-failure_rating1]]/500</f>
        <v>549.25659513315907</v>
      </c>
      <c r="IG3" s="1">
        <f>Table156789111213[[#This Row],[Total_Cost_MUSD]]*1000000*Table156789111213[[#This Row],[prob500-failure_rating2]]/500</f>
        <v>274.62829756657953</v>
      </c>
      <c r="IH3" s="1">
        <f>Table156789111213[[#This Row],[Total_Cost_MUSD]]*1000000*Table156789111213[[#This Row],[prob500-failure_rating3]]/500</f>
        <v>60.418225464647499</v>
      </c>
      <c r="II3" s="1">
        <f>Table156789111213[[#This Row],[Total_Cost_MUSD]]*1000000*Table156789111213[[#This Row],[prob500-failure_rating4]]/500</f>
        <v>21.970263805326361</v>
      </c>
      <c r="IJ3" s="1">
        <f>Table156789111213[[#This Row],[Total_Cost_MUSD]]*1000000*Table156789111213[[#This Row],[prob500-failure_rating5]]/500</f>
        <v>3.8447961659321126</v>
      </c>
      <c r="IK3" s="1">
        <f>Table156789111213[[#This Row],[Total_Cost_MUSD]]*1000000*Table156789111213[[#This Row],[prob500-failure_rating6]]/500</f>
        <v>0.98866187123968619</v>
      </c>
      <c r="IL3" s="1">
        <f>Table156789111213[[#This Row],[Total_Cost_MUSD]]*1000000*Table156789111213[[#This Row],[prob500-failure_rating7]]/500</f>
        <v>0.98866187123968619</v>
      </c>
      <c r="IM3" s="1">
        <f>Table156789111213[[#This Row],[Total_Cost_MUSD]]*1000000*Table156789111213[[#This Row],[prob500-failure_rating8]]/500</f>
        <v>2.1970263805326358E-2</v>
      </c>
      <c r="IN3" s="1">
        <f>Table156789111213[[#This Row],[Total_Cost_MUSD]]*1000000*Table156789111213[[#This Row],[prob500-failure_rating9]]/500</f>
        <v>1.3731414878328975E-2</v>
      </c>
      <c r="IO3" s="1">
        <f>Table156789111213[[#This Row],[Total_Cost_MUSD]]*1000000*Table156789111213[[#This Row],[prob100-failure_rating1]]/100</f>
        <v>2746.2829756657952</v>
      </c>
      <c r="IP3" s="1">
        <f>Table156789111213[[#This Row],[Total_Cost_MUSD]]*1000000*Table156789111213[[#This Row],[prob100-failure_rating2]]/100</f>
        <v>343.2853719582244</v>
      </c>
      <c r="IQ3" s="1">
        <f>Table156789111213[[#This Row],[Total_Cost_MUSD]]*1000000*Table156789111213[[#This Row],[prob100-failure_rating3]]/100</f>
        <v>75.522781830809379</v>
      </c>
      <c r="IR3" s="1">
        <f>Table156789111213[[#This Row],[Total_Cost_MUSD]]*1000000*Table156789111213[[#This Row],[prob100-failure_rating4]]/100</f>
        <v>27.462829756657953</v>
      </c>
      <c r="IS3" s="1">
        <f>Table156789111213[[#This Row],[Total_Cost_MUSD]]*1000000*Table156789111213[[#This Row],[prob100-failure_rating5]]/100</f>
        <v>4.8059952074151404</v>
      </c>
      <c r="IT3" s="1">
        <f>Table156789111213[[#This Row],[Total_Cost_MUSD]]*1000000*Table156789111213[[#This Row],[prob100-failure_rating6]]/100</f>
        <v>1.2358273390496077</v>
      </c>
      <c r="IU3" s="1">
        <f>Table156789111213[[#This Row],[Total_Cost_MUSD]]*1000000*Table156789111213[[#This Row],[prob100-failure_rating7]]/100</f>
        <v>1.2358273390496077</v>
      </c>
      <c r="IV3" s="1">
        <f>Table156789111213[[#This Row],[Total_Cost_MUSD]]*1000000*Table156789111213[[#This Row],[prob100-failure_rating8]]/100</f>
        <v>2.7462829756657946E-2</v>
      </c>
      <c r="IW3" s="1">
        <f>Table156789111213[[#This Row],[Total_Cost_MUSD]]*1000000*Table156789111213[[#This Row],[prob100-failure_rating9]]/100</f>
        <v>1.7164268597911217E-2</v>
      </c>
      <c r="IX3" s="1">
        <f>Table156789111213[[#This Row],[Total_Cost_MUSD]]*1000000*Table156789111213[[#This Row],[prob50-failure_rating1]]/50</f>
        <v>5492.5659513315904</v>
      </c>
      <c r="IY3" s="1">
        <f>Table156789111213[[#This Row],[Total_Cost_MUSD]]*1000000*Table156789111213[[#This Row],[prob50-failure_rating2]]/50</f>
        <v>457.71382927763256</v>
      </c>
      <c r="IZ3" s="1">
        <f>Table156789111213[[#This Row],[Total_Cost_MUSD]]*1000000*Table156789111213[[#This Row],[prob50-failure_rating3]]/50</f>
        <v>100.69704244107916</v>
      </c>
      <c r="JA3" s="1">
        <f>Table156789111213[[#This Row],[Total_Cost_MUSD]]*1000000*Table156789111213[[#This Row],[prob50-failure_rating4]]/50</f>
        <v>36.617106342210604</v>
      </c>
      <c r="JB3" s="1">
        <f>Table156789111213[[#This Row],[Total_Cost_MUSD]]*1000000*Table156789111213[[#This Row],[prob50-failure_rating5]]/50</f>
        <v>6.4079936098868551</v>
      </c>
      <c r="JC3" s="1">
        <f>Table156789111213[[#This Row],[Total_Cost_MUSD]]*1000000*Table156789111213[[#This Row],[prob50-failure_rating6]]/50</f>
        <v>1.6477697853994773</v>
      </c>
      <c r="JD3" s="1">
        <f>Table156789111213[[#This Row],[Total_Cost_MUSD]]*1000000*Table156789111213[[#This Row],[prob50-failure_rating7]]/50</f>
        <v>1.6477697853994773</v>
      </c>
      <c r="JE3" s="1">
        <f>Table156789111213[[#This Row],[Total_Cost_MUSD]]*1000000*Table156789111213[[#This Row],[prob50-failure_rating8]]/50</f>
        <v>3.6617106342210604E-2</v>
      </c>
      <c r="JF3" s="1">
        <f>Table156789111213[[#This Row],[Total_Cost_MUSD]]*1000000*Table156789111213[[#This Row],[prob50-failure_rating9]]/50</f>
        <v>2.2885691463881624E-2</v>
      </c>
      <c r="JG3" s="1">
        <f>Table156789111213[[#This Row],[Total_Cost_MUSD]]*1000000*Table156789111213[[#This Row],[prob10-failure_rating1]]/10</f>
        <v>27462.829756657953</v>
      </c>
      <c r="JH3" s="1">
        <f>Table156789111213[[#This Row],[Total_Cost_MUSD]]*1000000*Table156789111213[[#This Row],[prob10-failure_rating2]]/10</f>
        <v>1373.1414878328974</v>
      </c>
      <c r="JI3" s="1">
        <f>Table156789111213[[#This Row],[Total_Cost_MUSD]]*1000000*Table156789111213[[#This Row],[prob10-failure_rating3]]/10</f>
        <v>302.09112732323746</v>
      </c>
      <c r="JJ3" s="1">
        <f>Table156789111213[[#This Row],[Total_Cost_MUSD]]*1000000*Table156789111213[[#This Row],[prob10-failure_rating4]]/10</f>
        <v>109.85131902663181</v>
      </c>
      <c r="JK3" s="1">
        <f>Table156789111213[[#This Row],[Total_Cost_MUSD]]*1000000*Table156789111213[[#This Row],[prob10-failure_rating5]]/10</f>
        <v>19.223980829660562</v>
      </c>
      <c r="JL3" s="1">
        <f>Table156789111213[[#This Row],[Total_Cost_MUSD]]*1000000*Table156789111213[[#This Row],[prob10-failure_rating6]]/10</f>
        <v>4.9433093561984318</v>
      </c>
      <c r="JM3" s="1">
        <f>Table156789111213[[#This Row],[Total_Cost_MUSD]]*1000000*Table156789111213[[#This Row],[prob10-failure_rating7]]/10</f>
        <v>4.9433093561984318</v>
      </c>
      <c r="JN3" s="1">
        <f>Table156789111213[[#This Row],[Total_Cost_MUSD]]*1000000*Table156789111213[[#This Row],[prob10-failure_rating8]]/10</f>
        <v>0.10985131902663181</v>
      </c>
      <c r="JO3" s="1">
        <f>Table156789111213[[#This Row],[Total_Cost_MUSD]]*1000000*Table156789111213[[#This Row],[prob10-failure_rating9]]/10</f>
        <v>6.8657074391644868E-2</v>
      </c>
      <c r="JP3" s="1">
        <f>Table156789111213[[#This Row],[FailureCost_Rating1]]</f>
        <v>2448.7689866353339</v>
      </c>
      <c r="JQ3" s="1">
        <f>Table156789111213[[#This Row],[FailureCost_Rating2]]</f>
        <v>2448.7689866353339</v>
      </c>
      <c r="JR3" s="1">
        <f>(Table156789111213[[#This Row],[failurecost500_rating2]]+Table156789111213[[#This Row],[failurecost100_rating2]]+Table156789111213[[#This Row],[failurecost50_rating2]]+Table156789111213[[#This Row],[failurecost10_rating2]])</f>
        <v>2448.7689866353339</v>
      </c>
      <c r="JS3" s="1">
        <f>(Table156789111213[[#This Row],[failurecost500_rating3]]+Table156789111213[[#This Row],[failurecost100_rating3]]+Table156789111213[[#This Row],[failurecost50_rating3]]+Table156789111213[[#This Row],[failurecost10_rating3]])</f>
        <v>538.72917705977352</v>
      </c>
      <c r="JT3" s="1">
        <f>(Table156789111213[[#This Row],[failurecost500_rating4]]+Table156789111213[[#This Row],[failurecost100_rating4]]+Table156789111213[[#This Row],[failurecost50_rating4]]+Table156789111213[[#This Row],[failurecost10_rating4]])</f>
        <v>195.90151893082674</v>
      </c>
      <c r="JU3" s="1">
        <f>(Table156789111213[[#This Row],[failurecost500_rating5]]+Table156789111213[[#This Row],[failurecost100_rating5]]+Table156789111213[[#This Row],[failurecost50_rating5]]+Table156789111213[[#This Row],[failurecost10_rating5]])</f>
        <v>34.282765812894667</v>
      </c>
      <c r="JV3" s="1">
        <f>(Table156789111213[[#This Row],[failurecost500_rating6]]+Table156789111213[[#This Row],[failurecost100_rating6]]+Table156789111213[[#This Row],[failurecost50_rating6]]+Table156789111213[[#This Row],[failurecost10_rating6]])</f>
        <v>8.8155683518872028</v>
      </c>
      <c r="JW3" s="1">
        <f>(Table156789111213[[#This Row],[failurecost500_rating7]]+Table156789111213[[#This Row],[failurecost100_rating7]]+Table156789111213[[#This Row],[failurecost50_rating7]]+Table156789111213[[#This Row],[failurecost10_rating7]])</f>
        <v>8.8155683518872028</v>
      </c>
      <c r="JX3" s="1">
        <f>(Table156789111213[[#This Row],[failurecost500_rating8]]+Table156789111213[[#This Row],[failurecost100_rating8]]+Table156789111213[[#This Row],[failurecost50_rating8]]+Table156789111213[[#This Row],[failurecost10_rating8]])</f>
        <v>0.19590151893082672</v>
      </c>
      <c r="JY3" s="1">
        <f>(Table156789111213[[#This Row],[failurecost500_rating9]]+Table156789111213[[#This Row],[failurecost100_rating9]]+Table156789111213[[#This Row],[failurecost50_rating9]]+Table156789111213[[#This Row],[failurecost10_rating9]])</f>
        <v>0.12243844933176669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Table156789111213[[#This Row],[Depth10_Soil_vol]]*(9.353+9.027)+(Table156789111213[[#This Row],[Depth10_Soil_vol]]/2.5)*20*1.053+(PI()*Table156789111213[[#This Row],[Depth10_Scour]])*Table156789111213[[#This Row],[DECK_WIDTH_MT_052]]*1.062</f>
        <v>0</v>
      </c>
      <c r="AR4" s="1">
        <f>Table156789111213[[#This Row],[Depth50_Soil_vol]]*(9.353+9.027)+(Table156789111213[[#This Row],[Depth50_Soil_vol]]/2.5)*20*1.053+(PI()*Table156789111213[[#This Row],[Depth50_Scour]])*Table156789111213[[#This Row],[DECK_WIDTH_MT_052]]*1.062</f>
        <v>5183.5345730170238</v>
      </c>
      <c r="AS4" s="1">
        <f>Table156789111213[[#This Row],[Depth100_Soil_vol]]*(9.353+9.027)+(Table156789111213[[#This Row],[Depth100_Soil_vol]]/2.5)*20*1.053+(PI()*Table156789111213[[#This Row],[Depth100_Scour]])*Table156789111213[[#This Row],[DECK_WIDTH_MT_052]]*1.062</f>
        <v>5452.2219529566692</v>
      </c>
      <c r="AT4" s="1">
        <f>Table156789111213[[#This Row],[Depth500_Soil_vol]]*(9.353+9.027)+(Table156789111213[[#This Row],[Depth500_Soil_vol]]/2.5)*20*1.053+(PI()*Table156789111213[[#This Row],[Depth500_Scour]])*Table156789111213[[#This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9.6000000000000002E-2</v>
      </c>
      <c r="GF4" s="1">
        <v>38.279316133616177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34026.058785436602</v>
      </c>
      <c r="GM4" s="1">
        <f>Sheet4!R34*$GF4*1000000</f>
        <v>19139.65806680809</v>
      </c>
      <c r="GN4" s="1">
        <f>Sheet4!S34*$GF4*1000000</f>
        <v>12249.381162757179</v>
      </c>
      <c r="GO4" s="1">
        <f>Sheet4!T34*$GF4*1000000</f>
        <v>8506.5146963591505</v>
      </c>
      <c r="GP4" s="1">
        <f>Sheet4!U34*$GF4*1000000</f>
        <v>6249.6842667128467</v>
      </c>
      <c r="GQ4" s="1">
        <f>Sheet4!V34*$GF4*1000000</f>
        <v>4784.9145167020224</v>
      </c>
      <c r="GR4" s="1">
        <f>Sheet4!W34*$GF4*1000000</f>
        <v>3780.6731983818449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0.01</v>
      </c>
      <c r="HF4" s="1">
        <v>1.25E-3</v>
      </c>
      <c r="HG4" s="1">
        <v>2.7500000000000002E-4</v>
      </c>
      <c r="HH4" s="1">
        <v>1E-4</v>
      </c>
      <c r="HI4" s="1">
        <v>1.7499999999999998E-5</v>
      </c>
      <c r="HJ4" s="1">
        <v>4.5000000000000001E-6</v>
      </c>
      <c r="HK4" s="1">
        <v>4.5000000000000001E-6</v>
      </c>
      <c r="HL4" s="1">
        <v>9.9999999999999995E-8</v>
      </c>
      <c r="HM4" s="1">
        <v>6.2499999999999997E-8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Table156789111213[[#This Row],[Total_Cost_MUSD]]*1000000*Table156789111213[[#This Row],[prob500-failure_rating1]]/500</f>
        <v>765.5863226723236</v>
      </c>
      <c r="IG4" s="1">
        <f>Table156789111213[[#This Row],[Total_Cost_MUSD]]*1000000*Table156789111213[[#This Row],[prob500-failure_rating2]]/500</f>
        <v>382.7931613361618</v>
      </c>
      <c r="IH4" s="1">
        <f>Table156789111213[[#This Row],[Total_Cost_MUSD]]*1000000*Table156789111213[[#This Row],[prob500-failure_rating3]]/500</f>
        <v>84.21449549395561</v>
      </c>
      <c r="II4" s="1">
        <f>Table156789111213[[#This Row],[Total_Cost_MUSD]]*1000000*Table156789111213[[#This Row],[prob500-failure_rating4]]/500</f>
        <v>30.623452906892943</v>
      </c>
      <c r="IJ4" s="1">
        <f>Table156789111213[[#This Row],[Total_Cost_MUSD]]*1000000*Table156789111213[[#This Row],[prob500-failure_rating5]]/500</f>
        <v>5.3591042587062647</v>
      </c>
      <c r="IK4" s="1">
        <f>Table156789111213[[#This Row],[Total_Cost_MUSD]]*1000000*Table156789111213[[#This Row],[prob500-failure_rating6]]/500</f>
        <v>1.3780553808101825</v>
      </c>
      <c r="IL4" s="1">
        <f>Table156789111213[[#This Row],[Total_Cost_MUSD]]*1000000*Table156789111213[[#This Row],[prob500-failure_rating7]]/500</f>
        <v>1.3780553808101825</v>
      </c>
      <c r="IM4" s="1">
        <f>Table156789111213[[#This Row],[Total_Cost_MUSD]]*1000000*Table156789111213[[#This Row],[prob500-failure_rating8]]/500</f>
        <v>3.0623452906892942E-2</v>
      </c>
      <c r="IN4" s="1">
        <f>Table156789111213[[#This Row],[Total_Cost_MUSD]]*1000000*Table156789111213[[#This Row],[prob500-failure_rating9]]/500</f>
        <v>1.9139658066808087E-2</v>
      </c>
      <c r="IO4" s="1">
        <f>Table156789111213[[#This Row],[Total_Cost_MUSD]]*1000000*Table156789111213[[#This Row],[prob100-failure_rating1]]/100</f>
        <v>3827.9316133616176</v>
      </c>
      <c r="IP4" s="1">
        <f>Table156789111213[[#This Row],[Total_Cost_MUSD]]*1000000*Table156789111213[[#This Row],[prob100-failure_rating2]]/100</f>
        <v>478.4914516702022</v>
      </c>
      <c r="IQ4" s="1">
        <f>Table156789111213[[#This Row],[Total_Cost_MUSD]]*1000000*Table156789111213[[#This Row],[prob100-failure_rating3]]/100</f>
        <v>105.26811936744451</v>
      </c>
      <c r="IR4" s="1">
        <f>Table156789111213[[#This Row],[Total_Cost_MUSD]]*1000000*Table156789111213[[#This Row],[prob100-failure_rating4]]/100</f>
        <v>38.279316133616177</v>
      </c>
      <c r="IS4" s="1">
        <f>Table156789111213[[#This Row],[Total_Cost_MUSD]]*1000000*Table156789111213[[#This Row],[prob100-failure_rating5]]/100</f>
        <v>6.6988803233828307</v>
      </c>
      <c r="IT4" s="1">
        <f>Table156789111213[[#This Row],[Total_Cost_MUSD]]*1000000*Table156789111213[[#This Row],[prob100-failure_rating6]]/100</f>
        <v>1.7225692260127281</v>
      </c>
      <c r="IU4" s="1">
        <f>Table156789111213[[#This Row],[Total_Cost_MUSD]]*1000000*Table156789111213[[#This Row],[prob100-failure_rating7]]/100</f>
        <v>1.7225692260127281</v>
      </c>
      <c r="IV4" s="1">
        <f>Table156789111213[[#This Row],[Total_Cost_MUSD]]*1000000*Table156789111213[[#This Row],[prob100-failure_rating8]]/100</f>
        <v>3.8279316133616181E-2</v>
      </c>
      <c r="IW4" s="1">
        <f>Table156789111213[[#This Row],[Total_Cost_MUSD]]*1000000*Table156789111213[[#This Row],[prob100-failure_rating9]]/100</f>
        <v>2.392457258351011E-2</v>
      </c>
      <c r="IX4" s="1">
        <f>Table156789111213[[#This Row],[Total_Cost_MUSD]]*1000000*Table156789111213[[#This Row],[prob50-failure_rating1]]/50</f>
        <v>7655.8632267232351</v>
      </c>
      <c r="IY4" s="1">
        <f>Table156789111213[[#This Row],[Total_Cost_MUSD]]*1000000*Table156789111213[[#This Row],[prob50-failure_rating2]]/50</f>
        <v>637.98860222693634</v>
      </c>
      <c r="IZ4" s="1">
        <f>Table156789111213[[#This Row],[Total_Cost_MUSD]]*1000000*Table156789111213[[#This Row],[prob50-failure_rating3]]/50</f>
        <v>140.35749248992599</v>
      </c>
      <c r="JA4" s="1">
        <f>Table156789111213[[#This Row],[Total_Cost_MUSD]]*1000000*Table156789111213[[#This Row],[prob50-failure_rating4]]/50</f>
        <v>51.039088178154906</v>
      </c>
      <c r="JB4" s="1">
        <f>Table156789111213[[#This Row],[Total_Cost_MUSD]]*1000000*Table156789111213[[#This Row],[prob50-failure_rating5]]/50</f>
        <v>8.9318404311771076</v>
      </c>
      <c r="JC4" s="1">
        <f>Table156789111213[[#This Row],[Total_Cost_MUSD]]*1000000*Table156789111213[[#This Row],[prob50-failure_rating6]]/50</f>
        <v>2.2967589680169711</v>
      </c>
      <c r="JD4" s="1">
        <f>Table156789111213[[#This Row],[Total_Cost_MUSD]]*1000000*Table156789111213[[#This Row],[prob50-failure_rating7]]/50</f>
        <v>2.2967589680169711</v>
      </c>
      <c r="JE4" s="1">
        <f>Table156789111213[[#This Row],[Total_Cost_MUSD]]*1000000*Table156789111213[[#This Row],[prob50-failure_rating8]]/50</f>
        <v>5.1039088178154904E-2</v>
      </c>
      <c r="JF4" s="1">
        <f>Table156789111213[[#This Row],[Total_Cost_MUSD]]*1000000*Table156789111213[[#This Row],[prob50-failure_rating9]]/50</f>
        <v>3.1899430111346813E-2</v>
      </c>
      <c r="JG4" s="1">
        <f>Table156789111213[[#This Row],[Total_Cost_MUSD]]*1000000*Table156789111213[[#This Row],[prob10-failure_rating1]]/10</f>
        <v>38279.316133616179</v>
      </c>
      <c r="JH4" s="1">
        <f>Table156789111213[[#This Row],[Total_Cost_MUSD]]*1000000*Table156789111213[[#This Row],[prob10-failure_rating2]]/10</f>
        <v>1913.965806680809</v>
      </c>
      <c r="JI4" s="1">
        <f>Table156789111213[[#This Row],[Total_Cost_MUSD]]*1000000*Table156789111213[[#This Row],[prob10-failure_rating3]]/10</f>
        <v>421.07247746977799</v>
      </c>
      <c r="JJ4" s="1">
        <f>Table156789111213[[#This Row],[Total_Cost_MUSD]]*1000000*Table156789111213[[#This Row],[prob10-failure_rating4]]/10</f>
        <v>153.11726453446471</v>
      </c>
      <c r="JK4" s="1">
        <f>Table156789111213[[#This Row],[Total_Cost_MUSD]]*1000000*Table156789111213[[#This Row],[prob10-failure_rating5]]/10</f>
        <v>26.795521293531323</v>
      </c>
      <c r="JL4" s="1">
        <f>Table156789111213[[#This Row],[Total_Cost_MUSD]]*1000000*Table156789111213[[#This Row],[prob10-failure_rating6]]/10</f>
        <v>6.8902769040509124</v>
      </c>
      <c r="JM4" s="1">
        <f>Table156789111213[[#This Row],[Total_Cost_MUSD]]*1000000*Table156789111213[[#This Row],[prob10-failure_rating7]]/10</f>
        <v>6.8902769040509124</v>
      </c>
      <c r="JN4" s="1">
        <f>Table156789111213[[#This Row],[Total_Cost_MUSD]]*1000000*Table156789111213[[#This Row],[prob10-failure_rating8]]/10</f>
        <v>0.15311726453446473</v>
      </c>
      <c r="JO4" s="1">
        <f>Table156789111213[[#This Row],[Total_Cost_MUSD]]*1000000*Table156789111213[[#This Row],[prob10-failure_rating9]]/10</f>
        <v>9.5698290334040453E-2</v>
      </c>
      <c r="JP4" s="1">
        <f>Table156789111213[[#This Row],[FailureCost_Rating1]]</f>
        <v>3413.2390219141093</v>
      </c>
      <c r="JQ4" s="1">
        <f>Table156789111213[[#This Row],[FailureCost_Rating2]]</f>
        <v>3413.2390219141093</v>
      </c>
      <c r="JR4" s="1">
        <f>(Table156789111213[[#This Row],[failurecost500_rating2]]+Table156789111213[[#This Row],[failurecost100_rating2]]+Table156789111213[[#This Row],[failurecost50_rating2]]+Table156789111213[[#This Row],[failurecost10_rating2]])</f>
        <v>3413.2390219141093</v>
      </c>
      <c r="JS4" s="1">
        <f>(Table156789111213[[#This Row],[failurecost500_rating3]]+Table156789111213[[#This Row],[failurecost100_rating3]]+Table156789111213[[#This Row],[failurecost50_rating3]]+Table156789111213[[#This Row],[failurecost10_rating3]])</f>
        <v>750.91258482110402</v>
      </c>
      <c r="JT4" s="1">
        <f>(Table156789111213[[#This Row],[failurecost500_rating4]]+Table156789111213[[#This Row],[failurecost100_rating4]]+Table156789111213[[#This Row],[failurecost50_rating4]]+Table156789111213[[#This Row],[failurecost10_rating4]])</f>
        <v>273.05912175312875</v>
      </c>
      <c r="JU4" s="1">
        <f>(Table156789111213[[#This Row],[failurecost500_rating5]]+Table156789111213[[#This Row],[failurecost100_rating5]]+Table156789111213[[#This Row],[failurecost50_rating5]]+Table156789111213[[#This Row],[failurecost10_rating5]])</f>
        <v>47.785346306797521</v>
      </c>
      <c r="JV4" s="1">
        <f>(Table156789111213[[#This Row],[failurecost500_rating6]]+Table156789111213[[#This Row],[failurecost100_rating6]]+Table156789111213[[#This Row],[failurecost50_rating6]]+Table156789111213[[#This Row],[failurecost10_rating6]])</f>
        <v>12.287660478890794</v>
      </c>
      <c r="JW4" s="1">
        <f>(Table156789111213[[#This Row],[failurecost500_rating7]]+Table156789111213[[#This Row],[failurecost100_rating7]]+Table156789111213[[#This Row],[failurecost50_rating7]]+Table156789111213[[#This Row],[failurecost10_rating7]])</f>
        <v>12.287660478890794</v>
      </c>
      <c r="JX4" s="1">
        <f>(Table156789111213[[#This Row],[failurecost500_rating8]]+Table156789111213[[#This Row],[failurecost100_rating8]]+Table156789111213[[#This Row],[failurecost50_rating8]]+Table156789111213[[#This Row],[failurecost10_rating8]])</f>
        <v>0.27305912175312874</v>
      </c>
      <c r="JY4" s="1">
        <f>(Table156789111213[[#This Row],[failurecost500_rating9]]+Table156789111213[[#This Row],[failurecost100_rating9]]+Table156789111213[[#This Row],[failurecost50_rating9]]+Table156789111213[[#This Row],[failurecost10_rating9]])</f>
        <v>0.17066195109570548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Table156789111213[[#This Row],[Depth10_Soil_vol]]*(9.353+9.027)+(Table156789111213[[#This Row],[Depth10_Soil_vol]]/2.5)*20*1.053+(PI()*Table156789111213[[#This Row],[Depth10_Scour]])*Table156789111213[[#This Row],[DECK_WIDTH_MT_052]]*1.062</f>
        <v>0</v>
      </c>
      <c r="AR5" s="1">
        <f>Table156789111213[[#This Row],[Depth50_Soil_vol]]*(9.353+9.027)+(Table156789111213[[#This Row],[Depth50_Soil_vol]]/2.5)*20*1.053+(PI()*Table156789111213[[#This Row],[Depth50_Scour]])*Table156789111213[[#This Row],[DECK_WIDTH_MT_052]]*1.062</f>
        <v>8698.4034732067958</v>
      </c>
      <c r="AS5" s="1">
        <f>Table156789111213[[#This Row],[Depth100_Soil_vol]]*(9.353+9.027)+(Table156789111213[[#This Row],[Depth100_Soil_vol]]/2.5)*20*1.053+(PI()*Table156789111213[[#This Row],[Depth100_Scour]])*Table156789111213[[#This Row],[DECK_WIDTH_MT_052]]*1.062</f>
        <v>10436.848001870483</v>
      </c>
      <c r="AT5" s="1">
        <f>Table156789111213[[#This Row],[Depth500_Soil_vol]]*(9.353+9.027)+(Table156789111213[[#This Row],[Depth500_Soil_vol]]/2.5)*20*1.053+(PI()*Table156789111213[[#This Row],[Depth500_Scour]])*Table156789111213[[#This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9.6000000000000002E-2</v>
      </c>
      <c r="GF5" s="1">
        <v>24.727785049372191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21980.253377219724</v>
      </c>
      <c r="GM5" s="1">
        <f>Sheet4!R35*$GF5*1000000</f>
        <v>12363.892524686098</v>
      </c>
      <c r="GN5" s="1">
        <f>Sheet4!S35*$GF5*1000000</f>
        <v>7912.8912157991026</v>
      </c>
      <c r="GO5" s="1">
        <f>Sheet4!T35*$GF5*1000000</f>
        <v>5495.063344304931</v>
      </c>
      <c r="GP5" s="1">
        <f>Sheet4!U35*$GF5*1000000</f>
        <v>4037.189395815868</v>
      </c>
      <c r="GQ5" s="1">
        <f>Sheet4!V35*$GF5*1000000</f>
        <v>3090.9731311715245</v>
      </c>
      <c r="GR5" s="1">
        <f>Sheet4!W35*$GF5*1000000</f>
        <v>2442.2503752466359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0.01</v>
      </c>
      <c r="HF5" s="1">
        <v>1.25E-3</v>
      </c>
      <c r="HG5" s="1">
        <v>2.7500000000000002E-4</v>
      </c>
      <c r="HH5" s="1">
        <v>1E-4</v>
      </c>
      <c r="HI5" s="1">
        <v>1.7499999999999998E-5</v>
      </c>
      <c r="HJ5" s="1">
        <v>4.5000000000000001E-6</v>
      </c>
      <c r="HK5" s="1">
        <v>4.5000000000000001E-6</v>
      </c>
      <c r="HL5" s="1">
        <v>9.9999999999999995E-8</v>
      </c>
      <c r="HM5" s="1">
        <v>6.2499999999999997E-8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Table156789111213[[#This Row],[Total_Cost_MUSD]]*1000000*Table156789111213[[#This Row],[prob500-failure_rating1]]/500</f>
        <v>494.55570098744386</v>
      </c>
      <c r="IG5" s="1">
        <f>Table156789111213[[#This Row],[Total_Cost_MUSD]]*1000000*Table156789111213[[#This Row],[prob500-failure_rating2]]/500</f>
        <v>247.27785049372193</v>
      </c>
      <c r="IH5" s="1">
        <f>Table156789111213[[#This Row],[Total_Cost_MUSD]]*1000000*Table156789111213[[#This Row],[prob500-failure_rating3]]/500</f>
        <v>54.40112710861883</v>
      </c>
      <c r="II5" s="1">
        <f>Table156789111213[[#This Row],[Total_Cost_MUSD]]*1000000*Table156789111213[[#This Row],[prob500-failure_rating4]]/500</f>
        <v>19.782228039497753</v>
      </c>
      <c r="IJ5" s="1">
        <f>Table156789111213[[#This Row],[Total_Cost_MUSD]]*1000000*Table156789111213[[#This Row],[prob500-failure_rating5]]/500</f>
        <v>3.4618899069121065</v>
      </c>
      <c r="IK5" s="1">
        <f>Table156789111213[[#This Row],[Total_Cost_MUSD]]*1000000*Table156789111213[[#This Row],[prob500-failure_rating6]]/500</f>
        <v>0.89020026177739897</v>
      </c>
      <c r="IL5" s="1">
        <f>Table156789111213[[#This Row],[Total_Cost_MUSD]]*1000000*Table156789111213[[#This Row],[prob500-failure_rating7]]/500</f>
        <v>0.89020026177739897</v>
      </c>
      <c r="IM5" s="1">
        <f>Table156789111213[[#This Row],[Total_Cost_MUSD]]*1000000*Table156789111213[[#This Row],[prob500-failure_rating8]]/500</f>
        <v>1.9782228039497751E-2</v>
      </c>
      <c r="IN5" s="1">
        <f>Table156789111213[[#This Row],[Total_Cost_MUSD]]*1000000*Table156789111213[[#This Row],[prob500-failure_rating9]]/500</f>
        <v>1.2363892524686095E-2</v>
      </c>
      <c r="IO5" s="1">
        <f>Table156789111213[[#This Row],[Total_Cost_MUSD]]*1000000*Table156789111213[[#This Row],[prob100-failure_rating1]]/100</f>
        <v>2472.7785049372192</v>
      </c>
      <c r="IP5" s="1">
        <f>Table156789111213[[#This Row],[Total_Cost_MUSD]]*1000000*Table156789111213[[#This Row],[prob100-failure_rating2]]/100</f>
        <v>309.0973131171524</v>
      </c>
      <c r="IQ5" s="1">
        <f>Table156789111213[[#This Row],[Total_Cost_MUSD]]*1000000*Table156789111213[[#This Row],[prob100-failure_rating3]]/100</f>
        <v>68.001408885773529</v>
      </c>
      <c r="IR5" s="1">
        <f>Table156789111213[[#This Row],[Total_Cost_MUSD]]*1000000*Table156789111213[[#This Row],[prob100-failure_rating4]]/100</f>
        <v>24.727785049372191</v>
      </c>
      <c r="IS5" s="1">
        <f>Table156789111213[[#This Row],[Total_Cost_MUSD]]*1000000*Table156789111213[[#This Row],[prob100-failure_rating5]]/100</f>
        <v>4.3273623836401329</v>
      </c>
      <c r="IT5" s="1">
        <f>Table156789111213[[#This Row],[Total_Cost_MUSD]]*1000000*Table156789111213[[#This Row],[prob100-failure_rating6]]/100</f>
        <v>1.1127503272217487</v>
      </c>
      <c r="IU5" s="1">
        <f>Table156789111213[[#This Row],[Total_Cost_MUSD]]*1000000*Table156789111213[[#This Row],[prob100-failure_rating7]]/100</f>
        <v>1.1127503272217487</v>
      </c>
      <c r="IV5" s="1">
        <f>Table156789111213[[#This Row],[Total_Cost_MUSD]]*1000000*Table156789111213[[#This Row],[prob100-failure_rating8]]/100</f>
        <v>2.4727785049372189E-2</v>
      </c>
      <c r="IW5" s="1">
        <f>Table156789111213[[#This Row],[Total_Cost_MUSD]]*1000000*Table156789111213[[#This Row],[prob100-failure_rating9]]/100</f>
        <v>1.545486565585762E-2</v>
      </c>
      <c r="IX5" s="1">
        <f>Table156789111213[[#This Row],[Total_Cost_MUSD]]*1000000*Table156789111213[[#This Row],[prob50-failure_rating1]]/50</f>
        <v>4945.5570098744383</v>
      </c>
      <c r="IY5" s="1">
        <f>Table156789111213[[#This Row],[Total_Cost_MUSD]]*1000000*Table156789111213[[#This Row],[prob50-failure_rating2]]/50</f>
        <v>412.12975082286988</v>
      </c>
      <c r="IZ5" s="1">
        <f>Table156789111213[[#This Row],[Total_Cost_MUSD]]*1000000*Table156789111213[[#This Row],[prob50-failure_rating3]]/50</f>
        <v>90.668545181031362</v>
      </c>
      <c r="JA5" s="1">
        <f>Table156789111213[[#This Row],[Total_Cost_MUSD]]*1000000*Table156789111213[[#This Row],[prob50-failure_rating4]]/50</f>
        <v>32.970380065829588</v>
      </c>
      <c r="JB5" s="1">
        <f>Table156789111213[[#This Row],[Total_Cost_MUSD]]*1000000*Table156789111213[[#This Row],[prob50-failure_rating5]]/50</f>
        <v>5.7698165115201778</v>
      </c>
      <c r="JC5" s="1">
        <f>Table156789111213[[#This Row],[Total_Cost_MUSD]]*1000000*Table156789111213[[#This Row],[prob50-failure_rating6]]/50</f>
        <v>1.4836671029623316</v>
      </c>
      <c r="JD5" s="1">
        <f>Table156789111213[[#This Row],[Total_Cost_MUSD]]*1000000*Table156789111213[[#This Row],[prob50-failure_rating7]]/50</f>
        <v>1.4836671029623316</v>
      </c>
      <c r="JE5" s="1">
        <f>Table156789111213[[#This Row],[Total_Cost_MUSD]]*1000000*Table156789111213[[#This Row],[prob50-failure_rating8]]/50</f>
        <v>3.2970380065829592E-2</v>
      </c>
      <c r="JF5" s="1">
        <f>Table156789111213[[#This Row],[Total_Cost_MUSD]]*1000000*Table156789111213[[#This Row],[prob50-failure_rating9]]/50</f>
        <v>2.0606487541143491E-2</v>
      </c>
      <c r="JG5" s="1">
        <f>Table156789111213[[#This Row],[Total_Cost_MUSD]]*1000000*Table156789111213[[#This Row],[prob10-failure_rating1]]/10</f>
        <v>24727.785049372193</v>
      </c>
      <c r="JH5" s="1">
        <f>Table156789111213[[#This Row],[Total_Cost_MUSD]]*1000000*Table156789111213[[#This Row],[prob10-failure_rating2]]/10</f>
        <v>1236.3892524686096</v>
      </c>
      <c r="JI5" s="1">
        <f>Table156789111213[[#This Row],[Total_Cost_MUSD]]*1000000*Table156789111213[[#This Row],[prob10-failure_rating3]]/10</f>
        <v>272.00563554309417</v>
      </c>
      <c r="JJ5" s="1">
        <f>Table156789111213[[#This Row],[Total_Cost_MUSD]]*1000000*Table156789111213[[#This Row],[prob10-failure_rating4]]/10</f>
        <v>98.911140197488777</v>
      </c>
      <c r="JK5" s="1">
        <f>Table156789111213[[#This Row],[Total_Cost_MUSD]]*1000000*Table156789111213[[#This Row],[prob10-failure_rating5]]/10</f>
        <v>17.309449534560532</v>
      </c>
      <c r="JL5" s="1">
        <f>Table156789111213[[#This Row],[Total_Cost_MUSD]]*1000000*Table156789111213[[#This Row],[prob10-failure_rating6]]/10</f>
        <v>4.4510013088869949</v>
      </c>
      <c r="JM5" s="1">
        <f>Table156789111213[[#This Row],[Total_Cost_MUSD]]*1000000*Table156789111213[[#This Row],[prob10-failure_rating7]]/10</f>
        <v>4.4510013088869949</v>
      </c>
      <c r="JN5" s="1">
        <f>Table156789111213[[#This Row],[Total_Cost_MUSD]]*1000000*Table156789111213[[#This Row],[prob10-failure_rating8]]/10</f>
        <v>9.891114019748877E-2</v>
      </c>
      <c r="JO5" s="1">
        <f>Table156789111213[[#This Row],[Total_Cost_MUSD]]*1000000*Table156789111213[[#This Row],[prob10-failure_rating9]]/10</f>
        <v>6.1819462623430479E-2</v>
      </c>
      <c r="JP5" s="1">
        <f>Table156789111213[[#This Row],[FailureCost_Rating1]]</f>
        <v>2204.8941669023538</v>
      </c>
      <c r="JQ5" s="1">
        <f>Table156789111213[[#This Row],[FailureCost_Rating2]]</f>
        <v>2204.8941669023538</v>
      </c>
      <c r="JR5" s="1">
        <f>(Table156789111213[[#This Row],[failurecost500_rating2]]+Table156789111213[[#This Row],[failurecost100_rating2]]+Table156789111213[[#This Row],[failurecost50_rating2]]+Table156789111213[[#This Row],[failurecost10_rating2]])</f>
        <v>2204.8941669023538</v>
      </c>
      <c r="JS5" s="1">
        <f>(Table156789111213[[#This Row],[failurecost500_rating3]]+Table156789111213[[#This Row],[failurecost100_rating3]]+Table156789111213[[#This Row],[failurecost50_rating3]]+Table156789111213[[#This Row],[failurecost10_rating3]])</f>
        <v>485.0767167185179</v>
      </c>
      <c r="JT5" s="1">
        <f>(Table156789111213[[#This Row],[failurecost500_rating4]]+Table156789111213[[#This Row],[failurecost100_rating4]]+Table156789111213[[#This Row],[failurecost50_rating4]]+Table156789111213[[#This Row],[failurecost10_rating4]])</f>
        <v>176.3915333521883</v>
      </c>
      <c r="JU5" s="1">
        <f>(Table156789111213[[#This Row],[failurecost500_rating5]]+Table156789111213[[#This Row],[failurecost100_rating5]]+Table156789111213[[#This Row],[failurecost50_rating5]]+Table156789111213[[#This Row],[failurecost10_rating5]])</f>
        <v>30.868518336632949</v>
      </c>
      <c r="JV5" s="1">
        <f>(Table156789111213[[#This Row],[failurecost500_rating6]]+Table156789111213[[#This Row],[failurecost100_rating6]]+Table156789111213[[#This Row],[failurecost50_rating6]]+Table156789111213[[#This Row],[failurecost10_rating6]])</f>
        <v>7.9376190008484739</v>
      </c>
      <c r="JW5" s="1">
        <f>(Table156789111213[[#This Row],[failurecost500_rating7]]+Table156789111213[[#This Row],[failurecost100_rating7]]+Table156789111213[[#This Row],[failurecost50_rating7]]+Table156789111213[[#This Row],[failurecost10_rating7]])</f>
        <v>7.9376190008484739</v>
      </c>
      <c r="JX5" s="1">
        <f>(Table156789111213[[#This Row],[failurecost500_rating8]]+Table156789111213[[#This Row],[failurecost100_rating8]]+Table156789111213[[#This Row],[failurecost50_rating8]]+Table156789111213[[#This Row],[failurecost10_rating8]])</f>
        <v>0.17639153335218832</v>
      </c>
      <c r="JY5" s="1">
        <f>(Table156789111213[[#This Row],[failurecost500_rating9]]+Table156789111213[[#This Row],[failurecost100_rating9]]+Table156789111213[[#This Row],[failurecost50_rating9]]+Table156789111213[[#This Row],[failurecost10_rating9]])</f>
        <v>0.11024470834511768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Table156789111213[[#This Row],[Depth10_Soil_vol]]*(9.353+9.027)+(Table156789111213[[#This Row],[Depth10_Soil_vol]]/2.5)*20*1.053+(PI()*Table156789111213[[#This Row],[Depth10_Scour]])*Table156789111213[[#This Row],[DECK_WIDTH_MT_052]]*1.062</f>
        <v>16919.4190908581</v>
      </c>
      <c r="AR6" s="1">
        <f>Table156789111213[[#This Row],[Depth50_Soil_vol]]*(9.353+9.027)+(Table156789111213[[#This Row],[Depth50_Soil_vol]]/2.5)*20*1.053+(PI()*Table156789111213[[#This Row],[Depth50_Scour]])*Table156789111213[[#This Row],[DECK_WIDTH_MT_052]]*1.062</f>
        <v>18202.748839783562</v>
      </c>
      <c r="AS6" s="1">
        <f>Table156789111213[[#This Row],[Depth100_Soil_vol]]*(9.353+9.027)+(Table156789111213[[#This Row],[Depth100_Soil_vol]]/2.5)*20*1.053+(PI()*Table156789111213[[#This Row],[Depth100_Scour]])*Table156789111213[[#This Row],[DECK_WIDTH_MT_052]]*1.062</f>
        <v>18769.361851972091</v>
      </c>
      <c r="AT6" s="1">
        <f>Table156789111213[[#This Row],[Depth500_Soil_vol]]*(9.353+9.027)+(Table156789111213[[#This Row],[Depth500_Soil_vol]]/2.5)*20*1.053+(PI()*Table156789111213[[#This Row],[Depth500_Scour]])*Table156789111213[[#This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6" s="1">
        <v>30.486623487070332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27099.220877395848</v>
      </c>
      <c r="GM6" s="1">
        <f>Sheet4!R36*$GF6*1000000</f>
        <v>15243.311743535167</v>
      </c>
      <c r="GN6" s="1">
        <f>Sheet4!S36*$GF6*1000000</f>
        <v>9755.7195158625054</v>
      </c>
      <c r="GO6" s="1">
        <f>Sheet4!T36*$GF6*1000000</f>
        <v>6774.8052193489621</v>
      </c>
      <c r="GP6" s="1">
        <f>Sheet4!U36*$GF6*1000000</f>
        <v>4977.4079162563812</v>
      </c>
      <c r="GQ6" s="1">
        <f>Sheet4!V36*$GF6*1000000</f>
        <v>3810.8279358837917</v>
      </c>
      <c r="GR6" s="1">
        <f>Sheet4!W36*$GF6*1000000</f>
        <v>3011.0245419328721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0.01</v>
      </c>
      <c r="HF6" s="1">
        <v>1.25E-3</v>
      </c>
      <c r="HG6" s="1">
        <v>2.7500000000000002E-4</v>
      </c>
      <c r="HH6" s="1">
        <v>1E-4</v>
      </c>
      <c r="HI6" s="1">
        <v>1.7499999999999998E-5</v>
      </c>
      <c r="HJ6" s="1">
        <v>4.5000000000000001E-6</v>
      </c>
      <c r="HK6" s="1">
        <v>4.5000000000000001E-6</v>
      </c>
      <c r="HL6" s="1">
        <v>9.9999999999999995E-8</v>
      </c>
      <c r="HM6" s="1">
        <v>6.2499999999999997E-8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Table156789111213[[#This Row],[Total_Cost_MUSD]]*1000000*Table156789111213[[#This Row],[prob500-failure_rating1]]/500</f>
        <v>609.7324697414067</v>
      </c>
      <c r="IG6" s="1">
        <f>Table156789111213[[#This Row],[Total_Cost_MUSD]]*1000000*Table156789111213[[#This Row],[prob500-failure_rating2]]/500</f>
        <v>304.86623487070335</v>
      </c>
      <c r="IH6" s="1">
        <f>Table156789111213[[#This Row],[Total_Cost_MUSD]]*1000000*Table156789111213[[#This Row],[prob500-failure_rating3]]/500</f>
        <v>67.070571671554731</v>
      </c>
      <c r="II6" s="1">
        <f>Table156789111213[[#This Row],[Total_Cost_MUSD]]*1000000*Table156789111213[[#This Row],[prob500-failure_rating4]]/500</f>
        <v>24.389298789656266</v>
      </c>
      <c r="IJ6" s="1">
        <f>Table156789111213[[#This Row],[Total_Cost_MUSD]]*1000000*Table156789111213[[#This Row],[prob500-failure_rating5]]/500</f>
        <v>4.2681272881898469</v>
      </c>
      <c r="IK6" s="1">
        <f>Table156789111213[[#This Row],[Total_Cost_MUSD]]*1000000*Table156789111213[[#This Row],[prob500-failure_rating6]]/500</f>
        <v>1.0975184455345319</v>
      </c>
      <c r="IL6" s="1">
        <f>Table156789111213[[#This Row],[Total_Cost_MUSD]]*1000000*Table156789111213[[#This Row],[prob500-failure_rating7]]/500</f>
        <v>1.0975184455345319</v>
      </c>
      <c r="IM6" s="1">
        <f>Table156789111213[[#This Row],[Total_Cost_MUSD]]*1000000*Table156789111213[[#This Row],[prob500-failure_rating8]]/500</f>
        <v>2.4389298789656264E-2</v>
      </c>
      <c r="IN6" s="1">
        <f>Table156789111213[[#This Row],[Total_Cost_MUSD]]*1000000*Table156789111213[[#This Row],[prob500-failure_rating9]]/500</f>
        <v>1.5243311743535166E-2</v>
      </c>
      <c r="IO6" s="1">
        <f>Table156789111213[[#This Row],[Total_Cost_MUSD]]*1000000*Table156789111213[[#This Row],[prob100-failure_rating1]]/100</f>
        <v>3048.6623487070337</v>
      </c>
      <c r="IP6" s="1">
        <f>Table156789111213[[#This Row],[Total_Cost_MUSD]]*1000000*Table156789111213[[#This Row],[prob100-failure_rating2]]/100</f>
        <v>381.08279358837922</v>
      </c>
      <c r="IQ6" s="1">
        <f>Table156789111213[[#This Row],[Total_Cost_MUSD]]*1000000*Table156789111213[[#This Row],[prob100-failure_rating3]]/100</f>
        <v>83.83821458944341</v>
      </c>
      <c r="IR6" s="1">
        <f>Table156789111213[[#This Row],[Total_Cost_MUSD]]*1000000*Table156789111213[[#This Row],[prob100-failure_rating4]]/100</f>
        <v>30.486623487070332</v>
      </c>
      <c r="IS6" s="1">
        <f>Table156789111213[[#This Row],[Total_Cost_MUSD]]*1000000*Table156789111213[[#This Row],[prob100-failure_rating5]]/100</f>
        <v>5.3351591102373082</v>
      </c>
      <c r="IT6" s="1">
        <f>Table156789111213[[#This Row],[Total_Cost_MUSD]]*1000000*Table156789111213[[#This Row],[prob100-failure_rating6]]/100</f>
        <v>1.3718980569181651</v>
      </c>
      <c r="IU6" s="1">
        <f>Table156789111213[[#This Row],[Total_Cost_MUSD]]*1000000*Table156789111213[[#This Row],[prob100-failure_rating7]]/100</f>
        <v>1.3718980569181651</v>
      </c>
      <c r="IV6" s="1">
        <f>Table156789111213[[#This Row],[Total_Cost_MUSD]]*1000000*Table156789111213[[#This Row],[prob100-failure_rating8]]/100</f>
        <v>3.0486623487070333E-2</v>
      </c>
      <c r="IW6" s="1">
        <f>Table156789111213[[#This Row],[Total_Cost_MUSD]]*1000000*Table156789111213[[#This Row],[prob100-failure_rating9]]/100</f>
        <v>1.9054139679418956E-2</v>
      </c>
      <c r="IX6" s="1">
        <f>Table156789111213[[#This Row],[Total_Cost_MUSD]]*1000000*Table156789111213[[#This Row],[prob50-failure_rating1]]/50</f>
        <v>6097.3246974140675</v>
      </c>
      <c r="IY6" s="1">
        <f>Table156789111213[[#This Row],[Total_Cost_MUSD]]*1000000*Table156789111213[[#This Row],[prob50-failure_rating2]]/50</f>
        <v>508.11039145117223</v>
      </c>
      <c r="IZ6" s="1">
        <f>Table156789111213[[#This Row],[Total_Cost_MUSD]]*1000000*Table156789111213[[#This Row],[prob50-failure_rating3]]/50</f>
        <v>111.78428611925789</v>
      </c>
      <c r="JA6" s="1">
        <f>Table156789111213[[#This Row],[Total_Cost_MUSD]]*1000000*Table156789111213[[#This Row],[prob50-failure_rating4]]/50</f>
        <v>40.648831316093776</v>
      </c>
      <c r="JB6" s="1">
        <f>Table156789111213[[#This Row],[Total_Cost_MUSD]]*1000000*Table156789111213[[#This Row],[prob50-failure_rating5]]/50</f>
        <v>7.1135454803164109</v>
      </c>
      <c r="JC6" s="1">
        <f>Table156789111213[[#This Row],[Total_Cost_MUSD]]*1000000*Table156789111213[[#This Row],[prob50-failure_rating6]]/50</f>
        <v>1.82919740922422</v>
      </c>
      <c r="JD6" s="1">
        <f>Table156789111213[[#This Row],[Total_Cost_MUSD]]*1000000*Table156789111213[[#This Row],[prob50-failure_rating7]]/50</f>
        <v>1.82919740922422</v>
      </c>
      <c r="JE6" s="1">
        <f>Table156789111213[[#This Row],[Total_Cost_MUSD]]*1000000*Table156789111213[[#This Row],[prob50-failure_rating8]]/50</f>
        <v>4.0648831316093779E-2</v>
      </c>
      <c r="JF6" s="1">
        <f>Table156789111213[[#This Row],[Total_Cost_MUSD]]*1000000*Table156789111213[[#This Row],[prob50-failure_rating9]]/50</f>
        <v>2.540551957255861E-2</v>
      </c>
      <c r="JG6" s="1">
        <f>Table156789111213[[#This Row],[Total_Cost_MUSD]]*1000000*Table156789111213[[#This Row],[prob10-failure_rating1]]/10</f>
        <v>30486.623487070337</v>
      </c>
      <c r="JH6" s="1">
        <f>Table156789111213[[#This Row],[Total_Cost_MUSD]]*1000000*Table156789111213[[#This Row],[prob10-failure_rating2]]/10</f>
        <v>1524.3311743535166</v>
      </c>
      <c r="JI6" s="1">
        <f>Table156789111213[[#This Row],[Total_Cost_MUSD]]*1000000*Table156789111213[[#This Row],[prob10-failure_rating3]]/10</f>
        <v>335.3528583577737</v>
      </c>
      <c r="JJ6" s="1">
        <f>Table156789111213[[#This Row],[Total_Cost_MUSD]]*1000000*Table156789111213[[#This Row],[prob10-failure_rating4]]/10</f>
        <v>121.94649394828134</v>
      </c>
      <c r="JK6" s="1">
        <f>Table156789111213[[#This Row],[Total_Cost_MUSD]]*1000000*Table156789111213[[#This Row],[prob10-failure_rating5]]/10</f>
        <v>21.340636440949233</v>
      </c>
      <c r="JL6" s="1">
        <f>Table156789111213[[#This Row],[Total_Cost_MUSD]]*1000000*Table156789111213[[#This Row],[prob10-failure_rating6]]/10</f>
        <v>5.4875922276726605</v>
      </c>
      <c r="JM6" s="1">
        <f>Table156789111213[[#This Row],[Total_Cost_MUSD]]*1000000*Table156789111213[[#This Row],[prob10-failure_rating7]]/10</f>
        <v>5.4875922276726605</v>
      </c>
      <c r="JN6" s="1">
        <f>Table156789111213[[#This Row],[Total_Cost_MUSD]]*1000000*Table156789111213[[#This Row],[prob10-failure_rating8]]/10</f>
        <v>0.12194649394828135</v>
      </c>
      <c r="JO6" s="1">
        <f>Table156789111213[[#This Row],[Total_Cost_MUSD]]*1000000*Table156789111213[[#This Row],[prob10-failure_rating9]]/10</f>
        <v>7.6216558717675825E-2</v>
      </c>
      <c r="JP6" s="1">
        <f>Table156789111213[[#This Row],[FailureCost_Rating1]]</f>
        <v>2718.3905942637712</v>
      </c>
      <c r="JQ6" s="1">
        <f>Table156789111213[[#This Row],[FailureCost_Rating2]]</f>
        <v>2718.3905942637712</v>
      </c>
      <c r="JR6" s="1">
        <f>(Table156789111213[[#This Row],[failurecost500_rating2]]+Table156789111213[[#This Row],[failurecost100_rating2]]+Table156789111213[[#This Row],[failurecost50_rating2]]+Table156789111213[[#This Row],[failurecost10_rating2]])</f>
        <v>2718.3905942637712</v>
      </c>
      <c r="JS6" s="1">
        <f>(Table156789111213[[#This Row],[failurecost500_rating3]]+Table156789111213[[#This Row],[failurecost100_rating3]]+Table156789111213[[#This Row],[failurecost50_rating3]]+Table156789111213[[#This Row],[failurecost10_rating3]])</f>
        <v>598.04593073802971</v>
      </c>
      <c r="JT6" s="1">
        <f>(Table156789111213[[#This Row],[failurecost500_rating4]]+Table156789111213[[#This Row],[failurecost100_rating4]]+Table156789111213[[#This Row],[failurecost50_rating4]]+Table156789111213[[#This Row],[failurecost10_rating4]])</f>
        <v>217.47124754110172</v>
      </c>
      <c r="JU6" s="1">
        <f>(Table156789111213[[#This Row],[failurecost500_rating5]]+Table156789111213[[#This Row],[failurecost100_rating5]]+Table156789111213[[#This Row],[failurecost50_rating5]]+Table156789111213[[#This Row],[failurecost10_rating5]])</f>
        <v>38.057468319692802</v>
      </c>
      <c r="JV6" s="1">
        <f>(Table156789111213[[#This Row],[failurecost500_rating6]]+Table156789111213[[#This Row],[failurecost100_rating6]]+Table156789111213[[#This Row],[failurecost50_rating6]]+Table156789111213[[#This Row],[failurecost10_rating6]])</f>
        <v>9.7862061393495772</v>
      </c>
      <c r="JW6" s="1">
        <f>(Table156789111213[[#This Row],[failurecost500_rating7]]+Table156789111213[[#This Row],[failurecost100_rating7]]+Table156789111213[[#This Row],[failurecost50_rating7]]+Table156789111213[[#This Row],[failurecost10_rating7]])</f>
        <v>9.7862061393495772</v>
      </c>
      <c r="JX6" s="1">
        <f>(Table156789111213[[#This Row],[failurecost500_rating8]]+Table156789111213[[#This Row],[failurecost100_rating8]]+Table156789111213[[#This Row],[failurecost50_rating8]]+Table156789111213[[#This Row],[failurecost10_rating8]])</f>
        <v>0.2174712475411017</v>
      </c>
      <c r="JY6" s="1">
        <f>(Table156789111213[[#This Row],[failurecost500_rating9]]+Table156789111213[[#This Row],[failurecost100_rating9]]+Table156789111213[[#This Row],[failurecost50_rating9]]+Table156789111213[[#This Row],[failurecost10_rating9]])</f>
        <v>0.13591952971318855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Table156789111213[[#This Row],[Depth10_Soil_vol]]*(9.353+9.027)+(Table156789111213[[#This Row],[Depth10_Soil_vol]]/2.5)*20*1.053+(PI()*Table156789111213[[#This Row],[Depth10_Scour]])*Table156789111213[[#This Row],[DECK_WIDTH_MT_052]]*1.062</f>
        <v>11407.250817613454</v>
      </c>
      <c r="AR7" s="1">
        <f>Table156789111213[[#This Row],[Depth50_Soil_vol]]*(9.353+9.027)+(Table156789111213[[#This Row],[Depth50_Soil_vol]]/2.5)*20*1.053+(PI()*Table156789111213[[#This Row],[Depth50_Scour]])*Table156789111213[[#This Row],[DECK_WIDTH_MT_052]]*1.062</f>
        <v>12369.739122689782</v>
      </c>
      <c r="AS7" s="1">
        <f>Table156789111213[[#This Row],[Depth100_Soil_vol]]*(9.353+9.027)+(Table156789111213[[#This Row],[Depth100_Soil_vol]]/2.5)*20*1.053+(PI()*Table156789111213[[#This Row],[Depth100_Scour]])*Table156789111213[[#This Row],[DECK_WIDTH_MT_052]]*1.062</f>
        <v>14750.148906789464</v>
      </c>
      <c r="AT7" s="1">
        <f>Table156789111213[[#This Row],[Depth500_Soil_vol]]*(9.353+9.027)+(Table156789111213[[#This Row],[Depth500_Soil_vol]]/2.5)*20*1.053+(PI()*Table156789111213[[#This Row],[Depth500_Scour]])*Table156789111213[[#This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0.39600000000000002</v>
      </c>
      <c r="GF7" s="1">
        <v>18.049731781864281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16044.206028323804</v>
      </c>
      <c r="GM7" s="1">
        <f>Sheet4!R37*$GF7*1000000</f>
        <v>9024.8658909321384</v>
      </c>
      <c r="GN7" s="1">
        <f>Sheet4!S37*$GF7*1000000</f>
        <v>5775.91417019657</v>
      </c>
      <c r="GO7" s="1">
        <f>Sheet4!T37*$GF7*1000000</f>
        <v>4011.0515070809511</v>
      </c>
      <c r="GP7" s="1">
        <f>Sheet4!U37*$GF7*1000000</f>
        <v>2946.8949847941685</v>
      </c>
      <c r="GQ7" s="1">
        <f>Sheet4!V37*$GF7*1000000</f>
        <v>2256.2164727330346</v>
      </c>
      <c r="GR7" s="1">
        <f>Sheet4!W37*$GF7*1000000</f>
        <v>1782.6895587026447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0.01</v>
      </c>
      <c r="HF7" s="1">
        <v>1.25E-3</v>
      </c>
      <c r="HG7" s="1">
        <v>2.7500000000000002E-4</v>
      </c>
      <c r="HH7" s="1">
        <v>1E-4</v>
      </c>
      <c r="HI7" s="1">
        <v>1.7499999999999998E-5</v>
      </c>
      <c r="HJ7" s="1">
        <v>4.5000000000000001E-6</v>
      </c>
      <c r="HK7" s="1">
        <v>4.5000000000000001E-6</v>
      </c>
      <c r="HL7" s="1">
        <v>9.9999999999999995E-8</v>
      </c>
      <c r="HM7" s="1">
        <v>6.2499999999999997E-8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Table156789111213[[#This Row],[Total_Cost_MUSD]]*1000000*Table156789111213[[#This Row],[prob500-failure_rating1]]/500</f>
        <v>360.99463563728563</v>
      </c>
      <c r="IG7" s="1">
        <f>Table156789111213[[#This Row],[Total_Cost_MUSD]]*1000000*Table156789111213[[#This Row],[prob500-failure_rating2]]/500</f>
        <v>180.49731781864281</v>
      </c>
      <c r="IH7" s="1">
        <f>Table156789111213[[#This Row],[Total_Cost_MUSD]]*1000000*Table156789111213[[#This Row],[prob500-failure_rating3]]/500</f>
        <v>39.709409920101422</v>
      </c>
      <c r="II7" s="1">
        <f>Table156789111213[[#This Row],[Total_Cost_MUSD]]*1000000*Table156789111213[[#This Row],[prob500-failure_rating4]]/500</f>
        <v>14.439785425491426</v>
      </c>
      <c r="IJ7" s="1">
        <f>Table156789111213[[#This Row],[Total_Cost_MUSD]]*1000000*Table156789111213[[#This Row],[prob500-failure_rating5]]/500</f>
        <v>2.5269624494609992</v>
      </c>
      <c r="IK7" s="1">
        <f>Table156789111213[[#This Row],[Total_Cost_MUSD]]*1000000*Table156789111213[[#This Row],[prob500-failure_rating6]]/500</f>
        <v>0.64979034414711423</v>
      </c>
      <c r="IL7" s="1">
        <f>Table156789111213[[#This Row],[Total_Cost_MUSD]]*1000000*Table156789111213[[#This Row],[prob500-failure_rating7]]/500</f>
        <v>0.64979034414711423</v>
      </c>
      <c r="IM7" s="1">
        <f>Table156789111213[[#This Row],[Total_Cost_MUSD]]*1000000*Table156789111213[[#This Row],[prob500-failure_rating8]]/500</f>
        <v>1.4439785425491423E-2</v>
      </c>
      <c r="IN7" s="1">
        <f>Table156789111213[[#This Row],[Total_Cost_MUSD]]*1000000*Table156789111213[[#This Row],[prob500-failure_rating9]]/500</f>
        <v>9.0248658909321405E-3</v>
      </c>
      <c r="IO7" s="1">
        <f>Table156789111213[[#This Row],[Total_Cost_MUSD]]*1000000*Table156789111213[[#This Row],[prob100-failure_rating1]]/100</f>
        <v>1804.9731781864282</v>
      </c>
      <c r="IP7" s="1">
        <f>Table156789111213[[#This Row],[Total_Cost_MUSD]]*1000000*Table156789111213[[#This Row],[prob100-failure_rating2]]/100</f>
        <v>225.62164727330352</v>
      </c>
      <c r="IQ7" s="1">
        <f>Table156789111213[[#This Row],[Total_Cost_MUSD]]*1000000*Table156789111213[[#This Row],[prob100-failure_rating3]]/100</f>
        <v>49.636762400126784</v>
      </c>
      <c r="IR7" s="1">
        <f>Table156789111213[[#This Row],[Total_Cost_MUSD]]*1000000*Table156789111213[[#This Row],[prob100-failure_rating4]]/100</f>
        <v>18.049731781864281</v>
      </c>
      <c r="IS7" s="1">
        <f>Table156789111213[[#This Row],[Total_Cost_MUSD]]*1000000*Table156789111213[[#This Row],[prob100-failure_rating5]]/100</f>
        <v>3.158703061826249</v>
      </c>
      <c r="IT7" s="1">
        <f>Table156789111213[[#This Row],[Total_Cost_MUSD]]*1000000*Table156789111213[[#This Row],[prob100-failure_rating6]]/100</f>
        <v>0.81223793018389268</v>
      </c>
      <c r="IU7" s="1">
        <f>Table156789111213[[#This Row],[Total_Cost_MUSD]]*1000000*Table156789111213[[#This Row],[prob100-failure_rating7]]/100</f>
        <v>0.81223793018389268</v>
      </c>
      <c r="IV7" s="1">
        <f>Table156789111213[[#This Row],[Total_Cost_MUSD]]*1000000*Table156789111213[[#This Row],[prob100-failure_rating8]]/100</f>
        <v>1.8049731781864281E-2</v>
      </c>
      <c r="IW7" s="1">
        <f>Table156789111213[[#This Row],[Total_Cost_MUSD]]*1000000*Table156789111213[[#This Row],[prob100-failure_rating9]]/100</f>
        <v>1.1281082363665176E-2</v>
      </c>
      <c r="IX7" s="1">
        <f>Table156789111213[[#This Row],[Total_Cost_MUSD]]*1000000*Table156789111213[[#This Row],[prob50-failure_rating1]]/50</f>
        <v>3609.9463563728564</v>
      </c>
      <c r="IY7" s="1">
        <f>Table156789111213[[#This Row],[Total_Cost_MUSD]]*1000000*Table156789111213[[#This Row],[prob50-failure_rating2]]/50</f>
        <v>300.82886303107136</v>
      </c>
      <c r="IZ7" s="1">
        <f>Table156789111213[[#This Row],[Total_Cost_MUSD]]*1000000*Table156789111213[[#This Row],[prob50-failure_rating3]]/50</f>
        <v>66.182349866835708</v>
      </c>
      <c r="JA7" s="1">
        <f>Table156789111213[[#This Row],[Total_Cost_MUSD]]*1000000*Table156789111213[[#This Row],[prob50-failure_rating4]]/50</f>
        <v>24.06630904248571</v>
      </c>
      <c r="JB7" s="1">
        <f>Table156789111213[[#This Row],[Total_Cost_MUSD]]*1000000*Table156789111213[[#This Row],[prob50-failure_rating5]]/50</f>
        <v>4.2116040824349987</v>
      </c>
      <c r="JC7" s="1">
        <f>Table156789111213[[#This Row],[Total_Cost_MUSD]]*1000000*Table156789111213[[#This Row],[prob50-failure_rating6]]/50</f>
        <v>1.082983906911857</v>
      </c>
      <c r="JD7" s="1">
        <f>Table156789111213[[#This Row],[Total_Cost_MUSD]]*1000000*Table156789111213[[#This Row],[prob50-failure_rating7]]/50</f>
        <v>1.082983906911857</v>
      </c>
      <c r="JE7" s="1">
        <f>Table156789111213[[#This Row],[Total_Cost_MUSD]]*1000000*Table156789111213[[#This Row],[prob50-failure_rating8]]/50</f>
        <v>2.406630904248571E-2</v>
      </c>
      <c r="JF7" s="1">
        <f>Table156789111213[[#This Row],[Total_Cost_MUSD]]*1000000*Table156789111213[[#This Row],[prob50-failure_rating9]]/50</f>
        <v>1.5041443151553566E-2</v>
      </c>
      <c r="JG7" s="1">
        <f>Table156789111213[[#This Row],[Total_Cost_MUSD]]*1000000*Table156789111213[[#This Row],[prob10-failure_rating1]]/10</f>
        <v>18049.731781864284</v>
      </c>
      <c r="JH7" s="1">
        <f>Table156789111213[[#This Row],[Total_Cost_MUSD]]*1000000*Table156789111213[[#This Row],[prob10-failure_rating2]]/10</f>
        <v>902.48658909321398</v>
      </c>
      <c r="JI7" s="1">
        <f>Table156789111213[[#This Row],[Total_Cost_MUSD]]*1000000*Table156789111213[[#This Row],[prob10-failure_rating3]]/10</f>
        <v>198.54704960050711</v>
      </c>
      <c r="JJ7" s="1">
        <f>Table156789111213[[#This Row],[Total_Cost_MUSD]]*1000000*Table156789111213[[#This Row],[prob10-failure_rating4]]/10</f>
        <v>72.198927127457139</v>
      </c>
      <c r="JK7" s="1">
        <f>Table156789111213[[#This Row],[Total_Cost_MUSD]]*1000000*Table156789111213[[#This Row],[prob10-failure_rating5]]/10</f>
        <v>12.634812247304996</v>
      </c>
      <c r="JL7" s="1">
        <f>Table156789111213[[#This Row],[Total_Cost_MUSD]]*1000000*Table156789111213[[#This Row],[prob10-failure_rating6]]/10</f>
        <v>3.2489517207355711</v>
      </c>
      <c r="JM7" s="1">
        <f>Table156789111213[[#This Row],[Total_Cost_MUSD]]*1000000*Table156789111213[[#This Row],[prob10-failure_rating7]]/10</f>
        <v>3.2489517207355711</v>
      </c>
      <c r="JN7" s="1">
        <f>Table156789111213[[#This Row],[Total_Cost_MUSD]]*1000000*Table156789111213[[#This Row],[prob10-failure_rating8]]/10</f>
        <v>7.2198927127457124E-2</v>
      </c>
      <c r="JO7" s="1">
        <f>Table156789111213[[#This Row],[Total_Cost_MUSD]]*1000000*Table156789111213[[#This Row],[prob10-failure_rating9]]/10</f>
        <v>4.5124329454660703E-2</v>
      </c>
      <c r="JP7" s="1">
        <f>Table156789111213[[#This Row],[FailureCost_Rating1]]</f>
        <v>1609.4344172162316</v>
      </c>
      <c r="JQ7" s="1">
        <f>Table156789111213[[#This Row],[FailureCost_Rating2]]</f>
        <v>1609.4344172162316</v>
      </c>
      <c r="JR7" s="1">
        <f>(Table156789111213[[#This Row],[failurecost500_rating2]]+Table156789111213[[#This Row],[failurecost100_rating2]]+Table156789111213[[#This Row],[failurecost50_rating2]]+Table156789111213[[#This Row],[failurecost10_rating2]])</f>
        <v>1609.4344172162316</v>
      </c>
      <c r="JS7" s="1">
        <f>(Table156789111213[[#This Row],[failurecost500_rating3]]+Table156789111213[[#This Row],[failurecost100_rating3]]+Table156789111213[[#This Row],[failurecost50_rating3]]+Table156789111213[[#This Row],[failurecost10_rating3]])</f>
        <v>354.07557178757099</v>
      </c>
      <c r="JT7" s="1">
        <f>(Table156789111213[[#This Row],[failurecost500_rating4]]+Table156789111213[[#This Row],[failurecost100_rating4]]+Table156789111213[[#This Row],[failurecost50_rating4]]+Table156789111213[[#This Row],[failurecost10_rating4]])</f>
        <v>128.75475337729856</v>
      </c>
      <c r="JU7" s="1">
        <f>(Table156789111213[[#This Row],[failurecost500_rating5]]+Table156789111213[[#This Row],[failurecost100_rating5]]+Table156789111213[[#This Row],[failurecost50_rating5]]+Table156789111213[[#This Row],[failurecost10_rating5]])</f>
        <v>22.532081841027242</v>
      </c>
      <c r="JV7" s="1">
        <f>(Table156789111213[[#This Row],[failurecost500_rating6]]+Table156789111213[[#This Row],[failurecost100_rating6]]+Table156789111213[[#This Row],[failurecost50_rating6]]+Table156789111213[[#This Row],[failurecost10_rating6]])</f>
        <v>5.7939639019784348</v>
      </c>
      <c r="JW7" s="1">
        <f>(Table156789111213[[#This Row],[failurecost500_rating7]]+Table156789111213[[#This Row],[failurecost100_rating7]]+Table156789111213[[#This Row],[failurecost50_rating7]]+Table156789111213[[#This Row],[failurecost10_rating7]])</f>
        <v>5.7939639019784348</v>
      </c>
      <c r="JX7" s="1">
        <f>(Table156789111213[[#This Row],[failurecost500_rating8]]+Table156789111213[[#This Row],[failurecost100_rating8]]+Table156789111213[[#This Row],[failurecost50_rating8]]+Table156789111213[[#This Row],[failurecost10_rating8]])</f>
        <v>0.12875475337729853</v>
      </c>
      <c r="JY7" s="1">
        <f>(Table156789111213[[#This Row],[failurecost500_rating9]]+Table156789111213[[#This Row],[failurecost100_rating9]]+Table156789111213[[#This Row],[failurecost50_rating9]]+Table156789111213[[#This Row],[failurecost10_rating9]])</f>
        <v>8.0471720860811585E-2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Table156789111213[[#This Row],[Depth10_Soil_vol]]*(9.353+9.027)+(Table156789111213[[#This Row],[Depth10_Soil_vol]]/2.5)*20*1.053+(PI()*Table156789111213[[#This Row],[Depth10_Scour]])*Table156789111213[[#This Row],[DECK_WIDTH_MT_052]]*1.062</f>
        <v>16463.256386162553</v>
      </c>
      <c r="AR8" s="1">
        <f>Table156789111213[[#This Row],[Depth50_Soil_vol]]*(9.353+9.027)+(Table156789111213[[#This Row],[Depth50_Soil_vol]]/2.5)*20*1.053+(PI()*Table156789111213[[#This Row],[Depth50_Scour]])*Table156789111213[[#This Row],[DECK_WIDTH_MT_052]]*1.062</f>
        <v>18935.802677782114</v>
      </c>
      <c r="AS8" s="1">
        <f>Table156789111213[[#This Row],[Depth100_Soil_vol]]*(9.353+9.027)+(Table156789111213[[#This Row],[Depth100_Soil_vol]]/2.5)*20*1.053+(PI()*Table156789111213[[#This Row],[Depth100_Scour]])*Table156789111213[[#This Row],[DECK_WIDTH_MT_052]]*1.062</f>
        <v>19959.892643325038</v>
      </c>
      <c r="AT8" s="1">
        <f>Table156789111213[[#This Row],[Depth500_Soil_vol]]*(9.353+9.027)+(Table156789111213[[#This Row],[Depth500_Soil_vol]]/2.5)*20*1.053+(PI()*Table156789111213[[#This Row],[Depth500_Scour]])*Table156789111213[[#This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0.52800000000000002</v>
      </c>
      <c r="GF8" s="1">
        <v>40.046830920982273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35597.183040873126</v>
      </c>
      <c r="GM8" s="1">
        <f>Sheet4!R38*$GF8*1000000</f>
        <v>20023.415460491138</v>
      </c>
      <c r="GN8" s="1">
        <f>Sheet4!S38*$GF8*1000000</f>
        <v>12814.985894714326</v>
      </c>
      <c r="GO8" s="1">
        <f>Sheet4!T38*$GF8*1000000</f>
        <v>8899.2957602182814</v>
      </c>
      <c r="GP8" s="1">
        <f>Sheet4!U38*$GF8*1000000</f>
        <v>6538.2581095481264</v>
      </c>
      <c r="GQ8" s="1">
        <f>Sheet4!V38*$GF8*1000000</f>
        <v>5005.8538651227846</v>
      </c>
      <c r="GR8" s="1">
        <f>Sheet4!W38*$GF8*1000000</f>
        <v>3955.242560097015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0.01</v>
      </c>
      <c r="HF8" s="1">
        <v>1.25E-3</v>
      </c>
      <c r="HG8" s="1">
        <v>2.7500000000000002E-4</v>
      </c>
      <c r="HH8" s="1">
        <v>1E-4</v>
      </c>
      <c r="HI8" s="1">
        <v>1.7499999999999998E-5</v>
      </c>
      <c r="HJ8" s="1">
        <v>4.5000000000000001E-6</v>
      </c>
      <c r="HK8" s="1">
        <v>4.5000000000000001E-6</v>
      </c>
      <c r="HL8" s="1">
        <v>9.9999999999999995E-8</v>
      </c>
      <c r="HM8" s="1">
        <v>6.2499999999999997E-8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Table156789111213[[#This Row],[Total_Cost_MUSD]]*1000000*Table156789111213[[#This Row],[prob500-failure_rating1]]/500</f>
        <v>800.93661841964547</v>
      </c>
      <c r="IG8" s="1">
        <f>Table156789111213[[#This Row],[Total_Cost_MUSD]]*1000000*Table156789111213[[#This Row],[prob500-failure_rating2]]/500</f>
        <v>400.46830920982273</v>
      </c>
      <c r="IH8" s="1">
        <f>Table156789111213[[#This Row],[Total_Cost_MUSD]]*1000000*Table156789111213[[#This Row],[prob500-failure_rating3]]/500</f>
        <v>88.103028026160999</v>
      </c>
      <c r="II8" s="1">
        <f>Table156789111213[[#This Row],[Total_Cost_MUSD]]*1000000*Table156789111213[[#This Row],[prob500-failure_rating4]]/500</f>
        <v>32.037464736785822</v>
      </c>
      <c r="IJ8" s="1">
        <f>Table156789111213[[#This Row],[Total_Cost_MUSD]]*1000000*Table156789111213[[#This Row],[prob500-failure_rating5]]/500</f>
        <v>5.6065563289375175</v>
      </c>
      <c r="IK8" s="1">
        <f>Table156789111213[[#This Row],[Total_Cost_MUSD]]*1000000*Table156789111213[[#This Row],[prob500-failure_rating6]]/500</f>
        <v>1.4416859131553617</v>
      </c>
      <c r="IL8" s="1">
        <f>Table156789111213[[#This Row],[Total_Cost_MUSD]]*1000000*Table156789111213[[#This Row],[prob500-failure_rating7]]/500</f>
        <v>1.4416859131553617</v>
      </c>
      <c r="IM8" s="1">
        <f>Table156789111213[[#This Row],[Total_Cost_MUSD]]*1000000*Table156789111213[[#This Row],[prob500-failure_rating8]]/500</f>
        <v>3.2037464736785815E-2</v>
      </c>
      <c r="IN8" s="1">
        <f>Table156789111213[[#This Row],[Total_Cost_MUSD]]*1000000*Table156789111213[[#This Row],[prob500-failure_rating9]]/500</f>
        <v>2.0023415460491134E-2</v>
      </c>
      <c r="IO8" s="1">
        <f>Table156789111213[[#This Row],[Total_Cost_MUSD]]*1000000*Table156789111213[[#This Row],[prob100-failure_rating1]]/100</f>
        <v>4004.6830920982275</v>
      </c>
      <c r="IP8" s="1">
        <f>Table156789111213[[#This Row],[Total_Cost_MUSD]]*1000000*Table156789111213[[#This Row],[prob100-failure_rating2]]/100</f>
        <v>500.58538651227843</v>
      </c>
      <c r="IQ8" s="1">
        <f>Table156789111213[[#This Row],[Total_Cost_MUSD]]*1000000*Table156789111213[[#This Row],[prob100-failure_rating3]]/100</f>
        <v>110.12878503270126</v>
      </c>
      <c r="IR8" s="1">
        <f>Table156789111213[[#This Row],[Total_Cost_MUSD]]*1000000*Table156789111213[[#This Row],[prob100-failure_rating4]]/100</f>
        <v>40.046830920982273</v>
      </c>
      <c r="IS8" s="1">
        <f>Table156789111213[[#This Row],[Total_Cost_MUSD]]*1000000*Table156789111213[[#This Row],[prob100-failure_rating5]]/100</f>
        <v>7.0081954111718971</v>
      </c>
      <c r="IT8" s="1">
        <f>Table156789111213[[#This Row],[Total_Cost_MUSD]]*1000000*Table156789111213[[#This Row],[prob100-failure_rating6]]/100</f>
        <v>1.8021073914442021</v>
      </c>
      <c r="IU8" s="1">
        <f>Table156789111213[[#This Row],[Total_Cost_MUSD]]*1000000*Table156789111213[[#This Row],[prob100-failure_rating7]]/100</f>
        <v>1.8021073914442021</v>
      </c>
      <c r="IV8" s="1">
        <f>Table156789111213[[#This Row],[Total_Cost_MUSD]]*1000000*Table156789111213[[#This Row],[prob100-failure_rating8]]/100</f>
        <v>4.0046830920982268E-2</v>
      </c>
      <c r="IW8" s="1">
        <f>Table156789111213[[#This Row],[Total_Cost_MUSD]]*1000000*Table156789111213[[#This Row],[prob100-failure_rating9]]/100</f>
        <v>2.5029269325613918E-2</v>
      </c>
      <c r="IX8" s="1">
        <f>Table156789111213[[#This Row],[Total_Cost_MUSD]]*1000000*Table156789111213[[#This Row],[prob50-failure_rating1]]/50</f>
        <v>8009.3661841964549</v>
      </c>
      <c r="IY8" s="1">
        <f>Table156789111213[[#This Row],[Total_Cost_MUSD]]*1000000*Table156789111213[[#This Row],[prob50-failure_rating2]]/50</f>
        <v>667.44718201637124</v>
      </c>
      <c r="IZ8" s="1">
        <f>Table156789111213[[#This Row],[Total_Cost_MUSD]]*1000000*Table156789111213[[#This Row],[prob50-failure_rating3]]/50</f>
        <v>146.83838004360166</v>
      </c>
      <c r="JA8" s="1">
        <f>Table156789111213[[#This Row],[Total_Cost_MUSD]]*1000000*Table156789111213[[#This Row],[prob50-failure_rating4]]/50</f>
        <v>53.3957745613097</v>
      </c>
      <c r="JB8" s="1">
        <f>Table156789111213[[#This Row],[Total_Cost_MUSD]]*1000000*Table156789111213[[#This Row],[prob50-failure_rating5]]/50</f>
        <v>9.3442605482291956</v>
      </c>
      <c r="JC8" s="1">
        <f>Table156789111213[[#This Row],[Total_Cost_MUSD]]*1000000*Table156789111213[[#This Row],[prob50-failure_rating6]]/50</f>
        <v>2.4028098552589365</v>
      </c>
      <c r="JD8" s="1">
        <f>Table156789111213[[#This Row],[Total_Cost_MUSD]]*1000000*Table156789111213[[#This Row],[prob50-failure_rating7]]/50</f>
        <v>2.4028098552589365</v>
      </c>
      <c r="JE8" s="1">
        <f>Table156789111213[[#This Row],[Total_Cost_MUSD]]*1000000*Table156789111213[[#This Row],[prob50-failure_rating8]]/50</f>
        <v>5.33957745613097E-2</v>
      </c>
      <c r="JF8" s="1">
        <f>Table156789111213[[#This Row],[Total_Cost_MUSD]]*1000000*Table156789111213[[#This Row],[prob50-failure_rating9]]/50</f>
        <v>3.3372359100818559E-2</v>
      </c>
      <c r="JG8" s="1">
        <f>Table156789111213[[#This Row],[Total_Cost_MUSD]]*1000000*Table156789111213[[#This Row],[prob10-failure_rating1]]/10</f>
        <v>40046.830920982276</v>
      </c>
      <c r="JH8" s="1">
        <f>Table156789111213[[#This Row],[Total_Cost_MUSD]]*1000000*Table156789111213[[#This Row],[prob10-failure_rating2]]/10</f>
        <v>2002.3415460491135</v>
      </c>
      <c r="JI8" s="1">
        <f>Table156789111213[[#This Row],[Total_Cost_MUSD]]*1000000*Table156789111213[[#This Row],[prob10-failure_rating3]]/10</f>
        <v>440.51514013080498</v>
      </c>
      <c r="JJ8" s="1">
        <f>Table156789111213[[#This Row],[Total_Cost_MUSD]]*1000000*Table156789111213[[#This Row],[prob10-failure_rating4]]/10</f>
        <v>160.18732368392909</v>
      </c>
      <c r="JK8" s="1">
        <f>Table156789111213[[#This Row],[Total_Cost_MUSD]]*1000000*Table156789111213[[#This Row],[prob10-failure_rating5]]/10</f>
        <v>28.032781644687589</v>
      </c>
      <c r="JL8" s="1">
        <f>Table156789111213[[#This Row],[Total_Cost_MUSD]]*1000000*Table156789111213[[#This Row],[prob10-failure_rating6]]/10</f>
        <v>7.2084295657768092</v>
      </c>
      <c r="JM8" s="1">
        <f>Table156789111213[[#This Row],[Total_Cost_MUSD]]*1000000*Table156789111213[[#This Row],[prob10-failure_rating7]]/10</f>
        <v>7.2084295657768092</v>
      </c>
      <c r="JN8" s="1">
        <f>Table156789111213[[#This Row],[Total_Cost_MUSD]]*1000000*Table156789111213[[#This Row],[prob10-failure_rating8]]/10</f>
        <v>0.1601873236839291</v>
      </c>
      <c r="JO8" s="1">
        <f>Table156789111213[[#This Row],[Total_Cost_MUSD]]*1000000*Table156789111213[[#This Row],[prob10-failure_rating9]]/10</f>
        <v>0.10011707730245567</v>
      </c>
      <c r="JP8" s="1">
        <f>Table156789111213[[#This Row],[FailureCost_Rating1]]</f>
        <v>3570.8424237875861</v>
      </c>
      <c r="JQ8" s="1">
        <f>Table156789111213[[#This Row],[FailureCost_Rating2]]</f>
        <v>3570.8424237875861</v>
      </c>
      <c r="JR8" s="1">
        <f>(Table156789111213[[#This Row],[failurecost500_rating2]]+Table156789111213[[#This Row],[failurecost100_rating2]]+Table156789111213[[#This Row],[failurecost50_rating2]]+Table156789111213[[#This Row],[failurecost10_rating2]])</f>
        <v>3570.8424237875861</v>
      </c>
      <c r="JS8" s="1">
        <f>(Table156789111213[[#This Row],[failurecost500_rating3]]+Table156789111213[[#This Row],[failurecost100_rating3]]+Table156789111213[[#This Row],[failurecost50_rating3]]+Table156789111213[[#This Row],[failurecost10_rating3]])</f>
        <v>785.5853332332689</v>
      </c>
      <c r="JT8" s="1">
        <f>(Table156789111213[[#This Row],[failurecost500_rating4]]+Table156789111213[[#This Row],[failurecost100_rating4]]+Table156789111213[[#This Row],[failurecost50_rating4]]+Table156789111213[[#This Row],[failurecost10_rating4]])</f>
        <v>285.66739390300688</v>
      </c>
      <c r="JU8" s="1">
        <f>(Table156789111213[[#This Row],[failurecost500_rating5]]+Table156789111213[[#This Row],[failurecost100_rating5]]+Table156789111213[[#This Row],[failurecost50_rating5]]+Table156789111213[[#This Row],[failurecost10_rating5]])</f>
        <v>49.991793933026202</v>
      </c>
      <c r="JV8" s="1">
        <f>(Table156789111213[[#This Row],[failurecost500_rating6]]+Table156789111213[[#This Row],[failurecost100_rating6]]+Table156789111213[[#This Row],[failurecost50_rating6]]+Table156789111213[[#This Row],[failurecost10_rating6]])</f>
        <v>12.85503272563531</v>
      </c>
      <c r="JW8" s="1">
        <f>(Table156789111213[[#This Row],[failurecost500_rating7]]+Table156789111213[[#This Row],[failurecost100_rating7]]+Table156789111213[[#This Row],[failurecost50_rating7]]+Table156789111213[[#This Row],[failurecost10_rating7]])</f>
        <v>12.85503272563531</v>
      </c>
      <c r="JX8" s="1">
        <f>(Table156789111213[[#This Row],[failurecost500_rating8]]+Table156789111213[[#This Row],[failurecost100_rating8]]+Table156789111213[[#This Row],[failurecost50_rating8]]+Table156789111213[[#This Row],[failurecost10_rating8]])</f>
        <v>0.28566739390300688</v>
      </c>
      <c r="JY8" s="1">
        <f>(Table156789111213[[#This Row],[failurecost500_rating9]]+Table156789111213[[#This Row],[failurecost100_rating9]]+Table156789111213[[#This Row],[failurecost50_rating9]]+Table156789111213[[#This Row],[failurecost10_rating9]])</f>
        <v>0.17854212118937929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Table156789111213[[#This Row],[Depth10_Soil_vol]]*(9.353+9.027)+(Table156789111213[[#This Row],[Depth10_Soil_vol]]/2.5)*20*1.053+(PI()*Table156789111213[[#This Row],[Depth10_Scour]])*Table156789111213[[#This Row],[DECK_WIDTH_MT_052]]*1.062</f>
        <v>6829.712539120831</v>
      </c>
      <c r="AR9" s="1">
        <f>Table156789111213[[#This Row],[Depth50_Soil_vol]]*(9.353+9.027)+(Table156789111213[[#This Row],[Depth50_Soil_vol]]/2.5)*20*1.053+(PI()*Table156789111213[[#This Row],[Depth50_Scour]])*Table156789111213[[#This Row],[DECK_WIDTH_MT_052]]*1.062</f>
        <v>7284.9335218547822</v>
      </c>
      <c r="AS9" s="1">
        <f>Table156789111213[[#This Row],[Depth100_Soil_vol]]*(9.353+9.027)+(Table156789111213[[#This Row],[Depth100_Soil_vol]]/2.5)*20*1.053+(PI()*Table156789111213[[#This Row],[Depth100_Scour]])*Table156789111213[[#This Row],[DECK_WIDTH_MT_052]]*1.062</f>
        <v>7678.6049905512346</v>
      </c>
      <c r="AT9" s="1">
        <f>Table156789111213[[#This Row],[Depth500_Soil_vol]]*(9.353+9.027)+(Table156789111213[[#This Row],[Depth500_Soil_vol]]/2.5)*20*1.053+(PI()*Table156789111213[[#This Row],[Depth500_Scour]])*Table156789111213[[#This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9" s="1">
        <v>38.08362737275246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33852.113220224404</v>
      </c>
      <c r="GM9" s="1">
        <f>Sheet4!R39*$GF9*1000000</f>
        <v>19041.81368637623</v>
      </c>
      <c r="GN9" s="1">
        <f>Sheet4!S39*$GF9*1000000</f>
        <v>12186.760759280791</v>
      </c>
      <c r="GO9" s="1">
        <f>Sheet4!T39*$GF9*1000000</f>
        <v>8463.0283050561011</v>
      </c>
      <c r="GP9" s="1">
        <f>Sheet4!U39*$GF9*1000000</f>
        <v>6217.7350812657078</v>
      </c>
      <c r="GQ9" s="1">
        <f>Sheet4!V39*$GF9*1000000</f>
        <v>4760.4534215940575</v>
      </c>
      <c r="GR9" s="1">
        <f>Sheet4!W39*$GF9*1000000</f>
        <v>3761.3459133582683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0.01</v>
      </c>
      <c r="HF9" s="1">
        <v>1.25E-3</v>
      </c>
      <c r="HG9" s="1">
        <v>2.7500000000000002E-4</v>
      </c>
      <c r="HH9" s="1">
        <v>1E-4</v>
      </c>
      <c r="HI9" s="1">
        <v>1.7499999999999998E-5</v>
      </c>
      <c r="HJ9" s="1">
        <v>4.5000000000000001E-6</v>
      </c>
      <c r="HK9" s="1">
        <v>4.5000000000000001E-6</v>
      </c>
      <c r="HL9" s="1">
        <v>9.9999999999999995E-8</v>
      </c>
      <c r="HM9" s="1">
        <v>6.2499999999999997E-8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Table156789111213[[#This Row],[Total_Cost_MUSD]]*1000000*Table156789111213[[#This Row],[prob500-failure_rating1]]/500</f>
        <v>761.67254745504908</v>
      </c>
      <c r="IG9" s="1">
        <f>Table156789111213[[#This Row],[Total_Cost_MUSD]]*1000000*Table156789111213[[#This Row],[prob500-failure_rating2]]/500</f>
        <v>380.83627372752454</v>
      </c>
      <c r="IH9" s="1">
        <f>Table156789111213[[#This Row],[Total_Cost_MUSD]]*1000000*Table156789111213[[#This Row],[prob500-failure_rating3]]/500</f>
        <v>83.783980220055412</v>
      </c>
      <c r="II9" s="1">
        <f>Table156789111213[[#This Row],[Total_Cost_MUSD]]*1000000*Table156789111213[[#This Row],[prob500-failure_rating4]]/500</f>
        <v>30.466901898201964</v>
      </c>
      <c r="IJ9" s="1">
        <f>Table156789111213[[#This Row],[Total_Cost_MUSD]]*1000000*Table156789111213[[#This Row],[prob500-failure_rating5]]/500</f>
        <v>5.3317078321853435</v>
      </c>
      <c r="IK9" s="1">
        <f>Table156789111213[[#This Row],[Total_Cost_MUSD]]*1000000*Table156789111213[[#This Row],[prob500-failure_rating6]]/500</f>
        <v>1.3710105854190886</v>
      </c>
      <c r="IL9" s="1">
        <f>Table156789111213[[#This Row],[Total_Cost_MUSD]]*1000000*Table156789111213[[#This Row],[prob500-failure_rating7]]/500</f>
        <v>1.3710105854190886</v>
      </c>
      <c r="IM9" s="1">
        <f>Table156789111213[[#This Row],[Total_Cost_MUSD]]*1000000*Table156789111213[[#This Row],[prob500-failure_rating8]]/500</f>
        <v>3.0466901898201965E-2</v>
      </c>
      <c r="IN9" s="1">
        <f>Table156789111213[[#This Row],[Total_Cost_MUSD]]*1000000*Table156789111213[[#This Row],[prob500-failure_rating9]]/500</f>
        <v>1.9041813686376228E-2</v>
      </c>
      <c r="IO9" s="1">
        <f>Table156789111213[[#This Row],[Total_Cost_MUSD]]*1000000*Table156789111213[[#This Row],[prob100-failure_rating1]]/100</f>
        <v>3808.3627372752458</v>
      </c>
      <c r="IP9" s="1">
        <f>Table156789111213[[#This Row],[Total_Cost_MUSD]]*1000000*Table156789111213[[#This Row],[prob100-failure_rating2]]/100</f>
        <v>476.04534215940572</v>
      </c>
      <c r="IQ9" s="1">
        <f>Table156789111213[[#This Row],[Total_Cost_MUSD]]*1000000*Table156789111213[[#This Row],[prob100-failure_rating3]]/100</f>
        <v>104.72997527506926</v>
      </c>
      <c r="IR9" s="1">
        <f>Table156789111213[[#This Row],[Total_Cost_MUSD]]*1000000*Table156789111213[[#This Row],[prob100-failure_rating4]]/100</f>
        <v>38.08362737275246</v>
      </c>
      <c r="IS9" s="1">
        <f>Table156789111213[[#This Row],[Total_Cost_MUSD]]*1000000*Table156789111213[[#This Row],[prob100-failure_rating5]]/100</f>
        <v>6.6646347902316787</v>
      </c>
      <c r="IT9" s="1">
        <f>Table156789111213[[#This Row],[Total_Cost_MUSD]]*1000000*Table156789111213[[#This Row],[prob100-failure_rating6]]/100</f>
        <v>1.7137632317738607</v>
      </c>
      <c r="IU9" s="1">
        <f>Table156789111213[[#This Row],[Total_Cost_MUSD]]*1000000*Table156789111213[[#This Row],[prob100-failure_rating7]]/100</f>
        <v>1.7137632317738607</v>
      </c>
      <c r="IV9" s="1">
        <f>Table156789111213[[#This Row],[Total_Cost_MUSD]]*1000000*Table156789111213[[#This Row],[prob100-failure_rating8]]/100</f>
        <v>3.8083627372752456E-2</v>
      </c>
      <c r="IW9" s="1">
        <f>Table156789111213[[#This Row],[Total_Cost_MUSD]]*1000000*Table156789111213[[#This Row],[prob100-failure_rating9]]/100</f>
        <v>2.3802267107970284E-2</v>
      </c>
      <c r="IX9" s="1">
        <f>Table156789111213[[#This Row],[Total_Cost_MUSD]]*1000000*Table156789111213[[#This Row],[prob50-failure_rating1]]/50</f>
        <v>7616.7254745504915</v>
      </c>
      <c r="IY9" s="1">
        <f>Table156789111213[[#This Row],[Total_Cost_MUSD]]*1000000*Table156789111213[[#This Row],[prob50-failure_rating2]]/50</f>
        <v>634.72712287920763</v>
      </c>
      <c r="IZ9" s="1">
        <f>Table156789111213[[#This Row],[Total_Cost_MUSD]]*1000000*Table156789111213[[#This Row],[prob50-failure_rating3]]/50</f>
        <v>139.63996703342568</v>
      </c>
      <c r="JA9" s="1">
        <f>Table156789111213[[#This Row],[Total_Cost_MUSD]]*1000000*Table156789111213[[#This Row],[prob50-failure_rating4]]/50</f>
        <v>50.778169830336608</v>
      </c>
      <c r="JB9" s="1">
        <f>Table156789111213[[#This Row],[Total_Cost_MUSD]]*1000000*Table156789111213[[#This Row],[prob50-failure_rating5]]/50</f>
        <v>8.8861797203089061</v>
      </c>
      <c r="JC9" s="1">
        <f>Table156789111213[[#This Row],[Total_Cost_MUSD]]*1000000*Table156789111213[[#This Row],[prob50-failure_rating6]]/50</f>
        <v>2.2850176423651476</v>
      </c>
      <c r="JD9" s="1">
        <f>Table156789111213[[#This Row],[Total_Cost_MUSD]]*1000000*Table156789111213[[#This Row],[prob50-failure_rating7]]/50</f>
        <v>2.2850176423651476</v>
      </c>
      <c r="JE9" s="1">
        <f>Table156789111213[[#This Row],[Total_Cost_MUSD]]*1000000*Table156789111213[[#This Row],[prob50-failure_rating8]]/50</f>
        <v>5.077816983033661E-2</v>
      </c>
      <c r="JF9" s="1">
        <f>Table156789111213[[#This Row],[Total_Cost_MUSD]]*1000000*Table156789111213[[#This Row],[prob50-failure_rating9]]/50</f>
        <v>3.1736356143960379E-2</v>
      </c>
      <c r="JG9" s="1">
        <f>Table156789111213[[#This Row],[Total_Cost_MUSD]]*1000000*Table156789111213[[#This Row],[prob10-failure_rating1]]/10</f>
        <v>38083.627372752453</v>
      </c>
      <c r="JH9" s="1">
        <f>Table156789111213[[#This Row],[Total_Cost_MUSD]]*1000000*Table156789111213[[#This Row],[prob10-failure_rating2]]/10</f>
        <v>1904.1813686376231</v>
      </c>
      <c r="JI9" s="1">
        <f>Table156789111213[[#This Row],[Total_Cost_MUSD]]*1000000*Table156789111213[[#This Row],[prob10-failure_rating3]]/10</f>
        <v>418.91990110027712</v>
      </c>
      <c r="JJ9" s="1">
        <f>Table156789111213[[#This Row],[Total_Cost_MUSD]]*1000000*Table156789111213[[#This Row],[prob10-failure_rating4]]/10</f>
        <v>152.33450949100984</v>
      </c>
      <c r="JK9" s="1">
        <f>Table156789111213[[#This Row],[Total_Cost_MUSD]]*1000000*Table156789111213[[#This Row],[prob10-failure_rating5]]/10</f>
        <v>26.658539160926715</v>
      </c>
      <c r="JL9" s="1">
        <f>Table156789111213[[#This Row],[Total_Cost_MUSD]]*1000000*Table156789111213[[#This Row],[prob10-failure_rating6]]/10</f>
        <v>6.8550529270954428</v>
      </c>
      <c r="JM9" s="1">
        <f>Table156789111213[[#This Row],[Total_Cost_MUSD]]*1000000*Table156789111213[[#This Row],[prob10-failure_rating7]]/10</f>
        <v>6.8550529270954428</v>
      </c>
      <c r="JN9" s="1">
        <f>Table156789111213[[#This Row],[Total_Cost_MUSD]]*1000000*Table156789111213[[#This Row],[prob10-failure_rating8]]/10</f>
        <v>0.15233450949100985</v>
      </c>
      <c r="JO9" s="1">
        <f>Table156789111213[[#This Row],[Total_Cost_MUSD]]*1000000*Table156789111213[[#This Row],[prob10-failure_rating9]]/10</f>
        <v>9.5209068431881136E-2</v>
      </c>
      <c r="JP9" s="1">
        <f>Table156789111213[[#This Row],[FailureCost_Rating1]]</f>
        <v>3395.7901074037609</v>
      </c>
      <c r="JQ9" s="1">
        <f>Table156789111213[[#This Row],[FailureCost_Rating2]]</f>
        <v>3395.7901074037609</v>
      </c>
      <c r="JR9" s="1">
        <f>(Table156789111213[[#This Row],[failurecost500_rating2]]+Table156789111213[[#This Row],[failurecost100_rating2]]+Table156789111213[[#This Row],[failurecost50_rating2]]+Table156789111213[[#This Row],[failurecost10_rating2]])</f>
        <v>3395.7901074037609</v>
      </c>
      <c r="JS9" s="1">
        <f>(Table156789111213[[#This Row],[failurecost500_rating3]]+Table156789111213[[#This Row],[failurecost100_rating3]]+Table156789111213[[#This Row],[failurecost50_rating3]]+Table156789111213[[#This Row],[failurecost10_rating3]])</f>
        <v>747.07382362882743</v>
      </c>
      <c r="JT9" s="1">
        <f>(Table156789111213[[#This Row],[failurecost500_rating4]]+Table156789111213[[#This Row],[failurecost100_rating4]]+Table156789111213[[#This Row],[failurecost50_rating4]]+Table156789111213[[#This Row],[failurecost10_rating4]])</f>
        <v>271.66320859230086</v>
      </c>
      <c r="JU9" s="1">
        <f>(Table156789111213[[#This Row],[failurecost500_rating5]]+Table156789111213[[#This Row],[failurecost100_rating5]]+Table156789111213[[#This Row],[failurecost50_rating5]]+Table156789111213[[#This Row],[failurecost10_rating5]])</f>
        <v>47.541061503652642</v>
      </c>
      <c r="JV9" s="1">
        <f>(Table156789111213[[#This Row],[failurecost500_rating6]]+Table156789111213[[#This Row],[failurecost100_rating6]]+Table156789111213[[#This Row],[failurecost50_rating6]]+Table156789111213[[#This Row],[failurecost10_rating6]])</f>
        <v>12.22484438665354</v>
      </c>
      <c r="JW9" s="1">
        <f>(Table156789111213[[#This Row],[failurecost500_rating7]]+Table156789111213[[#This Row],[failurecost100_rating7]]+Table156789111213[[#This Row],[failurecost50_rating7]]+Table156789111213[[#This Row],[failurecost10_rating7]])</f>
        <v>12.22484438665354</v>
      </c>
      <c r="JX9" s="1">
        <f>(Table156789111213[[#This Row],[failurecost500_rating8]]+Table156789111213[[#This Row],[failurecost100_rating8]]+Table156789111213[[#This Row],[failurecost50_rating8]]+Table156789111213[[#This Row],[failurecost10_rating8]])</f>
        <v>0.27166320859230086</v>
      </c>
      <c r="JY9" s="1">
        <f>(Table156789111213[[#This Row],[failurecost500_rating9]]+Table156789111213[[#This Row],[failurecost100_rating9]]+Table156789111213[[#This Row],[failurecost50_rating9]]+Table156789111213[[#This Row],[failurecost10_rating9]])</f>
        <v>0.16978950537018803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Table156789111213[[#This Row],[Depth10_Soil_vol]]*(9.353+9.027)+(Table156789111213[[#This Row],[Depth10_Soil_vol]]/2.5)*20*1.053+(PI()*Table156789111213[[#This Row],[Depth10_Scour]])*Table156789111213[[#This Row],[DECK_WIDTH_MT_052]]*1.062</f>
        <v>2767.3671308174216</v>
      </c>
      <c r="AR10" s="1">
        <f>Table156789111213[[#This Row],[Depth50_Soil_vol]]*(9.353+9.027)+(Table156789111213[[#This Row],[Depth50_Soil_vol]]/2.5)*20*1.053+(PI()*Table156789111213[[#This Row],[Depth50_Scour]])*Table156789111213[[#This Row],[DECK_WIDTH_MT_052]]*1.062</f>
        <v>2942.0444801705157</v>
      </c>
      <c r="AS10" s="1">
        <f>Table156789111213[[#This Row],[Depth100_Soil_vol]]*(9.353+9.027)+(Table156789111213[[#This Row],[Depth100_Soil_vol]]/2.5)*20*1.053+(PI()*Table156789111213[[#This Row],[Depth100_Scour]])*Table156789111213[[#This Row],[DECK_WIDTH_MT_052]]*1.062</f>
        <v>3019.9468768096358</v>
      </c>
      <c r="AT10" s="1">
        <f>Table156789111213[[#This Row],[Depth500_Soil_vol]]*(9.353+9.027)+(Table156789111213[[#This Row],[Depth500_Soil_vol]]/2.5)*20*1.053+(PI()*Table156789111213[[#This Row],[Depth500_Scour]])*Table156789111213[[#This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10" s="1">
        <v>23.1598223154908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20586.50872488071</v>
      </c>
      <c r="GM10" s="1">
        <f>Sheet4!R40*$GF10*1000000</f>
        <v>11579.9111577454</v>
      </c>
      <c r="GN10" s="1">
        <f>Sheet4!S40*$GF10*1000000</f>
        <v>7411.1431409570578</v>
      </c>
      <c r="GO10" s="1">
        <f>Sheet4!T40*$GF10*1000000</f>
        <v>5146.6271812201776</v>
      </c>
      <c r="GP10" s="1">
        <f>Sheet4!U40*$GF10*1000000</f>
        <v>3781.1954800801309</v>
      </c>
      <c r="GQ10" s="1">
        <f>Sheet4!V40*$GF10*1000000</f>
        <v>2894.9777894363501</v>
      </c>
      <c r="GR10" s="1">
        <f>Sheet4!W40*$GF10*1000000</f>
        <v>2287.3898583200789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0.01</v>
      </c>
      <c r="HF10" s="1">
        <v>1.25E-3</v>
      </c>
      <c r="HG10" s="1">
        <v>2.7500000000000002E-4</v>
      </c>
      <c r="HH10" s="1">
        <v>1E-4</v>
      </c>
      <c r="HI10" s="1">
        <v>1.7499999999999998E-5</v>
      </c>
      <c r="HJ10" s="1">
        <v>4.5000000000000001E-6</v>
      </c>
      <c r="HK10" s="1">
        <v>4.5000000000000001E-6</v>
      </c>
      <c r="HL10" s="1">
        <v>9.9999999999999995E-8</v>
      </c>
      <c r="HM10" s="1">
        <v>6.2499999999999997E-8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Table156789111213[[#This Row],[Total_Cost_MUSD]]*1000000*Table156789111213[[#This Row],[prob500-failure_rating1]]/500</f>
        <v>463.19644630981605</v>
      </c>
      <c r="IG10" s="1">
        <f>Table156789111213[[#This Row],[Total_Cost_MUSD]]*1000000*Table156789111213[[#This Row],[prob500-failure_rating2]]/500</f>
        <v>231.59822315490803</v>
      </c>
      <c r="IH10" s="1">
        <f>Table156789111213[[#This Row],[Total_Cost_MUSD]]*1000000*Table156789111213[[#This Row],[prob500-failure_rating3]]/500</f>
        <v>50.951609094079764</v>
      </c>
      <c r="II10" s="1">
        <f>Table156789111213[[#This Row],[Total_Cost_MUSD]]*1000000*Table156789111213[[#This Row],[prob500-failure_rating4]]/500</f>
        <v>18.527857852392639</v>
      </c>
      <c r="IJ10" s="1">
        <f>Table156789111213[[#This Row],[Total_Cost_MUSD]]*1000000*Table156789111213[[#This Row],[prob500-failure_rating5]]/500</f>
        <v>3.2423751241687118</v>
      </c>
      <c r="IK10" s="1">
        <f>Table156789111213[[#This Row],[Total_Cost_MUSD]]*1000000*Table156789111213[[#This Row],[prob500-failure_rating6]]/500</f>
        <v>0.8337536033576689</v>
      </c>
      <c r="IL10" s="1">
        <f>Table156789111213[[#This Row],[Total_Cost_MUSD]]*1000000*Table156789111213[[#This Row],[prob500-failure_rating7]]/500</f>
        <v>0.8337536033576689</v>
      </c>
      <c r="IM10" s="1">
        <f>Table156789111213[[#This Row],[Total_Cost_MUSD]]*1000000*Table156789111213[[#This Row],[prob500-failure_rating8]]/500</f>
        <v>1.8527857852392641E-2</v>
      </c>
      <c r="IN10" s="1">
        <f>Table156789111213[[#This Row],[Total_Cost_MUSD]]*1000000*Table156789111213[[#This Row],[prob500-failure_rating9]]/500</f>
        <v>1.15799111577454E-2</v>
      </c>
      <c r="IO10" s="1">
        <f>Table156789111213[[#This Row],[Total_Cost_MUSD]]*1000000*Table156789111213[[#This Row],[prob100-failure_rating1]]/100</f>
        <v>2315.9822315490801</v>
      </c>
      <c r="IP10" s="1">
        <f>Table156789111213[[#This Row],[Total_Cost_MUSD]]*1000000*Table156789111213[[#This Row],[prob100-failure_rating2]]/100</f>
        <v>289.49777894363501</v>
      </c>
      <c r="IQ10" s="1">
        <f>Table156789111213[[#This Row],[Total_Cost_MUSD]]*1000000*Table156789111213[[#This Row],[prob100-failure_rating3]]/100</f>
        <v>63.689511367599707</v>
      </c>
      <c r="IR10" s="1">
        <f>Table156789111213[[#This Row],[Total_Cost_MUSD]]*1000000*Table156789111213[[#This Row],[prob100-failure_rating4]]/100</f>
        <v>23.1598223154908</v>
      </c>
      <c r="IS10" s="1">
        <f>Table156789111213[[#This Row],[Total_Cost_MUSD]]*1000000*Table156789111213[[#This Row],[prob100-failure_rating5]]/100</f>
        <v>4.0529689052108901</v>
      </c>
      <c r="IT10" s="1">
        <f>Table156789111213[[#This Row],[Total_Cost_MUSD]]*1000000*Table156789111213[[#This Row],[prob100-failure_rating6]]/100</f>
        <v>1.0421920041970862</v>
      </c>
      <c r="IU10" s="1">
        <f>Table156789111213[[#This Row],[Total_Cost_MUSD]]*1000000*Table156789111213[[#This Row],[prob100-failure_rating7]]/100</f>
        <v>1.0421920041970862</v>
      </c>
      <c r="IV10" s="1">
        <f>Table156789111213[[#This Row],[Total_Cost_MUSD]]*1000000*Table156789111213[[#This Row],[prob100-failure_rating8]]/100</f>
        <v>2.31598223154908E-2</v>
      </c>
      <c r="IW10" s="1">
        <f>Table156789111213[[#This Row],[Total_Cost_MUSD]]*1000000*Table156789111213[[#This Row],[prob100-failure_rating9]]/100</f>
        <v>1.447488894718175E-2</v>
      </c>
      <c r="IX10" s="1">
        <f>Table156789111213[[#This Row],[Total_Cost_MUSD]]*1000000*Table156789111213[[#This Row],[prob50-failure_rating1]]/50</f>
        <v>4631.9644630981602</v>
      </c>
      <c r="IY10" s="1">
        <f>Table156789111213[[#This Row],[Total_Cost_MUSD]]*1000000*Table156789111213[[#This Row],[prob50-failure_rating2]]/50</f>
        <v>385.99703859151333</v>
      </c>
      <c r="IZ10" s="1">
        <f>Table156789111213[[#This Row],[Total_Cost_MUSD]]*1000000*Table156789111213[[#This Row],[prob50-failure_rating3]]/50</f>
        <v>84.919348490132947</v>
      </c>
      <c r="JA10" s="1">
        <f>Table156789111213[[#This Row],[Total_Cost_MUSD]]*1000000*Table156789111213[[#This Row],[prob50-failure_rating4]]/50</f>
        <v>30.87976308732107</v>
      </c>
      <c r="JB10" s="1">
        <f>Table156789111213[[#This Row],[Total_Cost_MUSD]]*1000000*Table156789111213[[#This Row],[prob50-failure_rating5]]/50</f>
        <v>5.4039585402811872</v>
      </c>
      <c r="JC10" s="1">
        <f>Table156789111213[[#This Row],[Total_Cost_MUSD]]*1000000*Table156789111213[[#This Row],[prob50-failure_rating6]]/50</f>
        <v>1.389589338929448</v>
      </c>
      <c r="JD10" s="1">
        <f>Table156789111213[[#This Row],[Total_Cost_MUSD]]*1000000*Table156789111213[[#This Row],[prob50-failure_rating7]]/50</f>
        <v>1.389589338929448</v>
      </c>
      <c r="JE10" s="1">
        <f>Table156789111213[[#This Row],[Total_Cost_MUSD]]*1000000*Table156789111213[[#This Row],[prob50-failure_rating8]]/50</f>
        <v>3.0879763087321068E-2</v>
      </c>
      <c r="JF10" s="1">
        <f>Table156789111213[[#This Row],[Total_Cost_MUSD]]*1000000*Table156789111213[[#This Row],[prob50-failure_rating9]]/50</f>
        <v>1.9299851929575666E-2</v>
      </c>
      <c r="JG10" s="1">
        <f>Table156789111213[[#This Row],[Total_Cost_MUSD]]*1000000*Table156789111213[[#This Row],[prob10-failure_rating1]]/10</f>
        <v>23159.822315490801</v>
      </c>
      <c r="JH10" s="1">
        <f>Table156789111213[[#This Row],[Total_Cost_MUSD]]*1000000*Table156789111213[[#This Row],[prob10-failure_rating2]]/10</f>
        <v>1157.99111577454</v>
      </c>
      <c r="JI10" s="1">
        <f>Table156789111213[[#This Row],[Total_Cost_MUSD]]*1000000*Table156789111213[[#This Row],[prob10-failure_rating3]]/10</f>
        <v>254.75804547039883</v>
      </c>
      <c r="JJ10" s="1">
        <f>Table156789111213[[#This Row],[Total_Cost_MUSD]]*1000000*Table156789111213[[#This Row],[prob10-failure_rating4]]/10</f>
        <v>92.639289261963214</v>
      </c>
      <c r="JK10" s="1">
        <f>Table156789111213[[#This Row],[Total_Cost_MUSD]]*1000000*Table156789111213[[#This Row],[prob10-failure_rating5]]/10</f>
        <v>16.211875620843557</v>
      </c>
      <c r="JL10" s="1">
        <f>Table156789111213[[#This Row],[Total_Cost_MUSD]]*1000000*Table156789111213[[#This Row],[prob10-failure_rating6]]/10</f>
        <v>4.1687680167883441</v>
      </c>
      <c r="JM10" s="1">
        <f>Table156789111213[[#This Row],[Total_Cost_MUSD]]*1000000*Table156789111213[[#This Row],[prob10-failure_rating7]]/10</f>
        <v>4.1687680167883441</v>
      </c>
      <c r="JN10" s="1">
        <f>Table156789111213[[#This Row],[Total_Cost_MUSD]]*1000000*Table156789111213[[#This Row],[prob10-failure_rating8]]/10</f>
        <v>9.2639289261963215E-2</v>
      </c>
      <c r="JO10" s="1">
        <f>Table156789111213[[#This Row],[Total_Cost_MUSD]]*1000000*Table156789111213[[#This Row],[prob10-failure_rating9]]/10</f>
        <v>5.7899555788726999E-2</v>
      </c>
      <c r="JP10" s="1">
        <f>Table156789111213[[#This Row],[FailureCost_Rating1]]</f>
        <v>2065.0841564645962</v>
      </c>
      <c r="JQ10" s="1">
        <f>Table156789111213[[#This Row],[FailureCost_Rating2]]</f>
        <v>2065.0841564645962</v>
      </c>
      <c r="JR10" s="1">
        <f>(Table156789111213[[#This Row],[failurecost500_rating2]]+Table156789111213[[#This Row],[failurecost100_rating2]]+Table156789111213[[#This Row],[failurecost50_rating2]]+Table156789111213[[#This Row],[failurecost10_rating2]])</f>
        <v>2065.0841564645962</v>
      </c>
      <c r="JS10" s="1">
        <f>(Table156789111213[[#This Row],[failurecost500_rating3]]+Table156789111213[[#This Row],[failurecost100_rating3]]+Table156789111213[[#This Row],[failurecost50_rating3]]+Table156789111213[[#This Row],[failurecost10_rating3]])</f>
        <v>454.31851442221125</v>
      </c>
      <c r="JT10" s="1">
        <f>(Table156789111213[[#This Row],[failurecost500_rating4]]+Table156789111213[[#This Row],[failurecost100_rating4]]+Table156789111213[[#This Row],[failurecost50_rating4]]+Table156789111213[[#This Row],[failurecost10_rating4]])</f>
        <v>165.20673251716772</v>
      </c>
      <c r="JU10" s="1">
        <f>(Table156789111213[[#This Row],[failurecost500_rating5]]+Table156789111213[[#This Row],[failurecost100_rating5]]+Table156789111213[[#This Row],[failurecost50_rating5]]+Table156789111213[[#This Row],[failurecost10_rating5]])</f>
        <v>28.911178190504344</v>
      </c>
      <c r="JV10" s="1">
        <f>(Table156789111213[[#This Row],[failurecost500_rating6]]+Table156789111213[[#This Row],[failurecost100_rating6]]+Table156789111213[[#This Row],[failurecost50_rating6]]+Table156789111213[[#This Row],[failurecost10_rating6]])</f>
        <v>7.4343029632725468</v>
      </c>
      <c r="JW10" s="1">
        <f>(Table156789111213[[#This Row],[failurecost500_rating7]]+Table156789111213[[#This Row],[failurecost100_rating7]]+Table156789111213[[#This Row],[failurecost50_rating7]]+Table156789111213[[#This Row],[failurecost10_rating7]])</f>
        <v>7.4343029632725468</v>
      </c>
      <c r="JX10" s="1">
        <f>(Table156789111213[[#This Row],[failurecost500_rating8]]+Table156789111213[[#This Row],[failurecost100_rating8]]+Table156789111213[[#This Row],[failurecost50_rating8]]+Table156789111213[[#This Row],[failurecost10_rating8]])</f>
        <v>0.16520673251716772</v>
      </c>
      <c r="JY10" s="1">
        <f>(Table156789111213[[#This Row],[failurecost500_rating9]]+Table156789111213[[#This Row],[failurecost100_rating9]]+Table156789111213[[#This Row],[failurecost50_rating9]]+Table156789111213[[#This Row],[failurecost10_rating9]])</f>
        <v>0.1032542078232298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Table156789111213[[#This Row],[Depth10_Soil_vol]]*(9.353+9.027)+(Table156789111213[[#This Row],[Depth10_Soil_vol]]/2.5)*20*1.053+(PI()*Table156789111213[[#This Row],[Depth10_Scour]])*Table156789111213[[#This Row],[DECK_WIDTH_MT_052]]*1.062</f>
        <v>12912.070383440046</v>
      </c>
      <c r="AR11" s="1">
        <f>Table156789111213[[#This Row],[Depth50_Soil_vol]]*(9.353+9.027)+(Table156789111213[[#This Row],[Depth50_Soil_vol]]/2.5)*20*1.053+(PI()*Table156789111213[[#This Row],[Depth50_Scour]])*Table156789111213[[#This Row],[DECK_WIDTH_MT_052]]*1.062</f>
        <v>13809.829327894035</v>
      </c>
      <c r="AS11" s="1">
        <f>Table156789111213[[#This Row],[Depth100_Soil_vol]]*(9.353+9.027)+(Table156789111213[[#This Row],[Depth100_Soil_vol]]/2.5)*20*1.053+(PI()*Table156789111213[[#This Row],[Depth100_Scour]])*Table156789111213[[#This Row],[DECK_WIDTH_MT_052]]*1.062</f>
        <v>14209.20261771438</v>
      </c>
      <c r="AT11" s="1">
        <f>Table156789111213[[#This Row],[Depth500_Soil_vol]]*(9.353+9.027)+(Table156789111213[[#This Row],[Depth500_Soil_vol]]/2.5)*20*1.053+(PI()*Table156789111213[[#This Row],[Depth500_Scour]])*Table156789111213[[#This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11" s="1">
        <v>44.174987123055246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39266.655220493543</v>
      </c>
      <c r="GM11" s="1">
        <f>Sheet4!R41*$GF11*1000000</f>
        <v>22087.493561527623</v>
      </c>
      <c r="GN11" s="1">
        <f>Sheet4!S41*$GF11*1000000</f>
        <v>14135.99587937768</v>
      </c>
      <c r="GO11" s="1">
        <f>Sheet4!T41*$GF11*1000000</f>
        <v>9816.6638051233858</v>
      </c>
      <c r="GP11" s="1">
        <f>Sheet4!U41*$GF11*1000000</f>
        <v>7212.2427956008569</v>
      </c>
      <c r="GQ11" s="1">
        <f>Sheet4!V41*$GF11*1000000</f>
        <v>5521.8733903819057</v>
      </c>
      <c r="GR11" s="1">
        <f>Sheet4!W41*$GF11*1000000</f>
        <v>4362.9616911659505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0.01</v>
      </c>
      <c r="HF11" s="1">
        <v>1.25E-3</v>
      </c>
      <c r="HG11" s="1">
        <v>2.7500000000000002E-4</v>
      </c>
      <c r="HH11" s="1">
        <v>1E-4</v>
      </c>
      <c r="HI11" s="1">
        <v>1.7499999999999998E-5</v>
      </c>
      <c r="HJ11" s="1">
        <v>4.5000000000000001E-6</v>
      </c>
      <c r="HK11" s="1">
        <v>4.5000000000000001E-6</v>
      </c>
      <c r="HL11" s="1">
        <v>9.9999999999999995E-8</v>
      </c>
      <c r="HM11" s="1">
        <v>6.2499999999999997E-8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Table156789111213[[#This Row],[Total_Cost_MUSD]]*1000000*Table156789111213[[#This Row],[prob500-failure_rating1]]/500</f>
        <v>883.49974246110503</v>
      </c>
      <c r="IG11" s="1">
        <f>Table156789111213[[#This Row],[Total_Cost_MUSD]]*1000000*Table156789111213[[#This Row],[prob500-failure_rating2]]/500</f>
        <v>441.74987123055251</v>
      </c>
      <c r="IH11" s="1">
        <f>Table156789111213[[#This Row],[Total_Cost_MUSD]]*1000000*Table156789111213[[#This Row],[prob500-failure_rating3]]/500</f>
        <v>97.184971670721552</v>
      </c>
      <c r="II11" s="1">
        <f>Table156789111213[[#This Row],[Total_Cost_MUSD]]*1000000*Table156789111213[[#This Row],[prob500-failure_rating4]]/500</f>
        <v>35.339989698444199</v>
      </c>
      <c r="IJ11" s="1">
        <f>Table156789111213[[#This Row],[Total_Cost_MUSD]]*1000000*Table156789111213[[#This Row],[prob500-failure_rating5]]/500</f>
        <v>6.1844981972277342</v>
      </c>
      <c r="IK11" s="1">
        <f>Table156789111213[[#This Row],[Total_Cost_MUSD]]*1000000*Table156789111213[[#This Row],[prob500-failure_rating6]]/500</f>
        <v>1.590299536429989</v>
      </c>
      <c r="IL11" s="1">
        <f>Table156789111213[[#This Row],[Total_Cost_MUSD]]*1000000*Table156789111213[[#This Row],[prob500-failure_rating7]]/500</f>
        <v>1.590299536429989</v>
      </c>
      <c r="IM11" s="1">
        <f>Table156789111213[[#This Row],[Total_Cost_MUSD]]*1000000*Table156789111213[[#This Row],[prob500-failure_rating8]]/500</f>
        <v>3.5339989698444201E-2</v>
      </c>
      <c r="IN11" s="1">
        <f>Table156789111213[[#This Row],[Total_Cost_MUSD]]*1000000*Table156789111213[[#This Row],[prob500-failure_rating9]]/500</f>
        <v>2.2087493561527623E-2</v>
      </c>
      <c r="IO11" s="1">
        <f>Table156789111213[[#This Row],[Total_Cost_MUSD]]*1000000*Table156789111213[[#This Row],[prob100-failure_rating1]]/100</f>
        <v>4417.4987123055253</v>
      </c>
      <c r="IP11" s="1">
        <f>Table156789111213[[#This Row],[Total_Cost_MUSD]]*1000000*Table156789111213[[#This Row],[prob100-failure_rating2]]/100</f>
        <v>552.18733903819066</v>
      </c>
      <c r="IQ11" s="1">
        <f>Table156789111213[[#This Row],[Total_Cost_MUSD]]*1000000*Table156789111213[[#This Row],[prob100-failure_rating3]]/100</f>
        <v>121.48121458840194</v>
      </c>
      <c r="IR11" s="1">
        <f>Table156789111213[[#This Row],[Total_Cost_MUSD]]*1000000*Table156789111213[[#This Row],[prob100-failure_rating4]]/100</f>
        <v>44.174987123055253</v>
      </c>
      <c r="IS11" s="1">
        <f>Table156789111213[[#This Row],[Total_Cost_MUSD]]*1000000*Table156789111213[[#This Row],[prob100-failure_rating5]]/100</f>
        <v>7.7306227465346682</v>
      </c>
      <c r="IT11" s="1">
        <f>Table156789111213[[#This Row],[Total_Cost_MUSD]]*1000000*Table156789111213[[#This Row],[prob100-failure_rating6]]/100</f>
        <v>1.9878744205374863</v>
      </c>
      <c r="IU11" s="1">
        <f>Table156789111213[[#This Row],[Total_Cost_MUSD]]*1000000*Table156789111213[[#This Row],[prob100-failure_rating7]]/100</f>
        <v>1.9878744205374863</v>
      </c>
      <c r="IV11" s="1">
        <f>Table156789111213[[#This Row],[Total_Cost_MUSD]]*1000000*Table156789111213[[#This Row],[prob100-failure_rating8]]/100</f>
        <v>4.4174987123055252E-2</v>
      </c>
      <c r="IW11" s="1">
        <f>Table156789111213[[#This Row],[Total_Cost_MUSD]]*1000000*Table156789111213[[#This Row],[prob100-failure_rating9]]/100</f>
        <v>2.760936695190953E-2</v>
      </c>
      <c r="IX11" s="1">
        <f>Table156789111213[[#This Row],[Total_Cost_MUSD]]*1000000*Table156789111213[[#This Row],[prob50-failure_rating1]]/50</f>
        <v>8834.9974246110505</v>
      </c>
      <c r="IY11" s="1">
        <f>Table156789111213[[#This Row],[Total_Cost_MUSD]]*1000000*Table156789111213[[#This Row],[prob50-failure_rating2]]/50</f>
        <v>736.24978538425421</v>
      </c>
      <c r="IZ11" s="1">
        <f>Table156789111213[[#This Row],[Total_Cost_MUSD]]*1000000*Table156789111213[[#This Row],[prob50-failure_rating3]]/50</f>
        <v>161.9749527845359</v>
      </c>
      <c r="JA11" s="1">
        <f>Table156789111213[[#This Row],[Total_Cost_MUSD]]*1000000*Table156789111213[[#This Row],[prob50-failure_rating4]]/50</f>
        <v>58.899982830740335</v>
      </c>
      <c r="JB11" s="1">
        <f>Table156789111213[[#This Row],[Total_Cost_MUSD]]*1000000*Table156789111213[[#This Row],[prob50-failure_rating5]]/50</f>
        <v>10.307496995379559</v>
      </c>
      <c r="JC11" s="1">
        <f>Table156789111213[[#This Row],[Total_Cost_MUSD]]*1000000*Table156789111213[[#This Row],[prob50-failure_rating6]]/50</f>
        <v>2.6504992273833152</v>
      </c>
      <c r="JD11" s="1">
        <f>Table156789111213[[#This Row],[Total_Cost_MUSD]]*1000000*Table156789111213[[#This Row],[prob50-failure_rating7]]/50</f>
        <v>2.6504992273833152</v>
      </c>
      <c r="JE11" s="1">
        <f>Table156789111213[[#This Row],[Total_Cost_MUSD]]*1000000*Table156789111213[[#This Row],[prob50-failure_rating8]]/50</f>
        <v>5.8899982830740327E-2</v>
      </c>
      <c r="JF11" s="1">
        <f>Table156789111213[[#This Row],[Total_Cost_MUSD]]*1000000*Table156789111213[[#This Row],[prob50-failure_rating9]]/50</f>
        <v>3.6812489269212705E-2</v>
      </c>
      <c r="JG11" s="1">
        <f>Table156789111213[[#This Row],[Total_Cost_MUSD]]*1000000*Table156789111213[[#This Row],[prob10-failure_rating1]]/10</f>
        <v>44174.987123055253</v>
      </c>
      <c r="JH11" s="1">
        <f>Table156789111213[[#This Row],[Total_Cost_MUSD]]*1000000*Table156789111213[[#This Row],[prob10-failure_rating2]]/10</f>
        <v>2208.7493561527626</v>
      </c>
      <c r="JI11" s="1">
        <f>Table156789111213[[#This Row],[Total_Cost_MUSD]]*1000000*Table156789111213[[#This Row],[prob10-failure_rating3]]/10</f>
        <v>485.92485835360776</v>
      </c>
      <c r="JJ11" s="1">
        <f>Table156789111213[[#This Row],[Total_Cost_MUSD]]*1000000*Table156789111213[[#This Row],[prob10-failure_rating4]]/10</f>
        <v>176.69994849222101</v>
      </c>
      <c r="JK11" s="1">
        <f>Table156789111213[[#This Row],[Total_Cost_MUSD]]*1000000*Table156789111213[[#This Row],[prob10-failure_rating5]]/10</f>
        <v>30.922490986138673</v>
      </c>
      <c r="JL11" s="1">
        <f>Table156789111213[[#This Row],[Total_Cost_MUSD]]*1000000*Table156789111213[[#This Row],[prob10-failure_rating6]]/10</f>
        <v>7.9514976821499461</v>
      </c>
      <c r="JM11" s="1">
        <f>Table156789111213[[#This Row],[Total_Cost_MUSD]]*1000000*Table156789111213[[#This Row],[prob10-failure_rating7]]/10</f>
        <v>7.9514976821499461</v>
      </c>
      <c r="JN11" s="1">
        <f>Table156789111213[[#This Row],[Total_Cost_MUSD]]*1000000*Table156789111213[[#This Row],[prob10-failure_rating8]]/10</f>
        <v>0.17669994849222098</v>
      </c>
      <c r="JO11" s="1">
        <f>Table156789111213[[#This Row],[Total_Cost_MUSD]]*1000000*Table156789111213[[#This Row],[prob10-failure_rating9]]/10</f>
        <v>0.11043746780763812</v>
      </c>
      <c r="JP11" s="1">
        <f>Table156789111213[[#This Row],[FailureCost_Rating1]]</f>
        <v>3938.9363518057598</v>
      </c>
      <c r="JQ11" s="1">
        <f>Table156789111213[[#This Row],[FailureCost_Rating2]]</f>
        <v>3938.9363518057598</v>
      </c>
      <c r="JR11" s="1">
        <f>(Table156789111213[[#This Row],[failurecost500_rating2]]+Table156789111213[[#This Row],[failurecost100_rating2]]+Table156789111213[[#This Row],[failurecost50_rating2]]+Table156789111213[[#This Row],[failurecost10_rating2]])</f>
        <v>3938.9363518057598</v>
      </c>
      <c r="JS11" s="1">
        <f>(Table156789111213[[#This Row],[failurecost500_rating3]]+Table156789111213[[#This Row],[failurecost100_rating3]]+Table156789111213[[#This Row],[failurecost50_rating3]]+Table156789111213[[#This Row],[failurecost10_rating3]])</f>
        <v>866.56599739726721</v>
      </c>
      <c r="JT11" s="1">
        <f>(Table156789111213[[#This Row],[failurecost500_rating4]]+Table156789111213[[#This Row],[failurecost100_rating4]]+Table156789111213[[#This Row],[failurecost50_rating4]]+Table156789111213[[#This Row],[failurecost10_rating4]])</f>
        <v>315.1149081444608</v>
      </c>
      <c r="JU11" s="1">
        <f>(Table156789111213[[#This Row],[failurecost500_rating5]]+Table156789111213[[#This Row],[failurecost100_rating5]]+Table156789111213[[#This Row],[failurecost50_rating5]]+Table156789111213[[#This Row],[failurecost10_rating5]])</f>
        <v>55.145108925280638</v>
      </c>
      <c r="JV11" s="1">
        <f>(Table156789111213[[#This Row],[failurecost500_rating6]]+Table156789111213[[#This Row],[failurecost100_rating6]]+Table156789111213[[#This Row],[failurecost50_rating6]]+Table156789111213[[#This Row],[failurecost10_rating6]])</f>
        <v>14.180170866500738</v>
      </c>
      <c r="JW11" s="1">
        <f>(Table156789111213[[#This Row],[failurecost500_rating7]]+Table156789111213[[#This Row],[failurecost100_rating7]]+Table156789111213[[#This Row],[failurecost50_rating7]]+Table156789111213[[#This Row],[failurecost10_rating7]])</f>
        <v>14.180170866500738</v>
      </c>
      <c r="JX11" s="1">
        <f>(Table156789111213[[#This Row],[failurecost500_rating8]]+Table156789111213[[#This Row],[failurecost100_rating8]]+Table156789111213[[#This Row],[failurecost50_rating8]]+Table156789111213[[#This Row],[failurecost10_rating8]])</f>
        <v>0.31511490814446075</v>
      </c>
      <c r="JY11" s="1">
        <f>(Table156789111213[[#This Row],[failurecost500_rating9]]+Table156789111213[[#This Row],[failurecost100_rating9]]+Table156789111213[[#This Row],[failurecost50_rating9]]+Table156789111213[[#This Row],[failurecost10_rating9]])</f>
        <v>0.19694681759028798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Table156789111213[[#This Row],[Depth10_Soil_vol]]*(9.353+9.027)+(Table156789111213[[#This Row],[Depth10_Soil_vol]]/2.5)*20*1.053+(PI()*Table156789111213[[#This Row],[Depth10_Scour]])*Table156789111213[[#This Row],[DECK_WIDTH_MT_052]]*1.062</f>
        <v>6737.4062355001524</v>
      </c>
      <c r="AR12" s="1">
        <f>Table156789111213[[#This Row],[Depth50_Soil_vol]]*(9.353+9.027)+(Table156789111213[[#This Row],[Depth50_Soil_vol]]/2.5)*20*1.053+(PI()*Table156789111213[[#This Row],[Depth50_Scour]])*Table156789111213[[#This Row],[DECK_WIDTH_MT_052]]*1.062</f>
        <v>7415.8873465101096</v>
      </c>
      <c r="AS12" s="1">
        <f>Table156789111213[[#This Row],[Depth100_Soil_vol]]*(9.353+9.027)+(Table156789111213[[#This Row],[Depth100_Soil_vol]]/2.5)*20*1.053+(PI()*Table156789111213[[#This Row],[Depth100_Scour]])*Table156789111213[[#This Row],[DECK_WIDTH_MT_052]]*1.062</f>
        <v>7705.9386938101106</v>
      </c>
      <c r="AT12" s="1">
        <f>Table156789111213[[#This Row],[Depth500_Soil_vol]]*(9.353+9.027)+(Table156789111213[[#This Row],[Depth500_Soil_vol]]/2.5)*20*1.053+(PI()*Table156789111213[[#This Row],[Depth500_Scour]])*Table156789111213[[#This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12" s="1">
        <v>22.353679682216395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19869.93749530346</v>
      </c>
      <c r="GM12" s="1">
        <f>Sheet4!R42*$GF12*1000000</f>
        <v>11176.839841108198</v>
      </c>
      <c r="GN12" s="1">
        <f>Sheet4!S42*$GF12*1000000</f>
        <v>7153.1774983092455</v>
      </c>
      <c r="GO12" s="1">
        <f>Sheet4!T42*$GF12*1000000</f>
        <v>4967.4843738258651</v>
      </c>
      <c r="GP12" s="1">
        <f>Sheet4!U42*$GF12*1000000</f>
        <v>3649.5803562802271</v>
      </c>
      <c r="GQ12" s="1">
        <f>Sheet4!V42*$GF12*1000000</f>
        <v>2794.2099602770495</v>
      </c>
      <c r="GR12" s="1">
        <f>Sheet4!W42*$GF12*1000000</f>
        <v>2207.7708328114954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0.01</v>
      </c>
      <c r="HF12" s="1">
        <v>1.25E-3</v>
      </c>
      <c r="HG12" s="1">
        <v>2.7500000000000002E-4</v>
      </c>
      <c r="HH12" s="1">
        <v>1E-4</v>
      </c>
      <c r="HI12" s="1">
        <v>1.7499999999999998E-5</v>
      </c>
      <c r="HJ12" s="1">
        <v>4.5000000000000001E-6</v>
      </c>
      <c r="HK12" s="1">
        <v>4.5000000000000001E-6</v>
      </c>
      <c r="HL12" s="1">
        <v>9.9999999999999995E-8</v>
      </c>
      <c r="HM12" s="1">
        <v>6.2499999999999997E-8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Table156789111213[[#This Row],[Total_Cost_MUSD]]*1000000*Table156789111213[[#This Row],[prob500-failure_rating1]]/500</f>
        <v>447.0735936443279</v>
      </c>
      <c r="IG12" s="1">
        <f>Table156789111213[[#This Row],[Total_Cost_MUSD]]*1000000*Table156789111213[[#This Row],[prob500-failure_rating2]]/500</f>
        <v>223.53679682216395</v>
      </c>
      <c r="IH12" s="1">
        <f>Table156789111213[[#This Row],[Total_Cost_MUSD]]*1000000*Table156789111213[[#This Row],[prob500-failure_rating3]]/500</f>
        <v>49.178095300876073</v>
      </c>
      <c r="II12" s="1">
        <f>Table156789111213[[#This Row],[Total_Cost_MUSD]]*1000000*Table156789111213[[#This Row],[prob500-failure_rating4]]/500</f>
        <v>17.882943745773119</v>
      </c>
      <c r="IJ12" s="1">
        <f>Table156789111213[[#This Row],[Total_Cost_MUSD]]*1000000*Table156789111213[[#This Row],[prob500-failure_rating5]]/500</f>
        <v>3.1295151555102949</v>
      </c>
      <c r="IK12" s="1">
        <f>Table156789111213[[#This Row],[Total_Cost_MUSD]]*1000000*Table156789111213[[#This Row],[prob500-failure_rating6]]/500</f>
        <v>0.8047324685597903</v>
      </c>
      <c r="IL12" s="1">
        <f>Table156789111213[[#This Row],[Total_Cost_MUSD]]*1000000*Table156789111213[[#This Row],[prob500-failure_rating7]]/500</f>
        <v>0.8047324685597903</v>
      </c>
      <c r="IM12" s="1">
        <f>Table156789111213[[#This Row],[Total_Cost_MUSD]]*1000000*Table156789111213[[#This Row],[prob500-failure_rating8]]/500</f>
        <v>1.7882943745773115E-2</v>
      </c>
      <c r="IN12" s="1">
        <f>Table156789111213[[#This Row],[Total_Cost_MUSD]]*1000000*Table156789111213[[#This Row],[prob500-failure_rating9]]/500</f>
        <v>1.1176839841108198E-2</v>
      </c>
      <c r="IO12" s="1">
        <f>Table156789111213[[#This Row],[Total_Cost_MUSD]]*1000000*Table156789111213[[#This Row],[prob100-failure_rating1]]/100</f>
        <v>2235.3679682216393</v>
      </c>
      <c r="IP12" s="1">
        <f>Table156789111213[[#This Row],[Total_Cost_MUSD]]*1000000*Table156789111213[[#This Row],[prob100-failure_rating2]]/100</f>
        <v>279.42099602770492</v>
      </c>
      <c r="IQ12" s="1">
        <f>Table156789111213[[#This Row],[Total_Cost_MUSD]]*1000000*Table156789111213[[#This Row],[prob100-failure_rating3]]/100</f>
        <v>61.47261912609509</v>
      </c>
      <c r="IR12" s="1">
        <f>Table156789111213[[#This Row],[Total_Cost_MUSD]]*1000000*Table156789111213[[#This Row],[prob100-failure_rating4]]/100</f>
        <v>22.353679682216399</v>
      </c>
      <c r="IS12" s="1">
        <f>Table156789111213[[#This Row],[Total_Cost_MUSD]]*1000000*Table156789111213[[#This Row],[prob100-failure_rating5]]/100</f>
        <v>3.9118939443878684</v>
      </c>
      <c r="IT12" s="1">
        <f>Table156789111213[[#This Row],[Total_Cost_MUSD]]*1000000*Table156789111213[[#This Row],[prob100-failure_rating6]]/100</f>
        <v>1.0059155856997379</v>
      </c>
      <c r="IU12" s="1">
        <f>Table156789111213[[#This Row],[Total_Cost_MUSD]]*1000000*Table156789111213[[#This Row],[prob100-failure_rating7]]/100</f>
        <v>1.0059155856997379</v>
      </c>
      <c r="IV12" s="1">
        <f>Table156789111213[[#This Row],[Total_Cost_MUSD]]*1000000*Table156789111213[[#This Row],[prob100-failure_rating8]]/100</f>
        <v>2.2353679682216396E-2</v>
      </c>
      <c r="IW12" s="1">
        <f>Table156789111213[[#This Row],[Total_Cost_MUSD]]*1000000*Table156789111213[[#This Row],[prob100-failure_rating9]]/100</f>
        <v>1.3971049801385247E-2</v>
      </c>
      <c r="IX12" s="1">
        <f>Table156789111213[[#This Row],[Total_Cost_MUSD]]*1000000*Table156789111213[[#This Row],[prob50-failure_rating1]]/50</f>
        <v>4470.7359364432787</v>
      </c>
      <c r="IY12" s="1">
        <f>Table156789111213[[#This Row],[Total_Cost_MUSD]]*1000000*Table156789111213[[#This Row],[prob50-failure_rating2]]/50</f>
        <v>372.56132803693998</v>
      </c>
      <c r="IZ12" s="1">
        <f>Table156789111213[[#This Row],[Total_Cost_MUSD]]*1000000*Table156789111213[[#This Row],[prob50-failure_rating3]]/50</f>
        <v>81.963492168126777</v>
      </c>
      <c r="JA12" s="1">
        <f>Table156789111213[[#This Row],[Total_Cost_MUSD]]*1000000*Table156789111213[[#This Row],[prob50-failure_rating4]]/50</f>
        <v>29.804906242955195</v>
      </c>
      <c r="JB12" s="1">
        <f>Table156789111213[[#This Row],[Total_Cost_MUSD]]*1000000*Table156789111213[[#This Row],[prob50-failure_rating5]]/50</f>
        <v>5.2158585925171588</v>
      </c>
      <c r="JC12" s="1">
        <f>Table156789111213[[#This Row],[Total_Cost_MUSD]]*1000000*Table156789111213[[#This Row],[prob50-failure_rating6]]/50</f>
        <v>1.3412207809329837</v>
      </c>
      <c r="JD12" s="1">
        <f>Table156789111213[[#This Row],[Total_Cost_MUSD]]*1000000*Table156789111213[[#This Row],[prob50-failure_rating7]]/50</f>
        <v>1.3412207809329837</v>
      </c>
      <c r="JE12" s="1">
        <f>Table156789111213[[#This Row],[Total_Cost_MUSD]]*1000000*Table156789111213[[#This Row],[prob50-failure_rating8]]/50</f>
        <v>2.9804906242955193E-2</v>
      </c>
      <c r="JF12" s="1">
        <f>Table156789111213[[#This Row],[Total_Cost_MUSD]]*1000000*Table156789111213[[#This Row],[prob50-failure_rating9]]/50</f>
        <v>1.8628066401846995E-2</v>
      </c>
      <c r="JG12" s="1">
        <f>Table156789111213[[#This Row],[Total_Cost_MUSD]]*1000000*Table156789111213[[#This Row],[prob10-failure_rating1]]/10</f>
        <v>22353.679682216396</v>
      </c>
      <c r="JH12" s="1">
        <f>Table156789111213[[#This Row],[Total_Cost_MUSD]]*1000000*Table156789111213[[#This Row],[prob10-failure_rating2]]/10</f>
        <v>1117.6839841108199</v>
      </c>
      <c r="JI12" s="1">
        <f>Table156789111213[[#This Row],[Total_Cost_MUSD]]*1000000*Table156789111213[[#This Row],[prob10-failure_rating3]]/10</f>
        <v>245.89047650438033</v>
      </c>
      <c r="JJ12" s="1">
        <f>Table156789111213[[#This Row],[Total_Cost_MUSD]]*1000000*Table156789111213[[#This Row],[prob10-failure_rating4]]/10</f>
        <v>89.414718728865594</v>
      </c>
      <c r="JK12" s="1">
        <f>Table156789111213[[#This Row],[Total_Cost_MUSD]]*1000000*Table156789111213[[#This Row],[prob10-failure_rating5]]/10</f>
        <v>15.647575777551475</v>
      </c>
      <c r="JL12" s="1">
        <f>Table156789111213[[#This Row],[Total_Cost_MUSD]]*1000000*Table156789111213[[#This Row],[prob10-failure_rating6]]/10</f>
        <v>4.0236623427989517</v>
      </c>
      <c r="JM12" s="1">
        <f>Table156789111213[[#This Row],[Total_Cost_MUSD]]*1000000*Table156789111213[[#This Row],[prob10-failure_rating7]]/10</f>
        <v>4.0236623427989517</v>
      </c>
      <c r="JN12" s="1">
        <f>Table156789111213[[#This Row],[Total_Cost_MUSD]]*1000000*Table156789111213[[#This Row],[prob10-failure_rating8]]/10</f>
        <v>8.9414718728865583E-2</v>
      </c>
      <c r="JO12" s="1">
        <f>Table156789111213[[#This Row],[Total_Cost_MUSD]]*1000000*Table156789111213[[#This Row],[prob10-failure_rating9]]/10</f>
        <v>5.5884199205540983E-2</v>
      </c>
      <c r="JP12" s="1">
        <f>Table156789111213[[#This Row],[FailureCost_Rating1]]</f>
        <v>1993.2031049976288</v>
      </c>
      <c r="JQ12" s="1">
        <f>Table156789111213[[#This Row],[FailureCost_Rating2]]</f>
        <v>1993.2031049976288</v>
      </c>
      <c r="JR12" s="1">
        <f>(Table156789111213[[#This Row],[failurecost500_rating2]]+Table156789111213[[#This Row],[failurecost100_rating2]]+Table156789111213[[#This Row],[failurecost50_rating2]]+Table156789111213[[#This Row],[failurecost10_rating2]])</f>
        <v>1993.2031049976288</v>
      </c>
      <c r="JS12" s="1">
        <f>(Table156789111213[[#This Row],[failurecost500_rating3]]+Table156789111213[[#This Row],[failurecost100_rating3]]+Table156789111213[[#This Row],[failurecost50_rating3]]+Table156789111213[[#This Row],[failurecost10_rating3]])</f>
        <v>438.50468309947826</v>
      </c>
      <c r="JT12" s="1">
        <f>(Table156789111213[[#This Row],[failurecost500_rating4]]+Table156789111213[[#This Row],[failurecost100_rating4]]+Table156789111213[[#This Row],[failurecost50_rating4]]+Table156789111213[[#This Row],[failurecost10_rating4]])</f>
        <v>159.45624839981031</v>
      </c>
      <c r="JU12" s="1">
        <f>(Table156789111213[[#This Row],[failurecost500_rating5]]+Table156789111213[[#This Row],[failurecost100_rating5]]+Table156789111213[[#This Row],[failurecost50_rating5]]+Table156789111213[[#This Row],[failurecost10_rating5]])</f>
        <v>27.904843469966799</v>
      </c>
      <c r="JV12" s="1">
        <f>(Table156789111213[[#This Row],[failurecost500_rating6]]+Table156789111213[[#This Row],[failurecost100_rating6]]+Table156789111213[[#This Row],[failurecost50_rating6]]+Table156789111213[[#This Row],[failurecost10_rating6]])</f>
        <v>7.1755311779914637</v>
      </c>
      <c r="JW12" s="1">
        <f>(Table156789111213[[#This Row],[failurecost500_rating7]]+Table156789111213[[#This Row],[failurecost100_rating7]]+Table156789111213[[#This Row],[failurecost50_rating7]]+Table156789111213[[#This Row],[failurecost10_rating7]])</f>
        <v>7.1755311779914637</v>
      </c>
      <c r="JX12" s="1">
        <f>(Table156789111213[[#This Row],[failurecost500_rating8]]+Table156789111213[[#This Row],[failurecost100_rating8]]+Table156789111213[[#This Row],[failurecost50_rating8]]+Table156789111213[[#This Row],[failurecost10_rating8]])</f>
        <v>0.15945624839981029</v>
      </c>
      <c r="JY12" s="1">
        <f>(Table156789111213[[#This Row],[failurecost500_rating9]]+Table156789111213[[#This Row],[failurecost100_rating9]]+Table156789111213[[#This Row],[failurecost50_rating9]]+Table156789111213[[#This Row],[failurecost10_rating9]])</f>
        <v>9.9660155249881421E-2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Table156789111213[[#This Row],[Depth10_Soil_vol]]*(9.353+9.027)+(Table156789111213[[#This Row],[Depth10_Soil_vol]]/2.5)*20*1.053+(PI()*Table156789111213[[#This Row],[Depth10_Scour]])*Table156789111213[[#This Row],[DECK_WIDTH_MT_052]]*1.062</f>
        <v>6992.666213599131</v>
      </c>
      <c r="AR13" s="1">
        <f>Table156789111213[[#This Row],[Depth50_Soil_vol]]*(9.353+9.027)+(Table156789111213[[#This Row],[Depth50_Soil_vol]]/2.5)*20*1.053+(PI()*Table156789111213[[#This Row],[Depth50_Scour]])*Table156789111213[[#This Row],[DECK_WIDTH_MT_052]]*1.062</f>
        <v>8975.9969727162606</v>
      </c>
      <c r="AS13" s="1">
        <f>Table156789111213[[#This Row],[Depth100_Soil_vol]]*(9.353+9.027)+(Table156789111213[[#This Row],[Depth100_Soil_vol]]/2.5)*20*1.053+(PI()*Table156789111213[[#This Row],[Depth100_Scour]])*Table156789111213[[#This Row],[DECK_WIDTH_MT_052]]*1.062</f>
        <v>9724.0394899581861</v>
      </c>
      <c r="AT13" s="1">
        <f>Table156789111213[[#This Row],[Depth500_Soil_vol]]*(9.353+9.027)+(Table156789111213[[#This Row],[Depth500_Soil_vol]]/2.5)*20*1.053+(PI()*Table156789111213[[#This Row],[Depth500_Scour]])*Table156789111213[[#This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</v>
      </c>
      <c r="GF13" s="1">
        <v>32.231002120527442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28649.779662691057</v>
      </c>
      <c r="GM13" s="1">
        <f>Sheet4!R43*$GF13*1000000</f>
        <v>16115.501060263721</v>
      </c>
      <c r="GN13" s="1">
        <f>Sheet4!S43*$GF13*1000000</f>
        <v>10313.920678568784</v>
      </c>
      <c r="GO13" s="1">
        <f>Sheet4!T43*$GF13*1000000</f>
        <v>7162.4449156727642</v>
      </c>
      <c r="GP13" s="1">
        <f>Sheet4!U43*$GF13*1000000</f>
        <v>5262.2044278412159</v>
      </c>
      <c r="GQ13" s="1">
        <f>Sheet4!V43*$GF13*1000000</f>
        <v>4028.8752650659303</v>
      </c>
      <c r="GR13" s="1">
        <f>Sheet4!W43*$GF13*1000000</f>
        <v>3183.3088514101169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0.01</v>
      </c>
      <c r="HF13" s="1">
        <v>1.25E-3</v>
      </c>
      <c r="HG13" s="1">
        <v>2.7500000000000002E-4</v>
      </c>
      <c r="HH13" s="1">
        <v>1E-4</v>
      </c>
      <c r="HI13" s="1">
        <v>1.7499999999999998E-5</v>
      </c>
      <c r="HJ13" s="1">
        <v>4.5000000000000001E-6</v>
      </c>
      <c r="HK13" s="1">
        <v>4.5000000000000001E-6</v>
      </c>
      <c r="HL13" s="1">
        <v>9.9999999999999995E-8</v>
      </c>
      <c r="HM13" s="1">
        <v>6.2499999999999997E-8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Table156789111213[[#This Row],[Total_Cost_MUSD]]*1000000*Table156789111213[[#This Row],[prob500-failure_rating1]]/500</f>
        <v>644.62004241054888</v>
      </c>
      <c r="IG13" s="1">
        <f>Table156789111213[[#This Row],[Total_Cost_MUSD]]*1000000*Table156789111213[[#This Row],[prob500-failure_rating2]]/500</f>
        <v>322.31002120527444</v>
      </c>
      <c r="IH13" s="1">
        <f>Table156789111213[[#This Row],[Total_Cost_MUSD]]*1000000*Table156789111213[[#This Row],[prob500-failure_rating3]]/500</f>
        <v>70.908204665160369</v>
      </c>
      <c r="II13" s="1">
        <f>Table156789111213[[#This Row],[Total_Cost_MUSD]]*1000000*Table156789111213[[#This Row],[prob500-failure_rating4]]/500</f>
        <v>25.784801696421958</v>
      </c>
      <c r="IJ13" s="1">
        <f>Table156789111213[[#This Row],[Total_Cost_MUSD]]*1000000*Table156789111213[[#This Row],[prob500-failure_rating5]]/500</f>
        <v>4.512340296873842</v>
      </c>
      <c r="IK13" s="1">
        <f>Table156789111213[[#This Row],[Total_Cost_MUSD]]*1000000*Table156789111213[[#This Row],[prob500-failure_rating6]]/500</f>
        <v>1.1603160763389881</v>
      </c>
      <c r="IL13" s="1">
        <f>Table156789111213[[#This Row],[Total_Cost_MUSD]]*1000000*Table156789111213[[#This Row],[prob500-failure_rating7]]/500</f>
        <v>1.1603160763389881</v>
      </c>
      <c r="IM13" s="1">
        <f>Table156789111213[[#This Row],[Total_Cost_MUSD]]*1000000*Table156789111213[[#This Row],[prob500-failure_rating8]]/500</f>
        <v>2.5784801696421954E-2</v>
      </c>
      <c r="IN13" s="1">
        <f>Table156789111213[[#This Row],[Total_Cost_MUSD]]*1000000*Table156789111213[[#This Row],[prob500-failure_rating9]]/500</f>
        <v>1.6115501060263722E-2</v>
      </c>
      <c r="IO13" s="1">
        <f>Table156789111213[[#This Row],[Total_Cost_MUSD]]*1000000*Table156789111213[[#This Row],[prob100-failure_rating1]]/100</f>
        <v>3223.1002120527446</v>
      </c>
      <c r="IP13" s="1">
        <f>Table156789111213[[#This Row],[Total_Cost_MUSD]]*1000000*Table156789111213[[#This Row],[prob100-failure_rating2]]/100</f>
        <v>402.88752650659308</v>
      </c>
      <c r="IQ13" s="1">
        <f>Table156789111213[[#This Row],[Total_Cost_MUSD]]*1000000*Table156789111213[[#This Row],[prob100-failure_rating3]]/100</f>
        <v>88.635255831450465</v>
      </c>
      <c r="IR13" s="1">
        <f>Table156789111213[[#This Row],[Total_Cost_MUSD]]*1000000*Table156789111213[[#This Row],[prob100-failure_rating4]]/100</f>
        <v>32.23100212052745</v>
      </c>
      <c r="IS13" s="1">
        <f>Table156789111213[[#This Row],[Total_Cost_MUSD]]*1000000*Table156789111213[[#This Row],[prob100-failure_rating5]]/100</f>
        <v>5.6404253710923022</v>
      </c>
      <c r="IT13" s="1">
        <f>Table156789111213[[#This Row],[Total_Cost_MUSD]]*1000000*Table156789111213[[#This Row],[prob100-failure_rating6]]/100</f>
        <v>1.450395095423735</v>
      </c>
      <c r="IU13" s="1">
        <f>Table156789111213[[#This Row],[Total_Cost_MUSD]]*1000000*Table156789111213[[#This Row],[prob100-failure_rating7]]/100</f>
        <v>1.450395095423735</v>
      </c>
      <c r="IV13" s="1">
        <f>Table156789111213[[#This Row],[Total_Cost_MUSD]]*1000000*Table156789111213[[#This Row],[prob100-failure_rating8]]/100</f>
        <v>3.2231002120527444E-2</v>
      </c>
      <c r="IW13" s="1">
        <f>Table156789111213[[#This Row],[Total_Cost_MUSD]]*1000000*Table156789111213[[#This Row],[prob100-failure_rating9]]/100</f>
        <v>2.0144376325329651E-2</v>
      </c>
      <c r="IX13" s="1">
        <f>Table156789111213[[#This Row],[Total_Cost_MUSD]]*1000000*Table156789111213[[#This Row],[prob50-failure_rating1]]/50</f>
        <v>6446.2004241054892</v>
      </c>
      <c r="IY13" s="1">
        <f>Table156789111213[[#This Row],[Total_Cost_MUSD]]*1000000*Table156789111213[[#This Row],[prob50-failure_rating2]]/50</f>
        <v>537.18336867545736</v>
      </c>
      <c r="IZ13" s="1">
        <f>Table156789111213[[#This Row],[Total_Cost_MUSD]]*1000000*Table156789111213[[#This Row],[prob50-failure_rating3]]/50</f>
        <v>118.18034110860063</v>
      </c>
      <c r="JA13" s="1">
        <f>Table156789111213[[#This Row],[Total_Cost_MUSD]]*1000000*Table156789111213[[#This Row],[prob50-failure_rating4]]/50</f>
        <v>42.97466949403659</v>
      </c>
      <c r="JB13" s="1">
        <f>Table156789111213[[#This Row],[Total_Cost_MUSD]]*1000000*Table156789111213[[#This Row],[prob50-failure_rating5]]/50</f>
        <v>7.5205671614564027</v>
      </c>
      <c r="JC13" s="1">
        <f>Table156789111213[[#This Row],[Total_Cost_MUSD]]*1000000*Table156789111213[[#This Row],[prob50-failure_rating6]]/50</f>
        <v>1.9338601272316467</v>
      </c>
      <c r="JD13" s="1">
        <f>Table156789111213[[#This Row],[Total_Cost_MUSD]]*1000000*Table156789111213[[#This Row],[prob50-failure_rating7]]/50</f>
        <v>1.9338601272316467</v>
      </c>
      <c r="JE13" s="1">
        <f>Table156789111213[[#This Row],[Total_Cost_MUSD]]*1000000*Table156789111213[[#This Row],[prob50-failure_rating8]]/50</f>
        <v>4.2974669494036589E-2</v>
      </c>
      <c r="JF13" s="1">
        <f>Table156789111213[[#This Row],[Total_Cost_MUSD]]*1000000*Table156789111213[[#This Row],[prob50-failure_rating9]]/50</f>
        <v>2.6859168433772864E-2</v>
      </c>
      <c r="JG13" s="1">
        <f>Table156789111213[[#This Row],[Total_Cost_MUSD]]*1000000*Table156789111213[[#This Row],[prob10-failure_rating1]]/10</f>
        <v>32231.002120527446</v>
      </c>
      <c r="JH13" s="1">
        <f>Table156789111213[[#This Row],[Total_Cost_MUSD]]*1000000*Table156789111213[[#This Row],[prob10-failure_rating2]]/10</f>
        <v>1611.5501060263721</v>
      </c>
      <c r="JI13" s="1">
        <f>Table156789111213[[#This Row],[Total_Cost_MUSD]]*1000000*Table156789111213[[#This Row],[prob10-failure_rating3]]/10</f>
        <v>354.54102332580186</v>
      </c>
      <c r="JJ13" s="1">
        <f>Table156789111213[[#This Row],[Total_Cost_MUSD]]*1000000*Table156789111213[[#This Row],[prob10-failure_rating4]]/10</f>
        <v>128.92400848210977</v>
      </c>
      <c r="JK13" s="1">
        <f>Table156789111213[[#This Row],[Total_Cost_MUSD]]*1000000*Table156789111213[[#This Row],[prob10-failure_rating5]]/10</f>
        <v>22.561701484369205</v>
      </c>
      <c r="JL13" s="1">
        <f>Table156789111213[[#This Row],[Total_Cost_MUSD]]*1000000*Table156789111213[[#This Row],[prob10-failure_rating6]]/10</f>
        <v>5.8015803816949401</v>
      </c>
      <c r="JM13" s="1">
        <f>Table156789111213[[#This Row],[Total_Cost_MUSD]]*1000000*Table156789111213[[#This Row],[prob10-failure_rating7]]/10</f>
        <v>5.8015803816949401</v>
      </c>
      <c r="JN13" s="1">
        <f>Table156789111213[[#This Row],[Total_Cost_MUSD]]*1000000*Table156789111213[[#This Row],[prob10-failure_rating8]]/10</f>
        <v>0.12892400848210978</v>
      </c>
      <c r="JO13" s="1">
        <f>Table156789111213[[#This Row],[Total_Cost_MUSD]]*1000000*Table156789111213[[#This Row],[prob10-failure_rating9]]/10</f>
        <v>8.0577505301318603E-2</v>
      </c>
      <c r="JP13" s="1">
        <f>Table156789111213[[#This Row],[FailureCost_Rating1]]</f>
        <v>2873.9310224136971</v>
      </c>
      <c r="JQ13" s="1">
        <f>Table156789111213[[#This Row],[FailureCost_Rating2]]</f>
        <v>2873.9310224136971</v>
      </c>
      <c r="JR13" s="1">
        <f>(Table156789111213[[#This Row],[failurecost500_rating2]]+Table156789111213[[#This Row],[failurecost100_rating2]]+Table156789111213[[#This Row],[failurecost50_rating2]]+Table156789111213[[#This Row],[failurecost10_rating2]])</f>
        <v>2873.9310224136971</v>
      </c>
      <c r="JS13" s="1">
        <f>(Table156789111213[[#This Row],[failurecost500_rating3]]+Table156789111213[[#This Row],[failurecost100_rating3]]+Table156789111213[[#This Row],[failurecost50_rating3]]+Table156789111213[[#This Row],[failurecost10_rating3]])</f>
        <v>632.26482493101332</v>
      </c>
      <c r="JT13" s="1">
        <f>(Table156789111213[[#This Row],[failurecost500_rating4]]+Table156789111213[[#This Row],[failurecost100_rating4]]+Table156789111213[[#This Row],[failurecost50_rating4]]+Table156789111213[[#This Row],[failurecost10_rating4]])</f>
        <v>229.91448179309577</v>
      </c>
      <c r="JU13" s="1">
        <f>(Table156789111213[[#This Row],[failurecost500_rating5]]+Table156789111213[[#This Row],[failurecost100_rating5]]+Table156789111213[[#This Row],[failurecost50_rating5]]+Table156789111213[[#This Row],[failurecost10_rating5]])</f>
        <v>40.235034313791751</v>
      </c>
      <c r="JV13" s="1">
        <f>(Table156789111213[[#This Row],[failurecost500_rating6]]+Table156789111213[[#This Row],[failurecost100_rating6]]+Table156789111213[[#This Row],[failurecost50_rating6]]+Table156789111213[[#This Row],[failurecost10_rating6]])</f>
        <v>10.34615168068931</v>
      </c>
      <c r="JW13" s="1">
        <f>(Table156789111213[[#This Row],[failurecost500_rating7]]+Table156789111213[[#This Row],[failurecost100_rating7]]+Table156789111213[[#This Row],[failurecost50_rating7]]+Table156789111213[[#This Row],[failurecost10_rating7]])</f>
        <v>10.34615168068931</v>
      </c>
      <c r="JX13" s="1">
        <f>(Table156789111213[[#This Row],[failurecost500_rating8]]+Table156789111213[[#This Row],[failurecost100_rating8]]+Table156789111213[[#This Row],[failurecost50_rating8]]+Table156789111213[[#This Row],[failurecost10_rating8]])</f>
        <v>0.22991448179309576</v>
      </c>
      <c r="JY13" s="1">
        <f>(Table156789111213[[#This Row],[failurecost500_rating9]]+Table156789111213[[#This Row],[failurecost100_rating9]]+Table156789111213[[#This Row],[failurecost50_rating9]]+Table156789111213[[#This Row],[failurecost10_rating9]])</f>
        <v>0.14369655112068486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Table156789111213[[#This Row],[Depth10_Soil_vol]]*(9.353+9.027)+(Table156789111213[[#This Row],[Depth10_Soil_vol]]/2.5)*20*1.053+(PI()*Table156789111213[[#This Row],[Depth10_Scour]])*Table156789111213[[#This Row],[DECK_WIDTH_MT_052]]*1.062</f>
        <v>13653.389769605932</v>
      </c>
      <c r="AR14" s="1">
        <f>Table156789111213[[#This Row],[Depth50_Soil_vol]]*(9.353+9.027)+(Table156789111213[[#This Row],[Depth50_Soil_vol]]/2.5)*20*1.053+(PI()*Table156789111213[[#This Row],[Depth50_Scour]])*Table156789111213[[#This Row],[DECK_WIDTH_MT_052]]*1.062</f>
        <v>14501.430182908143</v>
      </c>
      <c r="AS14" s="1">
        <f>Table156789111213[[#This Row],[Depth100_Soil_vol]]*(9.353+9.027)+(Table156789111213[[#This Row],[Depth100_Soil_vol]]/2.5)*20*1.053+(PI()*Table156789111213[[#This Row],[Depth100_Scour]])*Table156789111213[[#This Row],[DECK_WIDTH_MT_052]]*1.062</f>
        <v>14880.875971506524</v>
      </c>
      <c r="AT14" s="1">
        <f>Table156789111213[[#This Row],[Depth500_Soil_vol]]*(9.353+9.027)+(Table156789111213[[#This Row],[Depth500_Soil_vol]]/2.5)*20*1.053+(PI()*Table156789111213[[#This Row],[Depth500_Scour]])*Table156789111213[[#This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0.52800000000000002</v>
      </c>
      <c r="GF14" s="1">
        <v>55.527578428952879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49357.84749240255</v>
      </c>
      <c r="GM14" s="1">
        <f>Sheet4!R44*$GF14*1000000</f>
        <v>27763.789214476448</v>
      </c>
      <c r="GN14" s="1">
        <f>Sheet4!S44*$GF14*1000000</f>
        <v>17768.825097264922</v>
      </c>
      <c r="GO14" s="1">
        <f>Sheet4!T44*$GF14*1000000</f>
        <v>12339.461873100638</v>
      </c>
      <c r="GP14" s="1">
        <f>Sheet4!U44*$GF14*1000000</f>
        <v>9065.7270904412853</v>
      </c>
      <c r="GQ14" s="1">
        <f>Sheet4!V44*$GF14*1000000</f>
        <v>6940.9473036191121</v>
      </c>
      <c r="GR14" s="1">
        <f>Sheet4!W44*$GF14*1000000</f>
        <v>5484.2052769336169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0.01</v>
      </c>
      <c r="HF14" s="1">
        <v>1.25E-3</v>
      </c>
      <c r="HG14" s="1">
        <v>2.7500000000000002E-4</v>
      </c>
      <c r="HH14" s="1">
        <v>1E-4</v>
      </c>
      <c r="HI14" s="1">
        <v>1.7499999999999998E-5</v>
      </c>
      <c r="HJ14" s="1">
        <v>4.5000000000000001E-6</v>
      </c>
      <c r="HK14" s="1">
        <v>4.5000000000000001E-6</v>
      </c>
      <c r="HL14" s="1">
        <v>9.9999999999999995E-8</v>
      </c>
      <c r="HM14" s="1">
        <v>6.2499999999999997E-8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Table156789111213[[#This Row],[Total_Cost_MUSD]]*1000000*Table156789111213[[#This Row],[prob500-failure_rating1]]/500</f>
        <v>1110.5515685790576</v>
      </c>
      <c r="IG14" s="1">
        <f>Table156789111213[[#This Row],[Total_Cost_MUSD]]*1000000*Table156789111213[[#This Row],[prob500-failure_rating2]]/500</f>
        <v>555.27578428952881</v>
      </c>
      <c r="IH14" s="1">
        <f>Table156789111213[[#This Row],[Total_Cost_MUSD]]*1000000*Table156789111213[[#This Row],[prob500-failure_rating3]]/500</f>
        <v>122.16067254369635</v>
      </c>
      <c r="II14" s="1">
        <f>Table156789111213[[#This Row],[Total_Cost_MUSD]]*1000000*Table156789111213[[#This Row],[prob500-failure_rating4]]/500</f>
        <v>44.422062743162307</v>
      </c>
      <c r="IJ14" s="1">
        <f>Table156789111213[[#This Row],[Total_Cost_MUSD]]*1000000*Table156789111213[[#This Row],[prob500-failure_rating5]]/500</f>
        <v>7.773860980053402</v>
      </c>
      <c r="IK14" s="1">
        <f>Table156789111213[[#This Row],[Total_Cost_MUSD]]*1000000*Table156789111213[[#This Row],[prob500-failure_rating6]]/500</f>
        <v>1.9989928234423038</v>
      </c>
      <c r="IL14" s="1">
        <f>Table156789111213[[#This Row],[Total_Cost_MUSD]]*1000000*Table156789111213[[#This Row],[prob500-failure_rating7]]/500</f>
        <v>1.9989928234423038</v>
      </c>
      <c r="IM14" s="1">
        <f>Table156789111213[[#This Row],[Total_Cost_MUSD]]*1000000*Table156789111213[[#This Row],[prob500-failure_rating8]]/500</f>
        <v>4.4422062743162301E-2</v>
      </c>
      <c r="IN14" s="1">
        <f>Table156789111213[[#This Row],[Total_Cost_MUSD]]*1000000*Table156789111213[[#This Row],[prob500-failure_rating9]]/500</f>
        <v>2.7763789214476441E-2</v>
      </c>
      <c r="IO14" s="1">
        <f>Table156789111213[[#This Row],[Total_Cost_MUSD]]*1000000*Table156789111213[[#This Row],[prob100-failure_rating1]]/100</f>
        <v>5552.7578428952884</v>
      </c>
      <c r="IP14" s="1">
        <f>Table156789111213[[#This Row],[Total_Cost_MUSD]]*1000000*Table156789111213[[#This Row],[prob100-failure_rating2]]/100</f>
        <v>694.09473036191105</v>
      </c>
      <c r="IQ14" s="1">
        <f>Table156789111213[[#This Row],[Total_Cost_MUSD]]*1000000*Table156789111213[[#This Row],[prob100-failure_rating3]]/100</f>
        <v>152.70084067962043</v>
      </c>
      <c r="IR14" s="1">
        <f>Table156789111213[[#This Row],[Total_Cost_MUSD]]*1000000*Table156789111213[[#This Row],[prob100-failure_rating4]]/100</f>
        <v>55.527578428952886</v>
      </c>
      <c r="IS14" s="1">
        <f>Table156789111213[[#This Row],[Total_Cost_MUSD]]*1000000*Table156789111213[[#This Row],[prob100-failure_rating5]]/100</f>
        <v>9.7173262250667527</v>
      </c>
      <c r="IT14" s="1">
        <f>Table156789111213[[#This Row],[Total_Cost_MUSD]]*1000000*Table156789111213[[#This Row],[prob100-failure_rating6]]/100</f>
        <v>2.4987410293028796</v>
      </c>
      <c r="IU14" s="1">
        <f>Table156789111213[[#This Row],[Total_Cost_MUSD]]*1000000*Table156789111213[[#This Row],[prob100-failure_rating7]]/100</f>
        <v>2.4987410293028796</v>
      </c>
      <c r="IV14" s="1">
        <f>Table156789111213[[#This Row],[Total_Cost_MUSD]]*1000000*Table156789111213[[#This Row],[prob100-failure_rating8]]/100</f>
        <v>5.5527578428952874E-2</v>
      </c>
      <c r="IW14" s="1">
        <f>Table156789111213[[#This Row],[Total_Cost_MUSD]]*1000000*Table156789111213[[#This Row],[prob100-failure_rating9]]/100</f>
        <v>3.4704736518095552E-2</v>
      </c>
      <c r="IX14" s="1">
        <f>Table156789111213[[#This Row],[Total_Cost_MUSD]]*1000000*Table156789111213[[#This Row],[prob50-failure_rating1]]/50</f>
        <v>11105.515685790577</v>
      </c>
      <c r="IY14" s="1">
        <f>Table156789111213[[#This Row],[Total_Cost_MUSD]]*1000000*Table156789111213[[#This Row],[prob50-failure_rating2]]/50</f>
        <v>925.45964048254814</v>
      </c>
      <c r="IZ14" s="1">
        <f>Table156789111213[[#This Row],[Total_Cost_MUSD]]*1000000*Table156789111213[[#This Row],[prob50-failure_rating3]]/50</f>
        <v>203.60112090616059</v>
      </c>
      <c r="JA14" s="1">
        <f>Table156789111213[[#This Row],[Total_Cost_MUSD]]*1000000*Table156789111213[[#This Row],[prob50-failure_rating4]]/50</f>
        <v>74.036771238603848</v>
      </c>
      <c r="JB14" s="1">
        <f>Table156789111213[[#This Row],[Total_Cost_MUSD]]*1000000*Table156789111213[[#This Row],[prob50-failure_rating5]]/50</f>
        <v>12.956434966755671</v>
      </c>
      <c r="JC14" s="1">
        <f>Table156789111213[[#This Row],[Total_Cost_MUSD]]*1000000*Table156789111213[[#This Row],[prob50-failure_rating6]]/50</f>
        <v>3.331654705737173</v>
      </c>
      <c r="JD14" s="1">
        <f>Table156789111213[[#This Row],[Total_Cost_MUSD]]*1000000*Table156789111213[[#This Row],[prob50-failure_rating7]]/50</f>
        <v>3.331654705737173</v>
      </c>
      <c r="JE14" s="1">
        <f>Table156789111213[[#This Row],[Total_Cost_MUSD]]*1000000*Table156789111213[[#This Row],[prob50-failure_rating8]]/50</f>
        <v>7.4036771238603846E-2</v>
      </c>
      <c r="JF14" s="1">
        <f>Table156789111213[[#This Row],[Total_Cost_MUSD]]*1000000*Table156789111213[[#This Row],[prob50-failure_rating9]]/50</f>
        <v>4.6272982024127399E-2</v>
      </c>
      <c r="JG14" s="1">
        <f>Table156789111213[[#This Row],[Total_Cost_MUSD]]*1000000*Table156789111213[[#This Row],[prob10-failure_rating1]]/10</f>
        <v>55527.578428952882</v>
      </c>
      <c r="JH14" s="1">
        <f>Table156789111213[[#This Row],[Total_Cost_MUSD]]*1000000*Table156789111213[[#This Row],[prob10-failure_rating2]]/10</f>
        <v>2776.3789214476442</v>
      </c>
      <c r="JI14" s="1">
        <f>Table156789111213[[#This Row],[Total_Cost_MUSD]]*1000000*Table156789111213[[#This Row],[prob10-failure_rating3]]/10</f>
        <v>610.80336271848171</v>
      </c>
      <c r="JJ14" s="1">
        <f>Table156789111213[[#This Row],[Total_Cost_MUSD]]*1000000*Table156789111213[[#This Row],[prob10-failure_rating4]]/10</f>
        <v>222.11031371581151</v>
      </c>
      <c r="JK14" s="1">
        <f>Table156789111213[[#This Row],[Total_Cost_MUSD]]*1000000*Table156789111213[[#This Row],[prob10-failure_rating5]]/10</f>
        <v>38.869304900267011</v>
      </c>
      <c r="JL14" s="1">
        <f>Table156789111213[[#This Row],[Total_Cost_MUSD]]*1000000*Table156789111213[[#This Row],[prob10-failure_rating6]]/10</f>
        <v>9.99496411721152</v>
      </c>
      <c r="JM14" s="1">
        <f>Table156789111213[[#This Row],[Total_Cost_MUSD]]*1000000*Table156789111213[[#This Row],[prob10-failure_rating7]]/10</f>
        <v>9.99496411721152</v>
      </c>
      <c r="JN14" s="1">
        <f>Table156789111213[[#This Row],[Total_Cost_MUSD]]*1000000*Table156789111213[[#This Row],[prob10-failure_rating8]]/10</f>
        <v>0.22211031371581152</v>
      </c>
      <c r="JO14" s="1">
        <f>Table156789111213[[#This Row],[Total_Cost_MUSD]]*1000000*Table156789111213[[#This Row],[prob10-failure_rating9]]/10</f>
        <v>0.13881894607238218</v>
      </c>
      <c r="JP14" s="1">
        <f>Table156789111213[[#This Row],[FailureCost_Rating1]]</f>
        <v>4951.209076581632</v>
      </c>
      <c r="JQ14" s="1">
        <f>Table156789111213[[#This Row],[FailureCost_Rating2]]</f>
        <v>4951.209076581632</v>
      </c>
      <c r="JR14" s="1">
        <f>(Table156789111213[[#This Row],[failurecost500_rating2]]+Table156789111213[[#This Row],[failurecost100_rating2]]+Table156789111213[[#This Row],[failurecost50_rating2]]+Table156789111213[[#This Row],[failurecost10_rating2]])</f>
        <v>4951.209076581632</v>
      </c>
      <c r="JS14" s="1">
        <f>(Table156789111213[[#This Row],[failurecost500_rating3]]+Table156789111213[[#This Row],[failurecost100_rating3]]+Table156789111213[[#This Row],[failurecost50_rating3]]+Table156789111213[[#This Row],[failurecost10_rating3]])</f>
        <v>1089.2659968479591</v>
      </c>
      <c r="JT14" s="1">
        <f>(Table156789111213[[#This Row],[failurecost500_rating4]]+Table156789111213[[#This Row],[failurecost100_rating4]]+Table156789111213[[#This Row],[failurecost50_rating4]]+Table156789111213[[#This Row],[failurecost10_rating4]])</f>
        <v>396.09672612653054</v>
      </c>
      <c r="JU14" s="1">
        <f>(Table156789111213[[#This Row],[failurecost500_rating5]]+Table156789111213[[#This Row],[failurecost100_rating5]]+Table156789111213[[#This Row],[failurecost50_rating5]]+Table156789111213[[#This Row],[failurecost10_rating5]])</f>
        <v>69.316927072142846</v>
      </c>
      <c r="JV14" s="1">
        <f>(Table156789111213[[#This Row],[failurecost500_rating6]]+Table156789111213[[#This Row],[failurecost100_rating6]]+Table156789111213[[#This Row],[failurecost50_rating6]]+Table156789111213[[#This Row],[failurecost10_rating6]])</f>
        <v>17.824352675693877</v>
      </c>
      <c r="JW14" s="1">
        <f>(Table156789111213[[#This Row],[failurecost500_rating7]]+Table156789111213[[#This Row],[failurecost100_rating7]]+Table156789111213[[#This Row],[failurecost50_rating7]]+Table156789111213[[#This Row],[failurecost10_rating7]])</f>
        <v>17.824352675693877</v>
      </c>
      <c r="JX14" s="1">
        <f>(Table156789111213[[#This Row],[failurecost500_rating8]]+Table156789111213[[#This Row],[failurecost100_rating8]]+Table156789111213[[#This Row],[failurecost50_rating8]]+Table156789111213[[#This Row],[failurecost10_rating8]])</f>
        <v>0.39609672612653057</v>
      </c>
      <c r="JY14" s="1">
        <f>(Table156789111213[[#This Row],[failurecost500_rating9]]+Table156789111213[[#This Row],[failurecost100_rating9]]+Table156789111213[[#This Row],[failurecost50_rating9]]+Table156789111213[[#This Row],[failurecost10_rating9]])</f>
        <v>0.24756045382908157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Table156789111213[[#This Row],[Depth10_Soil_vol]]*(9.353+9.027)+(Table156789111213[[#This Row],[Depth10_Soil_vol]]/2.5)*20*1.053+(PI()*Table156789111213[[#This Row],[Depth10_Scour]])*Table156789111213[[#This Row],[DECK_WIDTH_MT_052]]*1.062</f>
        <v>9589.4503766877388</v>
      </c>
      <c r="AR15" s="1">
        <f>Table156789111213[[#This Row],[Depth50_Soil_vol]]*(9.353+9.027)+(Table156789111213[[#This Row],[Depth50_Soil_vol]]/2.5)*20*1.053+(PI()*Table156789111213[[#This Row],[Depth50_Scour]])*Table156789111213[[#This Row],[DECK_WIDTH_MT_052]]*1.062</f>
        <v>10089.839206196759</v>
      </c>
      <c r="AS15" s="1">
        <f>Table156789111213[[#This Row],[Depth100_Soil_vol]]*(9.353+9.027)+(Table156789111213[[#This Row],[Depth100_Soil_vol]]/2.5)*20*1.053+(PI()*Table156789111213[[#This Row],[Depth100_Scour]])*Table156789111213[[#This Row],[DECK_WIDTH_MT_052]]*1.062</f>
        <v>10312.30726316059</v>
      </c>
      <c r="AT15" s="1">
        <f>Table156789111213[[#This Row],[Depth500_Soil_vol]]*(9.353+9.027)+(Table156789111213[[#This Row],[Depth500_Soil_vol]]/2.5)*20*1.053+(PI()*Table156789111213[[#This Row],[Depth500_Scour]])*Table156789111213[[#This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0.66</v>
      </c>
      <c r="GF15" s="1">
        <v>45.112616210192506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40100.103297948903</v>
      </c>
      <c r="GM15" s="1">
        <f>Sheet4!R45*$GF15*1000000</f>
        <v>22556.30810509625</v>
      </c>
      <c r="GN15" s="1">
        <f>Sheet4!S45*$GF15*1000000</f>
        <v>14436.037187261603</v>
      </c>
      <c r="GO15" s="1">
        <f>Sheet4!T45*$GF15*1000000</f>
        <v>10025.025824487226</v>
      </c>
      <c r="GP15" s="1">
        <f>Sheet4!U45*$GF15*1000000</f>
        <v>7365.3250955416333</v>
      </c>
      <c r="GQ15" s="1">
        <f>Sheet4!V45*$GF15*1000000</f>
        <v>5639.0770262740625</v>
      </c>
      <c r="GR15" s="1">
        <f>Sheet4!W45*$GF15*1000000</f>
        <v>4455.5670331054325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0.01</v>
      </c>
      <c r="HF15" s="1">
        <v>1.25E-3</v>
      </c>
      <c r="HG15" s="1">
        <v>2.7500000000000002E-4</v>
      </c>
      <c r="HH15" s="1">
        <v>1E-4</v>
      </c>
      <c r="HI15" s="1">
        <v>1.7499999999999998E-5</v>
      </c>
      <c r="HJ15" s="1">
        <v>4.5000000000000001E-6</v>
      </c>
      <c r="HK15" s="1">
        <v>4.5000000000000001E-6</v>
      </c>
      <c r="HL15" s="1">
        <v>9.9999999999999995E-8</v>
      </c>
      <c r="HM15" s="1">
        <v>6.2499999999999997E-8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Table156789111213[[#This Row],[Total_Cost_MUSD]]*1000000*Table156789111213[[#This Row],[prob500-failure_rating1]]/500</f>
        <v>902.25232420385021</v>
      </c>
      <c r="IG15" s="1">
        <f>Table156789111213[[#This Row],[Total_Cost_MUSD]]*1000000*Table156789111213[[#This Row],[prob500-failure_rating2]]/500</f>
        <v>451.1261621019251</v>
      </c>
      <c r="IH15" s="1">
        <f>Table156789111213[[#This Row],[Total_Cost_MUSD]]*1000000*Table156789111213[[#This Row],[prob500-failure_rating3]]/500</f>
        <v>99.247755662423529</v>
      </c>
      <c r="II15" s="1">
        <f>Table156789111213[[#This Row],[Total_Cost_MUSD]]*1000000*Table156789111213[[#This Row],[prob500-failure_rating4]]/500</f>
        <v>36.090092968154011</v>
      </c>
      <c r="IJ15" s="1">
        <f>Table156789111213[[#This Row],[Total_Cost_MUSD]]*1000000*Table156789111213[[#This Row],[prob500-failure_rating5]]/500</f>
        <v>6.315766269426951</v>
      </c>
      <c r="IK15" s="1">
        <f>Table156789111213[[#This Row],[Total_Cost_MUSD]]*1000000*Table156789111213[[#This Row],[prob500-failure_rating6]]/500</f>
        <v>1.6240541835669302</v>
      </c>
      <c r="IL15" s="1">
        <f>Table156789111213[[#This Row],[Total_Cost_MUSD]]*1000000*Table156789111213[[#This Row],[prob500-failure_rating7]]/500</f>
        <v>1.6240541835669302</v>
      </c>
      <c r="IM15" s="1">
        <f>Table156789111213[[#This Row],[Total_Cost_MUSD]]*1000000*Table156789111213[[#This Row],[prob500-failure_rating8]]/500</f>
        <v>3.6090092968154006E-2</v>
      </c>
      <c r="IN15" s="1">
        <f>Table156789111213[[#This Row],[Total_Cost_MUSD]]*1000000*Table156789111213[[#This Row],[prob500-failure_rating9]]/500</f>
        <v>2.2556308105096252E-2</v>
      </c>
      <c r="IO15" s="1">
        <f>Table156789111213[[#This Row],[Total_Cost_MUSD]]*1000000*Table156789111213[[#This Row],[prob100-failure_rating1]]/100</f>
        <v>4511.2616210192509</v>
      </c>
      <c r="IP15" s="1">
        <f>Table156789111213[[#This Row],[Total_Cost_MUSD]]*1000000*Table156789111213[[#This Row],[prob100-failure_rating2]]/100</f>
        <v>563.90770262740637</v>
      </c>
      <c r="IQ15" s="1">
        <f>Table156789111213[[#This Row],[Total_Cost_MUSD]]*1000000*Table156789111213[[#This Row],[prob100-failure_rating3]]/100</f>
        <v>124.05969457802941</v>
      </c>
      <c r="IR15" s="1">
        <f>Table156789111213[[#This Row],[Total_Cost_MUSD]]*1000000*Table156789111213[[#This Row],[prob100-failure_rating4]]/100</f>
        <v>45.112616210192506</v>
      </c>
      <c r="IS15" s="1">
        <f>Table156789111213[[#This Row],[Total_Cost_MUSD]]*1000000*Table156789111213[[#This Row],[prob100-failure_rating5]]/100</f>
        <v>7.8947078367836889</v>
      </c>
      <c r="IT15" s="1">
        <f>Table156789111213[[#This Row],[Total_Cost_MUSD]]*1000000*Table156789111213[[#This Row],[prob100-failure_rating6]]/100</f>
        <v>2.0300677294586631</v>
      </c>
      <c r="IU15" s="1">
        <f>Table156789111213[[#This Row],[Total_Cost_MUSD]]*1000000*Table156789111213[[#This Row],[prob100-failure_rating7]]/100</f>
        <v>2.0300677294586631</v>
      </c>
      <c r="IV15" s="1">
        <f>Table156789111213[[#This Row],[Total_Cost_MUSD]]*1000000*Table156789111213[[#This Row],[prob100-failure_rating8]]/100</f>
        <v>4.5112616210192504E-2</v>
      </c>
      <c r="IW15" s="1">
        <f>Table156789111213[[#This Row],[Total_Cost_MUSD]]*1000000*Table156789111213[[#This Row],[prob100-failure_rating9]]/100</f>
        <v>2.8195385131370317E-2</v>
      </c>
      <c r="IX15" s="1">
        <f>Table156789111213[[#This Row],[Total_Cost_MUSD]]*1000000*Table156789111213[[#This Row],[prob50-failure_rating1]]/50</f>
        <v>9022.5232420385018</v>
      </c>
      <c r="IY15" s="1">
        <f>Table156789111213[[#This Row],[Total_Cost_MUSD]]*1000000*Table156789111213[[#This Row],[prob50-failure_rating2]]/50</f>
        <v>751.87693683654186</v>
      </c>
      <c r="IZ15" s="1">
        <f>Table156789111213[[#This Row],[Total_Cost_MUSD]]*1000000*Table156789111213[[#This Row],[prob50-failure_rating3]]/50</f>
        <v>165.41292610403923</v>
      </c>
      <c r="JA15" s="1">
        <f>Table156789111213[[#This Row],[Total_Cost_MUSD]]*1000000*Table156789111213[[#This Row],[prob50-failure_rating4]]/50</f>
        <v>60.150154946923351</v>
      </c>
      <c r="JB15" s="1">
        <f>Table156789111213[[#This Row],[Total_Cost_MUSD]]*1000000*Table156789111213[[#This Row],[prob50-failure_rating5]]/50</f>
        <v>10.526277115711585</v>
      </c>
      <c r="JC15" s="1">
        <f>Table156789111213[[#This Row],[Total_Cost_MUSD]]*1000000*Table156789111213[[#This Row],[prob50-failure_rating6]]/50</f>
        <v>2.7067569726115503</v>
      </c>
      <c r="JD15" s="1">
        <f>Table156789111213[[#This Row],[Total_Cost_MUSD]]*1000000*Table156789111213[[#This Row],[prob50-failure_rating7]]/50</f>
        <v>2.7067569726115503</v>
      </c>
      <c r="JE15" s="1">
        <f>Table156789111213[[#This Row],[Total_Cost_MUSD]]*1000000*Table156789111213[[#This Row],[prob50-failure_rating8]]/50</f>
        <v>6.015015494692335E-2</v>
      </c>
      <c r="JF15" s="1">
        <f>Table156789111213[[#This Row],[Total_Cost_MUSD]]*1000000*Table156789111213[[#This Row],[prob50-failure_rating9]]/50</f>
        <v>3.7593846841827087E-2</v>
      </c>
      <c r="JG15" s="1">
        <f>Table156789111213[[#This Row],[Total_Cost_MUSD]]*1000000*Table156789111213[[#This Row],[prob10-failure_rating1]]/10</f>
        <v>45112.616210192515</v>
      </c>
      <c r="JH15" s="1">
        <f>Table156789111213[[#This Row],[Total_Cost_MUSD]]*1000000*Table156789111213[[#This Row],[prob10-failure_rating2]]/10</f>
        <v>2255.6308105096255</v>
      </c>
      <c r="JI15" s="1">
        <f>Table156789111213[[#This Row],[Total_Cost_MUSD]]*1000000*Table156789111213[[#This Row],[prob10-failure_rating3]]/10</f>
        <v>496.23877831211757</v>
      </c>
      <c r="JJ15" s="1">
        <f>Table156789111213[[#This Row],[Total_Cost_MUSD]]*1000000*Table156789111213[[#This Row],[prob10-failure_rating4]]/10</f>
        <v>180.45046484077005</v>
      </c>
      <c r="JK15" s="1">
        <f>Table156789111213[[#This Row],[Total_Cost_MUSD]]*1000000*Table156789111213[[#This Row],[prob10-failure_rating5]]/10</f>
        <v>31.578831347134752</v>
      </c>
      <c r="JL15" s="1">
        <f>Table156789111213[[#This Row],[Total_Cost_MUSD]]*1000000*Table156789111213[[#This Row],[prob10-failure_rating6]]/10</f>
        <v>8.1202709178346524</v>
      </c>
      <c r="JM15" s="1">
        <f>Table156789111213[[#This Row],[Total_Cost_MUSD]]*1000000*Table156789111213[[#This Row],[prob10-failure_rating7]]/10</f>
        <v>8.1202709178346524</v>
      </c>
      <c r="JN15" s="1">
        <f>Table156789111213[[#This Row],[Total_Cost_MUSD]]*1000000*Table156789111213[[#This Row],[prob10-failure_rating8]]/10</f>
        <v>0.18045046484077004</v>
      </c>
      <c r="JO15" s="1">
        <f>Table156789111213[[#This Row],[Total_Cost_MUSD]]*1000000*Table156789111213[[#This Row],[prob10-failure_rating9]]/10</f>
        <v>0.11278154052548126</v>
      </c>
      <c r="JP15" s="1">
        <f>Table156789111213[[#This Row],[FailureCost_Rating1]]</f>
        <v>4022.541612075499</v>
      </c>
      <c r="JQ15" s="1">
        <f>Table156789111213[[#This Row],[FailureCost_Rating2]]</f>
        <v>4022.541612075499</v>
      </c>
      <c r="JR15" s="1">
        <f>(Table156789111213[[#This Row],[failurecost500_rating2]]+Table156789111213[[#This Row],[failurecost100_rating2]]+Table156789111213[[#This Row],[failurecost50_rating2]]+Table156789111213[[#This Row],[failurecost10_rating2]])</f>
        <v>4022.541612075499</v>
      </c>
      <c r="JS15" s="1">
        <f>(Table156789111213[[#This Row],[failurecost500_rating3]]+Table156789111213[[#This Row],[failurecost100_rating3]]+Table156789111213[[#This Row],[failurecost50_rating3]]+Table156789111213[[#This Row],[failurecost10_rating3]])</f>
        <v>884.95915465660971</v>
      </c>
      <c r="JT15" s="1">
        <f>(Table156789111213[[#This Row],[failurecost500_rating4]]+Table156789111213[[#This Row],[failurecost100_rating4]]+Table156789111213[[#This Row],[failurecost50_rating4]]+Table156789111213[[#This Row],[failurecost10_rating4]])</f>
        <v>321.80332896603989</v>
      </c>
      <c r="JU15" s="1">
        <f>(Table156789111213[[#This Row],[failurecost500_rating5]]+Table156789111213[[#This Row],[failurecost100_rating5]]+Table156789111213[[#This Row],[failurecost50_rating5]]+Table156789111213[[#This Row],[failurecost10_rating5]])</f>
        <v>56.315582569056978</v>
      </c>
      <c r="JV15" s="1">
        <f>(Table156789111213[[#This Row],[failurecost500_rating6]]+Table156789111213[[#This Row],[failurecost100_rating6]]+Table156789111213[[#This Row],[failurecost50_rating6]]+Table156789111213[[#This Row],[failurecost10_rating6]])</f>
        <v>14.481149803471796</v>
      </c>
      <c r="JW15" s="1">
        <f>(Table156789111213[[#This Row],[failurecost500_rating7]]+Table156789111213[[#This Row],[failurecost100_rating7]]+Table156789111213[[#This Row],[failurecost50_rating7]]+Table156789111213[[#This Row],[failurecost10_rating7]])</f>
        <v>14.481149803471796</v>
      </c>
      <c r="JX15" s="1">
        <f>(Table156789111213[[#This Row],[failurecost500_rating8]]+Table156789111213[[#This Row],[failurecost100_rating8]]+Table156789111213[[#This Row],[failurecost50_rating8]]+Table156789111213[[#This Row],[failurecost10_rating8]])</f>
        <v>0.32180332896603991</v>
      </c>
      <c r="JY15" s="1">
        <f>(Table156789111213[[#This Row],[failurecost500_rating9]]+Table156789111213[[#This Row],[failurecost100_rating9]]+Table156789111213[[#This Row],[failurecost50_rating9]]+Table156789111213[[#This Row],[failurecost10_rating9]])</f>
        <v>0.2011270806037749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Table156789111213[[#This Row],[Depth10_Soil_vol]]*(9.353+9.027)+(Table156789111213[[#This Row],[Depth10_Soil_vol]]/2.5)*20*1.053+(PI()*Table156789111213[[#This Row],[Depth10_Scour]])*Table156789111213[[#This Row],[DECK_WIDTH_MT_052]]*1.062</f>
        <v>6758.7093437956364</v>
      </c>
      <c r="AR16" s="1">
        <f>Table156789111213[[#This Row],[Depth50_Soil_vol]]*(9.353+9.027)+(Table156789111213[[#This Row],[Depth50_Soil_vol]]/2.5)*20*1.053+(PI()*Table156789111213[[#This Row],[Depth50_Scour]])*Table156789111213[[#This Row],[DECK_WIDTH_MT_052]]*1.062</f>
        <v>7157.860599196707</v>
      </c>
      <c r="AS16" s="1">
        <f>Table156789111213[[#This Row],[Depth100_Soil_vol]]*(9.353+9.027)+(Table156789111213[[#This Row],[Depth100_Soil_vol]]/2.5)*20*1.053+(PI()*Table156789111213[[#This Row],[Depth100_Scour]])*Table156789111213[[#This Row],[DECK_WIDTH_MT_052]]*1.062</f>
        <v>7335.7235370312192</v>
      </c>
      <c r="AT16" s="1">
        <f>Table156789111213[[#This Row],[Depth500_Soil_vol]]*(9.353+9.027)+(Table156789111213[[#This Row],[Depth500_Soil_vol]]/2.5)*20*1.053+(PI()*Table156789111213[[#This Row],[Depth500_Scour]])*Table156789111213[[#This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0.66</v>
      </c>
      <c r="GF16" s="1">
        <v>46.573174803437794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41398.377603055815</v>
      </c>
      <c r="GM16" s="1">
        <f>Sheet4!R46*$GF16*1000000</f>
        <v>23286.587401718891</v>
      </c>
      <c r="GN16" s="1">
        <f>Sheet4!S46*$GF16*1000000</f>
        <v>14903.415937100093</v>
      </c>
      <c r="GO16" s="1">
        <f>Sheet4!T46*$GF16*1000000</f>
        <v>10349.594400763954</v>
      </c>
      <c r="GP16" s="1">
        <f>Sheet4!U46*$GF16*1000000</f>
        <v>7603.7836413775985</v>
      </c>
      <c r="GQ16" s="1">
        <f>Sheet4!V46*$GF16*1000000</f>
        <v>5821.6468504297227</v>
      </c>
      <c r="GR16" s="1">
        <f>Sheet4!W46*$GF16*1000000</f>
        <v>4599.8197336728681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0.01</v>
      </c>
      <c r="HF16" s="1">
        <v>1.25E-3</v>
      </c>
      <c r="HG16" s="1">
        <v>2.7500000000000002E-4</v>
      </c>
      <c r="HH16" s="1">
        <v>1E-4</v>
      </c>
      <c r="HI16" s="1">
        <v>1.7499999999999998E-5</v>
      </c>
      <c r="HJ16" s="1">
        <v>4.5000000000000001E-6</v>
      </c>
      <c r="HK16" s="1">
        <v>4.5000000000000001E-6</v>
      </c>
      <c r="HL16" s="1">
        <v>9.9999999999999995E-8</v>
      </c>
      <c r="HM16" s="1">
        <v>6.2499999999999997E-8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Table156789111213[[#This Row],[Total_Cost_MUSD]]*1000000*Table156789111213[[#This Row],[prob500-failure_rating1]]/500</f>
        <v>931.46349606875583</v>
      </c>
      <c r="IG16" s="1">
        <f>Table156789111213[[#This Row],[Total_Cost_MUSD]]*1000000*Table156789111213[[#This Row],[prob500-failure_rating2]]/500</f>
        <v>465.73174803437792</v>
      </c>
      <c r="IH16" s="1">
        <f>Table156789111213[[#This Row],[Total_Cost_MUSD]]*1000000*Table156789111213[[#This Row],[prob500-failure_rating3]]/500</f>
        <v>102.46098456756314</v>
      </c>
      <c r="II16" s="1">
        <f>Table156789111213[[#This Row],[Total_Cost_MUSD]]*1000000*Table156789111213[[#This Row],[prob500-failure_rating4]]/500</f>
        <v>37.258539842750238</v>
      </c>
      <c r="IJ16" s="1">
        <f>Table156789111213[[#This Row],[Total_Cost_MUSD]]*1000000*Table156789111213[[#This Row],[prob500-failure_rating5]]/500</f>
        <v>6.5202444724812905</v>
      </c>
      <c r="IK16" s="1">
        <f>Table156789111213[[#This Row],[Total_Cost_MUSD]]*1000000*Table156789111213[[#This Row],[prob500-failure_rating6]]/500</f>
        <v>1.6766342929237605</v>
      </c>
      <c r="IL16" s="1">
        <f>Table156789111213[[#This Row],[Total_Cost_MUSD]]*1000000*Table156789111213[[#This Row],[prob500-failure_rating7]]/500</f>
        <v>1.6766342929237605</v>
      </c>
      <c r="IM16" s="1">
        <f>Table156789111213[[#This Row],[Total_Cost_MUSD]]*1000000*Table156789111213[[#This Row],[prob500-failure_rating8]]/500</f>
        <v>3.7258539842750231E-2</v>
      </c>
      <c r="IN16" s="1">
        <f>Table156789111213[[#This Row],[Total_Cost_MUSD]]*1000000*Table156789111213[[#This Row],[prob500-failure_rating9]]/500</f>
        <v>2.3286587401718895E-2</v>
      </c>
      <c r="IO16" s="1">
        <f>Table156789111213[[#This Row],[Total_Cost_MUSD]]*1000000*Table156789111213[[#This Row],[prob100-failure_rating1]]/100</f>
        <v>4657.3174803437796</v>
      </c>
      <c r="IP16" s="1">
        <f>Table156789111213[[#This Row],[Total_Cost_MUSD]]*1000000*Table156789111213[[#This Row],[prob100-failure_rating2]]/100</f>
        <v>582.16468504297245</v>
      </c>
      <c r="IQ16" s="1">
        <f>Table156789111213[[#This Row],[Total_Cost_MUSD]]*1000000*Table156789111213[[#This Row],[prob100-failure_rating3]]/100</f>
        <v>128.07623070945394</v>
      </c>
      <c r="IR16" s="1">
        <f>Table156789111213[[#This Row],[Total_Cost_MUSD]]*1000000*Table156789111213[[#This Row],[prob100-failure_rating4]]/100</f>
        <v>46.573174803437794</v>
      </c>
      <c r="IS16" s="1">
        <f>Table156789111213[[#This Row],[Total_Cost_MUSD]]*1000000*Table156789111213[[#This Row],[prob100-failure_rating5]]/100</f>
        <v>8.1503055906016133</v>
      </c>
      <c r="IT16" s="1">
        <f>Table156789111213[[#This Row],[Total_Cost_MUSD]]*1000000*Table156789111213[[#This Row],[prob100-failure_rating6]]/100</f>
        <v>2.0957928661547007</v>
      </c>
      <c r="IU16" s="1">
        <f>Table156789111213[[#This Row],[Total_Cost_MUSD]]*1000000*Table156789111213[[#This Row],[prob100-failure_rating7]]/100</f>
        <v>2.0957928661547007</v>
      </c>
      <c r="IV16" s="1">
        <f>Table156789111213[[#This Row],[Total_Cost_MUSD]]*1000000*Table156789111213[[#This Row],[prob100-failure_rating8]]/100</f>
        <v>4.657317480343779E-2</v>
      </c>
      <c r="IW16" s="1">
        <f>Table156789111213[[#This Row],[Total_Cost_MUSD]]*1000000*Table156789111213[[#This Row],[prob100-failure_rating9]]/100</f>
        <v>2.9108234252148618E-2</v>
      </c>
      <c r="IX16" s="1">
        <f>Table156789111213[[#This Row],[Total_Cost_MUSD]]*1000000*Table156789111213[[#This Row],[prob50-failure_rating1]]/50</f>
        <v>9314.6349606875592</v>
      </c>
      <c r="IY16" s="1">
        <f>Table156789111213[[#This Row],[Total_Cost_MUSD]]*1000000*Table156789111213[[#This Row],[prob50-failure_rating2]]/50</f>
        <v>776.21958005729653</v>
      </c>
      <c r="IZ16" s="1">
        <f>Table156789111213[[#This Row],[Total_Cost_MUSD]]*1000000*Table156789111213[[#This Row],[prob50-failure_rating3]]/50</f>
        <v>170.76830761260524</v>
      </c>
      <c r="JA16" s="1">
        <f>Table156789111213[[#This Row],[Total_Cost_MUSD]]*1000000*Table156789111213[[#This Row],[prob50-failure_rating4]]/50</f>
        <v>62.097566404583723</v>
      </c>
      <c r="JB16" s="1">
        <f>Table156789111213[[#This Row],[Total_Cost_MUSD]]*1000000*Table156789111213[[#This Row],[prob50-failure_rating5]]/50</f>
        <v>10.867074120802151</v>
      </c>
      <c r="JC16" s="1">
        <f>Table156789111213[[#This Row],[Total_Cost_MUSD]]*1000000*Table156789111213[[#This Row],[prob50-failure_rating6]]/50</f>
        <v>2.7943904882062673</v>
      </c>
      <c r="JD16" s="1">
        <f>Table156789111213[[#This Row],[Total_Cost_MUSD]]*1000000*Table156789111213[[#This Row],[prob50-failure_rating7]]/50</f>
        <v>2.7943904882062673</v>
      </c>
      <c r="JE16" s="1">
        <f>Table156789111213[[#This Row],[Total_Cost_MUSD]]*1000000*Table156789111213[[#This Row],[prob50-failure_rating8]]/50</f>
        <v>6.2097566404583721E-2</v>
      </c>
      <c r="JF16" s="1">
        <f>Table156789111213[[#This Row],[Total_Cost_MUSD]]*1000000*Table156789111213[[#This Row],[prob50-failure_rating9]]/50</f>
        <v>3.8810979002864822E-2</v>
      </c>
      <c r="JG16" s="1">
        <f>Table156789111213[[#This Row],[Total_Cost_MUSD]]*1000000*Table156789111213[[#This Row],[prob10-failure_rating1]]/10</f>
        <v>46573.174803437796</v>
      </c>
      <c r="JH16" s="1">
        <f>Table156789111213[[#This Row],[Total_Cost_MUSD]]*1000000*Table156789111213[[#This Row],[prob10-failure_rating2]]/10</f>
        <v>2328.6587401718898</v>
      </c>
      <c r="JI16" s="1">
        <f>Table156789111213[[#This Row],[Total_Cost_MUSD]]*1000000*Table156789111213[[#This Row],[prob10-failure_rating3]]/10</f>
        <v>512.30492283781564</v>
      </c>
      <c r="JJ16" s="1">
        <f>Table156789111213[[#This Row],[Total_Cost_MUSD]]*1000000*Table156789111213[[#This Row],[prob10-failure_rating4]]/10</f>
        <v>186.29269921375118</v>
      </c>
      <c r="JK16" s="1">
        <f>Table156789111213[[#This Row],[Total_Cost_MUSD]]*1000000*Table156789111213[[#This Row],[prob10-failure_rating5]]/10</f>
        <v>32.601222362406453</v>
      </c>
      <c r="JL16" s="1">
        <f>Table156789111213[[#This Row],[Total_Cost_MUSD]]*1000000*Table156789111213[[#This Row],[prob10-failure_rating6]]/10</f>
        <v>8.3831714646188029</v>
      </c>
      <c r="JM16" s="1">
        <f>Table156789111213[[#This Row],[Total_Cost_MUSD]]*1000000*Table156789111213[[#This Row],[prob10-failure_rating7]]/10</f>
        <v>8.3831714646188029</v>
      </c>
      <c r="JN16" s="1">
        <f>Table156789111213[[#This Row],[Total_Cost_MUSD]]*1000000*Table156789111213[[#This Row],[prob10-failure_rating8]]/10</f>
        <v>0.18629269921375119</v>
      </c>
      <c r="JO16" s="1">
        <f>Table156789111213[[#This Row],[Total_Cost_MUSD]]*1000000*Table156789111213[[#This Row],[prob10-failure_rating9]]/10</f>
        <v>0.11643293700859447</v>
      </c>
      <c r="JP16" s="1">
        <f>Table156789111213[[#This Row],[FailureCost_Rating1]]</f>
        <v>4152.7747533065367</v>
      </c>
      <c r="JQ16" s="1">
        <f>Table156789111213[[#This Row],[FailureCost_Rating2]]</f>
        <v>4152.7747533065367</v>
      </c>
      <c r="JR16" s="1">
        <f>(Table156789111213[[#This Row],[failurecost500_rating2]]+Table156789111213[[#This Row],[failurecost100_rating2]]+Table156789111213[[#This Row],[failurecost50_rating2]]+Table156789111213[[#This Row],[failurecost10_rating2]])</f>
        <v>4152.7747533065367</v>
      </c>
      <c r="JS16" s="1">
        <f>(Table156789111213[[#This Row],[failurecost500_rating3]]+Table156789111213[[#This Row],[failurecost100_rating3]]+Table156789111213[[#This Row],[failurecost50_rating3]]+Table156789111213[[#This Row],[failurecost10_rating3]])</f>
        <v>913.61044572743799</v>
      </c>
      <c r="JT16" s="1">
        <f>(Table156789111213[[#This Row],[failurecost500_rating4]]+Table156789111213[[#This Row],[failurecost100_rating4]]+Table156789111213[[#This Row],[failurecost50_rating4]]+Table156789111213[[#This Row],[failurecost10_rating4]])</f>
        <v>332.22198026452293</v>
      </c>
      <c r="JU16" s="1">
        <f>(Table156789111213[[#This Row],[failurecost500_rating5]]+Table156789111213[[#This Row],[failurecost100_rating5]]+Table156789111213[[#This Row],[failurecost50_rating5]]+Table156789111213[[#This Row],[failurecost10_rating5]])</f>
        <v>58.138846546291504</v>
      </c>
      <c r="JV16" s="1">
        <f>(Table156789111213[[#This Row],[failurecost500_rating6]]+Table156789111213[[#This Row],[failurecost100_rating6]]+Table156789111213[[#This Row],[failurecost50_rating6]]+Table156789111213[[#This Row],[failurecost10_rating6]])</f>
        <v>14.94998911190353</v>
      </c>
      <c r="JW16" s="1">
        <f>(Table156789111213[[#This Row],[failurecost500_rating7]]+Table156789111213[[#This Row],[failurecost100_rating7]]+Table156789111213[[#This Row],[failurecost50_rating7]]+Table156789111213[[#This Row],[failurecost10_rating7]])</f>
        <v>14.94998911190353</v>
      </c>
      <c r="JX16" s="1">
        <f>(Table156789111213[[#This Row],[failurecost500_rating8]]+Table156789111213[[#This Row],[failurecost100_rating8]]+Table156789111213[[#This Row],[failurecost50_rating8]]+Table156789111213[[#This Row],[failurecost10_rating8]])</f>
        <v>0.33222198026452293</v>
      </c>
      <c r="JY16" s="1">
        <f>(Table156789111213[[#This Row],[failurecost500_rating9]]+Table156789111213[[#This Row],[failurecost100_rating9]]+Table156789111213[[#This Row],[failurecost50_rating9]]+Table156789111213[[#This Row],[failurecost10_rating9]])</f>
        <v>0.20763873766532681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Table156789111213[[#This Row],[Depth10_Soil_vol]]*(9.353+9.027)+(Table156789111213[[#This Row],[Depth10_Soil_vol]]/2.5)*20*1.053+(PI()*Table156789111213[[#This Row],[Depth10_Scour]])*Table156789111213[[#This Row],[DECK_WIDTH_MT_052]]*1.062</f>
        <v>0</v>
      </c>
      <c r="AR17" s="1">
        <f>Table156789111213[[#This Row],[Depth50_Soil_vol]]*(9.353+9.027)+(Table156789111213[[#This Row],[Depth50_Soil_vol]]/2.5)*20*1.053+(PI()*Table156789111213[[#This Row],[Depth50_Scour]])*Table156789111213[[#This Row],[DECK_WIDTH_MT_052]]*1.062</f>
        <v>73.925295948361111</v>
      </c>
      <c r="AS17" s="1">
        <f>Table156789111213[[#This Row],[Depth100_Soil_vol]]*(9.353+9.027)+(Table156789111213[[#This Row],[Depth100_Soil_vol]]/2.5)*20*1.053+(PI()*Table156789111213[[#This Row],[Depth100_Scour]])*Table156789111213[[#This Row],[DECK_WIDTH_MT_052]]*1.062</f>
        <v>101.29876563204503</v>
      </c>
      <c r="AT17" s="1">
        <f>Table156789111213[[#This Row],[Depth500_Soil_vol]]*(9.353+9.027)+(Table156789111213[[#This Row],[Depth500_Soil_vol]]/2.5)*20*1.053+(PI()*Table156789111213[[#This Row],[Depth500_Scour]])*Table156789111213[[#This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0.22800000000000001</v>
      </c>
      <c r="GF17" s="1">
        <v>15.046774620588666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13374.910773856591</v>
      </c>
      <c r="GM17" s="1">
        <f>Sheet4!R47*$GF17*1000000</f>
        <v>7523.3873102943344</v>
      </c>
      <c r="GN17" s="1">
        <f>Sheet4!S47*$GF17*1000000</f>
        <v>4814.9678785883734</v>
      </c>
      <c r="GO17" s="1">
        <f>Sheet4!T47*$GF17*1000000</f>
        <v>3343.7276934641477</v>
      </c>
      <c r="GP17" s="1">
        <f>Sheet4!U47*$GF17*1000000</f>
        <v>2456.6162645859049</v>
      </c>
      <c r="GQ17" s="1">
        <f>Sheet4!V47*$GF17*1000000</f>
        <v>1880.8468275735836</v>
      </c>
      <c r="GR17" s="1">
        <f>Sheet4!W47*$GF17*1000000</f>
        <v>1486.101197095177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0.01</v>
      </c>
      <c r="HF17" s="1">
        <v>1.25E-3</v>
      </c>
      <c r="HG17" s="1">
        <v>2.7500000000000002E-4</v>
      </c>
      <c r="HH17" s="1">
        <v>1E-4</v>
      </c>
      <c r="HI17" s="1">
        <v>1.7499999999999998E-5</v>
      </c>
      <c r="HJ17" s="1">
        <v>4.5000000000000001E-6</v>
      </c>
      <c r="HK17" s="1">
        <v>4.5000000000000001E-6</v>
      </c>
      <c r="HL17" s="1">
        <v>9.9999999999999995E-8</v>
      </c>
      <c r="HM17" s="1">
        <v>6.2499999999999997E-8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Table156789111213[[#This Row],[Total_Cost_MUSD]]*1000000*Table156789111213[[#This Row],[prob500-failure_rating1]]/500</f>
        <v>300.93549241177328</v>
      </c>
      <c r="IG17" s="1">
        <f>Table156789111213[[#This Row],[Total_Cost_MUSD]]*1000000*Table156789111213[[#This Row],[prob500-failure_rating2]]/500</f>
        <v>150.46774620588664</v>
      </c>
      <c r="IH17" s="1">
        <f>Table156789111213[[#This Row],[Total_Cost_MUSD]]*1000000*Table156789111213[[#This Row],[prob500-failure_rating3]]/500</f>
        <v>33.102904165295072</v>
      </c>
      <c r="II17" s="1">
        <f>Table156789111213[[#This Row],[Total_Cost_MUSD]]*1000000*Table156789111213[[#This Row],[prob500-failure_rating4]]/500</f>
        <v>12.037419696470934</v>
      </c>
      <c r="IJ17" s="1">
        <f>Table156789111213[[#This Row],[Total_Cost_MUSD]]*1000000*Table156789111213[[#This Row],[prob500-failure_rating5]]/500</f>
        <v>2.1065484468824129</v>
      </c>
      <c r="IK17" s="1">
        <f>Table156789111213[[#This Row],[Total_Cost_MUSD]]*1000000*Table156789111213[[#This Row],[prob500-failure_rating6]]/500</f>
        <v>0.54168388634119191</v>
      </c>
      <c r="IL17" s="1">
        <f>Table156789111213[[#This Row],[Total_Cost_MUSD]]*1000000*Table156789111213[[#This Row],[prob500-failure_rating7]]/500</f>
        <v>0.54168388634119191</v>
      </c>
      <c r="IM17" s="1">
        <f>Table156789111213[[#This Row],[Total_Cost_MUSD]]*1000000*Table156789111213[[#This Row],[prob500-failure_rating8]]/500</f>
        <v>1.2037419696470932E-2</v>
      </c>
      <c r="IN17" s="1">
        <f>Table156789111213[[#This Row],[Total_Cost_MUSD]]*1000000*Table156789111213[[#This Row],[prob500-failure_rating9]]/500</f>
        <v>7.5233873102943331E-3</v>
      </c>
      <c r="IO17" s="1">
        <f>Table156789111213[[#This Row],[Total_Cost_MUSD]]*1000000*Table156789111213[[#This Row],[prob100-failure_rating1]]/100</f>
        <v>1504.6774620588665</v>
      </c>
      <c r="IP17" s="1">
        <f>Table156789111213[[#This Row],[Total_Cost_MUSD]]*1000000*Table156789111213[[#This Row],[prob100-failure_rating2]]/100</f>
        <v>188.08468275735831</v>
      </c>
      <c r="IQ17" s="1">
        <f>Table156789111213[[#This Row],[Total_Cost_MUSD]]*1000000*Table156789111213[[#This Row],[prob100-failure_rating3]]/100</f>
        <v>41.378630206618837</v>
      </c>
      <c r="IR17" s="1">
        <f>Table156789111213[[#This Row],[Total_Cost_MUSD]]*1000000*Table156789111213[[#This Row],[prob100-failure_rating4]]/100</f>
        <v>15.046774620588668</v>
      </c>
      <c r="IS17" s="1">
        <f>Table156789111213[[#This Row],[Total_Cost_MUSD]]*1000000*Table156789111213[[#This Row],[prob100-failure_rating5]]/100</f>
        <v>2.633185558603016</v>
      </c>
      <c r="IT17" s="1">
        <f>Table156789111213[[#This Row],[Total_Cost_MUSD]]*1000000*Table156789111213[[#This Row],[prob100-failure_rating6]]/100</f>
        <v>0.67710485792649</v>
      </c>
      <c r="IU17" s="1">
        <f>Table156789111213[[#This Row],[Total_Cost_MUSD]]*1000000*Table156789111213[[#This Row],[prob100-failure_rating7]]/100</f>
        <v>0.67710485792649</v>
      </c>
      <c r="IV17" s="1">
        <f>Table156789111213[[#This Row],[Total_Cost_MUSD]]*1000000*Table156789111213[[#This Row],[prob100-failure_rating8]]/100</f>
        <v>1.5046774620588666E-2</v>
      </c>
      <c r="IW17" s="1">
        <f>Table156789111213[[#This Row],[Total_Cost_MUSD]]*1000000*Table156789111213[[#This Row],[prob100-failure_rating9]]/100</f>
        <v>9.4042341378679159E-3</v>
      </c>
      <c r="IX17" s="1">
        <f>Table156789111213[[#This Row],[Total_Cost_MUSD]]*1000000*Table156789111213[[#This Row],[prob50-failure_rating1]]/50</f>
        <v>3009.3549241177329</v>
      </c>
      <c r="IY17" s="1">
        <f>Table156789111213[[#This Row],[Total_Cost_MUSD]]*1000000*Table156789111213[[#This Row],[prob50-failure_rating2]]/50</f>
        <v>250.77957700981111</v>
      </c>
      <c r="IZ17" s="1">
        <f>Table156789111213[[#This Row],[Total_Cost_MUSD]]*1000000*Table156789111213[[#This Row],[prob50-failure_rating3]]/50</f>
        <v>55.171506942158437</v>
      </c>
      <c r="JA17" s="1">
        <f>Table156789111213[[#This Row],[Total_Cost_MUSD]]*1000000*Table156789111213[[#This Row],[prob50-failure_rating4]]/50</f>
        <v>20.06236616078489</v>
      </c>
      <c r="JB17" s="1">
        <f>Table156789111213[[#This Row],[Total_Cost_MUSD]]*1000000*Table156789111213[[#This Row],[prob50-failure_rating5]]/50</f>
        <v>3.5109140781373553</v>
      </c>
      <c r="JC17" s="1">
        <f>Table156789111213[[#This Row],[Total_Cost_MUSD]]*1000000*Table156789111213[[#This Row],[prob50-failure_rating6]]/50</f>
        <v>0.90280647723532004</v>
      </c>
      <c r="JD17" s="1">
        <f>Table156789111213[[#This Row],[Total_Cost_MUSD]]*1000000*Table156789111213[[#This Row],[prob50-failure_rating7]]/50</f>
        <v>0.90280647723532004</v>
      </c>
      <c r="JE17" s="1">
        <f>Table156789111213[[#This Row],[Total_Cost_MUSD]]*1000000*Table156789111213[[#This Row],[prob50-failure_rating8]]/50</f>
        <v>2.006236616078489E-2</v>
      </c>
      <c r="JF17" s="1">
        <f>Table156789111213[[#This Row],[Total_Cost_MUSD]]*1000000*Table156789111213[[#This Row],[prob50-failure_rating9]]/50</f>
        <v>1.2538978850490554E-2</v>
      </c>
      <c r="JG17" s="1">
        <f>Table156789111213[[#This Row],[Total_Cost_MUSD]]*1000000*Table156789111213[[#This Row],[prob10-failure_rating1]]/10</f>
        <v>15046.774620588665</v>
      </c>
      <c r="JH17" s="1">
        <f>Table156789111213[[#This Row],[Total_Cost_MUSD]]*1000000*Table156789111213[[#This Row],[prob10-failure_rating2]]/10</f>
        <v>752.33873102943335</v>
      </c>
      <c r="JI17" s="1">
        <f>Table156789111213[[#This Row],[Total_Cost_MUSD]]*1000000*Table156789111213[[#This Row],[prob10-failure_rating3]]/10</f>
        <v>165.51452082647535</v>
      </c>
      <c r="JJ17" s="1">
        <f>Table156789111213[[#This Row],[Total_Cost_MUSD]]*1000000*Table156789111213[[#This Row],[prob10-failure_rating4]]/10</f>
        <v>60.187098482354671</v>
      </c>
      <c r="JK17" s="1">
        <f>Table156789111213[[#This Row],[Total_Cost_MUSD]]*1000000*Table156789111213[[#This Row],[prob10-failure_rating5]]/10</f>
        <v>10.532742234412066</v>
      </c>
      <c r="JL17" s="1">
        <f>Table156789111213[[#This Row],[Total_Cost_MUSD]]*1000000*Table156789111213[[#This Row],[prob10-failure_rating6]]/10</f>
        <v>2.70841943170596</v>
      </c>
      <c r="JM17" s="1">
        <f>Table156789111213[[#This Row],[Total_Cost_MUSD]]*1000000*Table156789111213[[#This Row],[prob10-failure_rating7]]/10</f>
        <v>2.70841943170596</v>
      </c>
      <c r="JN17" s="1">
        <f>Table156789111213[[#This Row],[Total_Cost_MUSD]]*1000000*Table156789111213[[#This Row],[prob10-failure_rating8]]/10</f>
        <v>6.0187098482354665E-2</v>
      </c>
      <c r="JO17" s="1">
        <f>Table156789111213[[#This Row],[Total_Cost_MUSD]]*1000000*Table156789111213[[#This Row],[prob10-failure_rating9]]/10</f>
        <v>3.7616936551471664E-2</v>
      </c>
      <c r="JP17" s="1">
        <f>Table156789111213[[#This Row],[FailureCost_Rating1]]</f>
        <v>1341.6707370024894</v>
      </c>
      <c r="JQ17" s="1">
        <f>Table156789111213[[#This Row],[FailureCost_Rating2]]</f>
        <v>1341.6707370024894</v>
      </c>
      <c r="JR17" s="1">
        <f>(Table156789111213[[#This Row],[failurecost500_rating2]]+Table156789111213[[#This Row],[failurecost100_rating2]]+Table156789111213[[#This Row],[failurecost50_rating2]]+Table156789111213[[#This Row],[failurecost10_rating2]])</f>
        <v>1341.6707370024894</v>
      </c>
      <c r="JS17" s="1">
        <f>(Table156789111213[[#This Row],[failurecost500_rating3]]+Table156789111213[[#This Row],[failurecost100_rating3]]+Table156789111213[[#This Row],[failurecost50_rating3]]+Table156789111213[[#This Row],[failurecost10_rating3]])</f>
        <v>295.16756214054772</v>
      </c>
      <c r="JT17" s="1">
        <f>(Table156789111213[[#This Row],[failurecost500_rating4]]+Table156789111213[[#This Row],[failurecost100_rating4]]+Table156789111213[[#This Row],[failurecost50_rating4]]+Table156789111213[[#This Row],[failurecost10_rating4]])</f>
        <v>107.33365896019916</v>
      </c>
      <c r="JU17" s="1">
        <f>(Table156789111213[[#This Row],[failurecost500_rating5]]+Table156789111213[[#This Row],[failurecost100_rating5]]+Table156789111213[[#This Row],[failurecost50_rating5]]+Table156789111213[[#This Row],[failurecost10_rating5]])</f>
        <v>18.783390318034851</v>
      </c>
      <c r="JV17" s="1">
        <f>(Table156789111213[[#This Row],[failurecost500_rating6]]+Table156789111213[[#This Row],[failurecost100_rating6]]+Table156789111213[[#This Row],[failurecost50_rating6]]+Table156789111213[[#This Row],[failurecost10_rating6]])</f>
        <v>4.8300146532089618</v>
      </c>
      <c r="JW17" s="1">
        <f>(Table156789111213[[#This Row],[failurecost500_rating7]]+Table156789111213[[#This Row],[failurecost100_rating7]]+Table156789111213[[#This Row],[failurecost50_rating7]]+Table156789111213[[#This Row],[failurecost10_rating7]])</f>
        <v>4.8300146532089618</v>
      </c>
      <c r="JX17" s="1">
        <f>(Table156789111213[[#This Row],[failurecost500_rating8]]+Table156789111213[[#This Row],[failurecost100_rating8]]+Table156789111213[[#This Row],[failurecost50_rating8]]+Table156789111213[[#This Row],[failurecost10_rating8]])</f>
        <v>0.10733365896019915</v>
      </c>
      <c r="JY17" s="1">
        <f>(Table156789111213[[#This Row],[failurecost500_rating9]]+Table156789111213[[#This Row],[failurecost100_rating9]]+Table156789111213[[#This Row],[failurecost50_rating9]]+Table156789111213[[#This Row],[failurecost10_rating9]])</f>
        <v>6.708353685012447E-2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Table156789111213[[#This Row],[Depth10_Soil_vol]]*(9.353+9.027)+(Table156789111213[[#This Row],[Depth10_Soil_vol]]/2.5)*20*1.053+(PI()*Table156789111213[[#This Row],[Depth10_Scour]])*Table156789111213[[#This Row],[DECK_WIDTH_MT_052]]*1.062</f>
        <v>15354.595084739485</v>
      </c>
      <c r="AR18" s="1">
        <f>Table156789111213[[#This Row],[Depth50_Soil_vol]]*(9.353+9.027)+(Table156789111213[[#This Row],[Depth50_Soil_vol]]/2.5)*20*1.053+(PI()*Table156789111213[[#This Row],[Depth50_Scour]])*Table156789111213[[#This Row],[DECK_WIDTH_MT_052]]*1.062</f>
        <v>13414.428771618834</v>
      </c>
      <c r="AS18" s="1">
        <f>Table156789111213[[#This Row],[Depth100_Soil_vol]]*(9.353+9.027)+(Table156789111213[[#This Row],[Depth100_Soil_vol]]/2.5)*20*1.053+(PI()*Table156789111213[[#This Row],[Depth100_Scour]])*Table156789111213[[#This Row],[DECK_WIDTH_MT_052]]*1.062</f>
        <v>13976.739331979787</v>
      </c>
      <c r="AT18" s="1">
        <f>Table156789111213[[#This Row],[Depth500_Soil_vol]]*(9.353+9.027)+(Table156789111213[[#This Row],[Depth500_Soil_vol]]/2.5)*20*1.053+(PI()*Table156789111213[[#This Row],[Depth500_Scour]])*Table156789111213[[#This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0.52800000000000002</v>
      </c>
      <c r="GF18" s="1">
        <v>8.7283249618975169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7758.5110772422368</v>
      </c>
      <c r="GM18" s="1">
        <f>Sheet4!R48*$GF18*1000000</f>
        <v>4364.1624809487585</v>
      </c>
      <c r="GN18" s="1">
        <f>Sheet4!S48*$GF18*1000000</f>
        <v>2793.0639878072061</v>
      </c>
      <c r="GO18" s="1">
        <f>Sheet4!T48*$GF18*1000000</f>
        <v>1939.6277693105592</v>
      </c>
      <c r="GP18" s="1">
        <f>Sheet4!U48*$GF18*1000000</f>
        <v>1425.032646840411</v>
      </c>
      <c r="GQ18" s="1">
        <f>Sheet4!V48*$GF18*1000000</f>
        <v>1091.0406202371896</v>
      </c>
      <c r="GR18" s="1">
        <f>Sheet4!W48*$GF18*1000000</f>
        <v>862.05678636024857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0.01</v>
      </c>
      <c r="HF18" s="1">
        <v>1.25E-3</v>
      </c>
      <c r="HG18" s="1">
        <v>2.7500000000000002E-4</v>
      </c>
      <c r="HH18" s="1">
        <v>1E-4</v>
      </c>
      <c r="HI18" s="1">
        <v>1.7499999999999998E-5</v>
      </c>
      <c r="HJ18" s="1">
        <v>4.5000000000000001E-6</v>
      </c>
      <c r="HK18" s="1">
        <v>4.5000000000000001E-6</v>
      </c>
      <c r="HL18" s="1">
        <v>9.9999999999999995E-8</v>
      </c>
      <c r="HM18" s="1">
        <v>6.2499999999999997E-8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Table156789111213[[#This Row],[Total_Cost_MUSD]]*1000000*Table156789111213[[#This Row],[prob500-failure_rating1]]/500</f>
        <v>174.56649923795032</v>
      </c>
      <c r="IG18" s="1">
        <f>Table156789111213[[#This Row],[Total_Cost_MUSD]]*1000000*Table156789111213[[#This Row],[prob500-failure_rating2]]/500</f>
        <v>87.283249618975162</v>
      </c>
      <c r="IH18" s="1">
        <f>Table156789111213[[#This Row],[Total_Cost_MUSD]]*1000000*Table156789111213[[#This Row],[prob500-failure_rating3]]/500</f>
        <v>19.20231491617454</v>
      </c>
      <c r="II18" s="1">
        <f>Table156789111213[[#This Row],[Total_Cost_MUSD]]*1000000*Table156789111213[[#This Row],[prob500-failure_rating4]]/500</f>
        <v>6.9826599695180143</v>
      </c>
      <c r="IJ18" s="1">
        <f>Table156789111213[[#This Row],[Total_Cost_MUSD]]*1000000*Table156789111213[[#This Row],[prob500-failure_rating5]]/500</f>
        <v>1.2219654946656522</v>
      </c>
      <c r="IK18" s="1">
        <f>Table156789111213[[#This Row],[Total_Cost_MUSD]]*1000000*Table156789111213[[#This Row],[prob500-failure_rating6]]/500</f>
        <v>0.31421969862831062</v>
      </c>
      <c r="IL18" s="1">
        <f>Table156789111213[[#This Row],[Total_Cost_MUSD]]*1000000*Table156789111213[[#This Row],[prob500-failure_rating7]]/500</f>
        <v>0.31421969862831062</v>
      </c>
      <c r="IM18" s="1">
        <f>Table156789111213[[#This Row],[Total_Cost_MUSD]]*1000000*Table156789111213[[#This Row],[prob500-failure_rating8]]/500</f>
        <v>6.9826599695180132E-3</v>
      </c>
      <c r="IN18" s="1">
        <f>Table156789111213[[#This Row],[Total_Cost_MUSD]]*1000000*Table156789111213[[#This Row],[prob500-failure_rating9]]/500</f>
        <v>4.3641624809487587E-3</v>
      </c>
      <c r="IO18" s="1">
        <f>Table156789111213[[#This Row],[Total_Cost_MUSD]]*1000000*Table156789111213[[#This Row],[prob100-failure_rating1]]/100</f>
        <v>872.83249618975174</v>
      </c>
      <c r="IP18" s="1">
        <f>Table156789111213[[#This Row],[Total_Cost_MUSD]]*1000000*Table156789111213[[#This Row],[prob100-failure_rating2]]/100</f>
        <v>109.10406202371897</v>
      </c>
      <c r="IQ18" s="1">
        <f>Table156789111213[[#This Row],[Total_Cost_MUSD]]*1000000*Table156789111213[[#This Row],[prob100-failure_rating3]]/100</f>
        <v>24.002893645218172</v>
      </c>
      <c r="IR18" s="1">
        <f>Table156789111213[[#This Row],[Total_Cost_MUSD]]*1000000*Table156789111213[[#This Row],[prob100-failure_rating4]]/100</f>
        <v>8.7283249618975169</v>
      </c>
      <c r="IS18" s="1">
        <f>Table156789111213[[#This Row],[Total_Cost_MUSD]]*1000000*Table156789111213[[#This Row],[prob100-failure_rating5]]/100</f>
        <v>1.5274568683320653</v>
      </c>
      <c r="IT18" s="1">
        <f>Table156789111213[[#This Row],[Total_Cost_MUSD]]*1000000*Table156789111213[[#This Row],[prob100-failure_rating6]]/100</f>
        <v>0.39277462328538826</v>
      </c>
      <c r="IU18" s="1">
        <f>Table156789111213[[#This Row],[Total_Cost_MUSD]]*1000000*Table156789111213[[#This Row],[prob100-failure_rating7]]/100</f>
        <v>0.39277462328538826</v>
      </c>
      <c r="IV18" s="1">
        <f>Table156789111213[[#This Row],[Total_Cost_MUSD]]*1000000*Table156789111213[[#This Row],[prob100-failure_rating8]]/100</f>
        <v>8.7283249618975173E-3</v>
      </c>
      <c r="IW18" s="1">
        <f>Table156789111213[[#This Row],[Total_Cost_MUSD]]*1000000*Table156789111213[[#This Row],[prob100-failure_rating9]]/100</f>
        <v>5.4552031011859481E-3</v>
      </c>
      <c r="IX18" s="1">
        <f>Table156789111213[[#This Row],[Total_Cost_MUSD]]*1000000*Table156789111213[[#This Row],[prob50-failure_rating1]]/50</f>
        <v>1745.6649923795035</v>
      </c>
      <c r="IY18" s="1">
        <f>Table156789111213[[#This Row],[Total_Cost_MUSD]]*1000000*Table156789111213[[#This Row],[prob50-failure_rating2]]/50</f>
        <v>145.47208269829196</v>
      </c>
      <c r="IZ18" s="1">
        <f>Table156789111213[[#This Row],[Total_Cost_MUSD]]*1000000*Table156789111213[[#This Row],[prob50-failure_rating3]]/50</f>
        <v>32.003858193624225</v>
      </c>
      <c r="JA18" s="1">
        <f>Table156789111213[[#This Row],[Total_Cost_MUSD]]*1000000*Table156789111213[[#This Row],[prob50-failure_rating4]]/50</f>
        <v>11.637766615863356</v>
      </c>
      <c r="JB18" s="1">
        <f>Table156789111213[[#This Row],[Total_Cost_MUSD]]*1000000*Table156789111213[[#This Row],[prob50-failure_rating5]]/50</f>
        <v>2.0366091577760872</v>
      </c>
      <c r="JC18" s="1">
        <f>Table156789111213[[#This Row],[Total_Cost_MUSD]]*1000000*Table156789111213[[#This Row],[prob50-failure_rating6]]/50</f>
        <v>0.52369949771385105</v>
      </c>
      <c r="JD18" s="1">
        <f>Table156789111213[[#This Row],[Total_Cost_MUSD]]*1000000*Table156789111213[[#This Row],[prob50-failure_rating7]]/50</f>
        <v>0.52369949771385105</v>
      </c>
      <c r="JE18" s="1">
        <f>Table156789111213[[#This Row],[Total_Cost_MUSD]]*1000000*Table156789111213[[#This Row],[prob50-failure_rating8]]/50</f>
        <v>1.1637766615863356E-2</v>
      </c>
      <c r="JF18" s="1">
        <f>Table156789111213[[#This Row],[Total_Cost_MUSD]]*1000000*Table156789111213[[#This Row],[prob50-failure_rating9]]/50</f>
        <v>7.2736041349145963E-3</v>
      </c>
      <c r="JG18" s="1">
        <f>Table156789111213[[#This Row],[Total_Cost_MUSD]]*1000000*Table156789111213[[#This Row],[prob10-failure_rating1]]/10</f>
        <v>8728.3249618975169</v>
      </c>
      <c r="JH18" s="1">
        <f>Table156789111213[[#This Row],[Total_Cost_MUSD]]*1000000*Table156789111213[[#This Row],[prob10-failure_rating2]]/10</f>
        <v>436.41624809487587</v>
      </c>
      <c r="JI18" s="1">
        <f>Table156789111213[[#This Row],[Total_Cost_MUSD]]*1000000*Table156789111213[[#This Row],[prob10-failure_rating3]]/10</f>
        <v>96.01157458087269</v>
      </c>
      <c r="JJ18" s="1">
        <f>Table156789111213[[#This Row],[Total_Cost_MUSD]]*1000000*Table156789111213[[#This Row],[prob10-failure_rating4]]/10</f>
        <v>34.913299847590068</v>
      </c>
      <c r="JK18" s="1">
        <f>Table156789111213[[#This Row],[Total_Cost_MUSD]]*1000000*Table156789111213[[#This Row],[prob10-failure_rating5]]/10</f>
        <v>6.1098274733282611</v>
      </c>
      <c r="JL18" s="1">
        <f>Table156789111213[[#This Row],[Total_Cost_MUSD]]*1000000*Table156789111213[[#This Row],[prob10-failure_rating6]]/10</f>
        <v>1.571098493141553</v>
      </c>
      <c r="JM18" s="1">
        <f>Table156789111213[[#This Row],[Total_Cost_MUSD]]*1000000*Table156789111213[[#This Row],[prob10-failure_rating7]]/10</f>
        <v>1.571098493141553</v>
      </c>
      <c r="JN18" s="1">
        <f>Table156789111213[[#This Row],[Total_Cost_MUSD]]*1000000*Table156789111213[[#This Row],[prob10-failure_rating8]]/10</f>
        <v>3.4913299847590069E-2</v>
      </c>
      <c r="JO18" s="1">
        <f>Table156789111213[[#This Row],[Total_Cost_MUSD]]*1000000*Table156789111213[[#This Row],[prob10-failure_rating9]]/10</f>
        <v>2.1820812404743792E-2</v>
      </c>
      <c r="JP18" s="1">
        <f>Table156789111213[[#This Row],[FailureCost_Rating1]]</f>
        <v>778.27564243586198</v>
      </c>
      <c r="JQ18" s="1">
        <f>Table156789111213[[#This Row],[FailureCost_Rating2]]</f>
        <v>778.27564243586198</v>
      </c>
      <c r="JR18" s="1">
        <f>(Table156789111213[[#This Row],[failurecost500_rating2]]+Table156789111213[[#This Row],[failurecost100_rating2]]+Table156789111213[[#This Row],[failurecost50_rating2]]+Table156789111213[[#This Row],[failurecost10_rating2]])</f>
        <v>778.27564243586198</v>
      </c>
      <c r="JS18" s="1">
        <f>(Table156789111213[[#This Row],[failurecost500_rating3]]+Table156789111213[[#This Row],[failurecost100_rating3]]+Table156789111213[[#This Row],[failurecost50_rating3]]+Table156789111213[[#This Row],[failurecost10_rating3]])</f>
        <v>171.22064133588964</v>
      </c>
      <c r="JT18" s="1">
        <f>(Table156789111213[[#This Row],[failurecost500_rating4]]+Table156789111213[[#This Row],[failurecost100_rating4]]+Table156789111213[[#This Row],[failurecost50_rating4]]+Table156789111213[[#This Row],[failurecost10_rating4]])</f>
        <v>62.262051394868955</v>
      </c>
      <c r="JU18" s="1">
        <f>(Table156789111213[[#This Row],[failurecost500_rating5]]+Table156789111213[[#This Row],[failurecost100_rating5]]+Table156789111213[[#This Row],[failurecost50_rating5]]+Table156789111213[[#This Row],[failurecost10_rating5]])</f>
        <v>10.895858994102065</v>
      </c>
      <c r="JV18" s="1">
        <f>(Table156789111213[[#This Row],[failurecost500_rating6]]+Table156789111213[[#This Row],[failurecost100_rating6]]+Table156789111213[[#This Row],[failurecost50_rating6]]+Table156789111213[[#This Row],[failurecost10_rating6]])</f>
        <v>2.8017923127691029</v>
      </c>
      <c r="JW18" s="1">
        <f>(Table156789111213[[#This Row],[failurecost500_rating7]]+Table156789111213[[#This Row],[failurecost100_rating7]]+Table156789111213[[#This Row],[failurecost50_rating7]]+Table156789111213[[#This Row],[failurecost10_rating7]])</f>
        <v>2.8017923127691029</v>
      </c>
      <c r="JX18" s="1">
        <f>(Table156789111213[[#This Row],[failurecost500_rating8]]+Table156789111213[[#This Row],[failurecost100_rating8]]+Table156789111213[[#This Row],[failurecost50_rating8]]+Table156789111213[[#This Row],[failurecost10_rating8]])</f>
        <v>6.2262051394868956E-2</v>
      </c>
      <c r="JY18" s="1">
        <f>(Table156789111213[[#This Row],[failurecost500_rating9]]+Table156789111213[[#This Row],[failurecost100_rating9]]+Table156789111213[[#This Row],[failurecost50_rating9]]+Table156789111213[[#This Row],[failurecost10_rating9]])</f>
        <v>3.8913782121793097E-2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Table156789111213[[#This Row],[Depth10_Soil_vol]]*(9.353+9.027)+(Table156789111213[[#This Row],[Depth10_Soil_vol]]/2.5)*20*1.053+(PI()*Table156789111213[[#This Row],[Depth10_Scour]])*Table156789111213[[#This Row],[DECK_WIDTH_MT_052]]*1.062</f>
        <v>10223.699035708925</v>
      </c>
      <c r="AR19" s="1">
        <f>Table156789111213[[#This Row],[Depth50_Soil_vol]]*(9.353+9.027)+(Table156789111213[[#This Row],[Depth50_Soil_vol]]/2.5)*20*1.053+(PI()*Table156789111213[[#This Row],[Depth50_Scour]])*Table156789111213[[#This Row],[DECK_WIDTH_MT_052]]*1.062</f>
        <v>11295.880242844603</v>
      </c>
      <c r="AS19" s="1">
        <f>Table156789111213[[#This Row],[Depth100_Soil_vol]]*(9.353+9.027)+(Table156789111213[[#This Row],[Depth100_Soil_vol]]/2.5)*20*1.053+(PI()*Table156789111213[[#This Row],[Depth100_Scour]])*Table156789111213[[#This Row],[DECK_WIDTH_MT_052]]*1.062</f>
        <v>11757.366155411924</v>
      </c>
      <c r="AT19" s="1">
        <f>Table156789111213[[#This Row],[Depth500_Soil_vol]]*(9.353+9.027)+(Table156789111213[[#This Row],[Depth500_Soil_vol]]/2.5)*20*1.053+(PI()*Table156789111213[[#This Row],[Depth500_Scour]])*Table156789111213[[#This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0.79200000000000004</v>
      </c>
      <c r="GF19" s="1">
        <v>28.224303487345257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25088.269766529116</v>
      </c>
      <c r="GM19" s="1">
        <f>Sheet4!R49*$GF19*1000000</f>
        <v>14112.151743672628</v>
      </c>
      <c r="GN19" s="1">
        <f>Sheet4!S49*$GF19*1000000</f>
        <v>9031.7771159504828</v>
      </c>
      <c r="GO19" s="1">
        <f>Sheet4!T49*$GF19*1000000</f>
        <v>6272.067441632279</v>
      </c>
      <c r="GP19" s="1">
        <f>Sheet4!U49*$GF19*1000000</f>
        <v>4608.0495489543273</v>
      </c>
      <c r="GQ19" s="1">
        <f>Sheet4!V49*$GF19*1000000</f>
        <v>3528.037935918157</v>
      </c>
      <c r="GR19" s="1">
        <f>Sheet4!W49*$GF19*1000000</f>
        <v>2787.5855296143463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0.01</v>
      </c>
      <c r="HF19" s="1">
        <v>1.25E-3</v>
      </c>
      <c r="HG19" s="1">
        <v>2.7500000000000002E-4</v>
      </c>
      <c r="HH19" s="1">
        <v>1E-4</v>
      </c>
      <c r="HI19" s="1">
        <v>1.7499999999999998E-5</v>
      </c>
      <c r="HJ19" s="1">
        <v>4.5000000000000001E-6</v>
      </c>
      <c r="HK19" s="1">
        <v>4.5000000000000001E-6</v>
      </c>
      <c r="HL19" s="1">
        <v>9.9999999999999995E-8</v>
      </c>
      <c r="HM19" s="1">
        <v>6.2499999999999997E-8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Table156789111213[[#This Row],[Total_Cost_MUSD]]*1000000*Table156789111213[[#This Row],[prob500-failure_rating1]]/500</f>
        <v>564.48606974690517</v>
      </c>
      <c r="IG19" s="1">
        <f>Table156789111213[[#This Row],[Total_Cost_MUSD]]*1000000*Table156789111213[[#This Row],[prob500-failure_rating2]]/500</f>
        <v>282.24303487345259</v>
      </c>
      <c r="IH19" s="1">
        <f>Table156789111213[[#This Row],[Total_Cost_MUSD]]*1000000*Table156789111213[[#This Row],[prob500-failure_rating3]]/500</f>
        <v>62.093467672159569</v>
      </c>
      <c r="II19" s="1">
        <f>Table156789111213[[#This Row],[Total_Cost_MUSD]]*1000000*Table156789111213[[#This Row],[prob500-failure_rating4]]/500</f>
        <v>22.579442789876204</v>
      </c>
      <c r="IJ19" s="1">
        <f>Table156789111213[[#This Row],[Total_Cost_MUSD]]*1000000*Table156789111213[[#This Row],[prob500-failure_rating5]]/500</f>
        <v>3.9514024882283358</v>
      </c>
      <c r="IK19" s="1">
        <f>Table156789111213[[#This Row],[Total_Cost_MUSD]]*1000000*Table156789111213[[#This Row],[prob500-failure_rating6]]/500</f>
        <v>1.0160749255444292</v>
      </c>
      <c r="IL19" s="1">
        <f>Table156789111213[[#This Row],[Total_Cost_MUSD]]*1000000*Table156789111213[[#This Row],[prob500-failure_rating7]]/500</f>
        <v>1.0160749255444292</v>
      </c>
      <c r="IM19" s="1">
        <f>Table156789111213[[#This Row],[Total_Cost_MUSD]]*1000000*Table156789111213[[#This Row],[prob500-failure_rating8]]/500</f>
        <v>2.2579442789876204E-2</v>
      </c>
      <c r="IN19" s="1">
        <f>Table156789111213[[#This Row],[Total_Cost_MUSD]]*1000000*Table156789111213[[#This Row],[prob500-failure_rating9]]/500</f>
        <v>1.4112151743672627E-2</v>
      </c>
      <c r="IO19" s="1">
        <f>Table156789111213[[#This Row],[Total_Cost_MUSD]]*1000000*Table156789111213[[#This Row],[prob100-failure_rating1]]/100</f>
        <v>2822.4303487345255</v>
      </c>
      <c r="IP19" s="1">
        <f>Table156789111213[[#This Row],[Total_Cost_MUSD]]*1000000*Table156789111213[[#This Row],[prob100-failure_rating2]]/100</f>
        <v>352.80379359181569</v>
      </c>
      <c r="IQ19" s="1">
        <f>Table156789111213[[#This Row],[Total_Cost_MUSD]]*1000000*Table156789111213[[#This Row],[prob100-failure_rating3]]/100</f>
        <v>77.61683459019946</v>
      </c>
      <c r="IR19" s="1">
        <f>Table156789111213[[#This Row],[Total_Cost_MUSD]]*1000000*Table156789111213[[#This Row],[prob100-failure_rating4]]/100</f>
        <v>28.224303487345257</v>
      </c>
      <c r="IS19" s="1">
        <f>Table156789111213[[#This Row],[Total_Cost_MUSD]]*1000000*Table156789111213[[#This Row],[prob100-failure_rating5]]/100</f>
        <v>4.9392531102854198</v>
      </c>
      <c r="IT19" s="1">
        <f>Table156789111213[[#This Row],[Total_Cost_MUSD]]*1000000*Table156789111213[[#This Row],[prob100-failure_rating6]]/100</f>
        <v>1.2700936569305366</v>
      </c>
      <c r="IU19" s="1">
        <f>Table156789111213[[#This Row],[Total_Cost_MUSD]]*1000000*Table156789111213[[#This Row],[prob100-failure_rating7]]/100</f>
        <v>1.2700936569305366</v>
      </c>
      <c r="IV19" s="1">
        <f>Table156789111213[[#This Row],[Total_Cost_MUSD]]*1000000*Table156789111213[[#This Row],[prob100-failure_rating8]]/100</f>
        <v>2.8224303487345254E-2</v>
      </c>
      <c r="IW19" s="1">
        <f>Table156789111213[[#This Row],[Total_Cost_MUSD]]*1000000*Table156789111213[[#This Row],[prob100-failure_rating9]]/100</f>
        <v>1.7640189679590784E-2</v>
      </c>
      <c r="IX19" s="1">
        <f>Table156789111213[[#This Row],[Total_Cost_MUSD]]*1000000*Table156789111213[[#This Row],[prob50-failure_rating1]]/50</f>
        <v>5644.860697469051</v>
      </c>
      <c r="IY19" s="1">
        <f>Table156789111213[[#This Row],[Total_Cost_MUSD]]*1000000*Table156789111213[[#This Row],[prob50-failure_rating2]]/50</f>
        <v>470.40505812242094</v>
      </c>
      <c r="IZ19" s="1">
        <f>Table156789111213[[#This Row],[Total_Cost_MUSD]]*1000000*Table156789111213[[#This Row],[prob50-failure_rating3]]/50</f>
        <v>103.48911278693259</v>
      </c>
      <c r="JA19" s="1">
        <f>Table156789111213[[#This Row],[Total_Cost_MUSD]]*1000000*Table156789111213[[#This Row],[prob50-failure_rating4]]/50</f>
        <v>37.632404649793678</v>
      </c>
      <c r="JB19" s="1">
        <f>Table156789111213[[#This Row],[Total_Cost_MUSD]]*1000000*Table156789111213[[#This Row],[prob50-failure_rating5]]/50</f>
        <v>6.5856708137138922</v>
      </c>
      <c r="JC19" s="1">
        <f>Table156789111213[[#This Row],[Total_Cost_MUSD]]*1000000*Table156789111213[[#This Row],[prob50-failure_rating6]]/50</f>
        <v>1.6934582092407156</v>
      </c>
      <c r="JD19" s="1">
        <f>Table156789111213[[#This Row],[Total_Cost_MUSD]]*1000000*Table156789111213[[#This Row],[prob50-failure_rating7]]/50</f>
        <v>1.6934582092407156</v>
      </c>
      <c r="JE19" s="1">
        <f>Table156789111213[[#This Row],[Total_Cost_MUSD]]*1000000*Table156789111213[[#This Row],[prob50-failure_rating8]]/50</f>
        <v>3.7632404649793678E-2</v>
      </c>
      <c r="JF19" s="1">
        <f>Table156789111213[[#This Row],[Total_Cost_MUSD]]*1000000*Table156789111213[[#This Row],[prob50-failure_rating9]]/50</f>
        <v>2.3520252906121045E-2</v>
      </c>
      <c r="JG19" s="1">
        <f>Table156789111213[[#This Row],[Total_Cost_MUSD]]*1000000*Table156789111213[[#This Row],[prob10-failure_rating1]]/10</f>
        <v>28224.303487345256</v>
      </c>
      <c r="JH19" s="1">
        <f>Table156789111213[[#This Row],[Total_Cost_MUSD]]*1000000*Table156789111213[[#This Row],[prob10-failure_rating2]]/10</f>
        <v>1411.2151743672628</v>
      </c>
      <c r="JI19" s="1">
        <f>Table156789111213[[#This Row],[Total_Cost_MUSD]]*1000000*Table156789111213[[#This Row],[prob10-failure_rating3]]/10</f>
        <v>310.46733836079784</v>
      </c>
      <c r="JJ19" s="1">
        <f>Table156789111213[[#This Row],[Total_Cost_MUSD]]*1000000*Table156789111213[[#This Row],[prob10-failure_rating4]]/10</f>
        <v>112.89721394938104</v>
      </c>
      <c r="JK19" s="1">
        <f>Table156789111213[[#This Row],[Total_Cost_MUSD]]*1000000*Table156789111213[[#This Row],[prob10-failure_rating5]]/10</f>
        <v>19.757012441141676</v>
      </c>
      <c r="JL19" s="1">
        <f>Table156789111213[[#This Row],[Total_Cost_MUSD]]*1000000*Table156789111213[[#This Row],[prob10-failure_rating6]]/10</f>
        <v>5.0803746277221462</v>
      </c>
      <c r="JM19" s="1">
        <f>Table156789111213[[#This Row],[Total_Cost_MUSD]]*1000000*Table156789111213[[#This Row],[prob10-failure_rating7]]/10</f>
        <v>5.0803746277221462</v>
      </c>
      <c r="JN19" s="1">
        <f>Table156789111213[[#This Row],[Total_Cost_MUSD]]*1000000*Table156789111213[[#This Row],[prob10-failure_rating8]]/10</f>
        <v>0.11289721394938104</v>
      </c>
      <c r="JO19" s="1">
        <f>Table156789111213[[#This Row],[Total_Cost_MUSD]]*1000000*Table156789111213[[#This Row],[prob10-failure_rating9]]/10</f>
        <v>7.0560758718363134E-2</v>
      </c>
      <c r="JP19" s="1">
        <f>Table156789111213[[#This Row],[FailureCost_Rating1]]</f>
        <v>2516.6670609549519</v>
      </c>
      <c r="JQ19" s="1">
        <f>Table156789111213[[#This Row],[FailureCost_Rating2]]</f>
        <v>2516.6670609549519</v>
      </c>
      <c r="JR19" s="1">
        <f>(Table156789111213[[#This Row],[failurecost500_rating2]]+Table156789111213[[#This Row],[failurecost100_rating2]]+Table156789111213[[#This Row],[failurecost50_rating2]]+Table156789111213[[#This Row],[failurecost10_rating2]])</f>
        <v>2516.6670609549519</v>
      </c>
      <c r="JS19" s="1">
        <f>(Table156789111213[[#This Row],[failurecost500_rating3]]+Table156789111213[[#This Row],[failurecost100_rating3]]+Table156789111213[[#This Row],[failurecost50_rating3]]+Table156789111213[[#This Row],[failurecost10_rating3]])</f>
        <v>553.66675341008943</v>
      </c>
      <c r="JT19" s="1">
        <f>(Table156789111213[[#This Row],[failurecost500_rating4]]+Table156789111213[[#This Row],[failurecost100_rating4]]+Table156789111213[[#This Row],[failurecost50_rating4]]+Table156789111213[[#This Row],[failurecost10_rating4]])</f>
        <v>201.33336487639619</v>
      </c>
      <c r="JU19" s="1">
        <f>(Table156789111213[[#This Row],[failurecost500_rating5]]+Table156789111213[[#This Row],[failurecost100_rating5]]+Table156789111213[[#This Row],[failurecost50_rating5]]+Table156789111213[[#This Row],[failurecost10_rating5]])</f>
        <v>35.233338853369325</v>
      </c>
      <c r="JV19" s="1">
        <f>(Table156789111213[[#This Row],[failurecost500_rating6]]+Table156789111213[[#This Row],[failurecost100_rating6]]+Table156789111213[[#This Row],[failurecost50_rating6]]+Table156789111213[[#This Row],[failurecost10_rating6]])</f>
        <v>9.0600014194378282</v>
      </c>
      <c r="JW19" s="1">
        <f>(Table156789111213[[#This Row],[failurecost500_rating7]]+Table156789111213[[#This Row],[failurecost100_rating7]]+Table156789111213[[#This Row],[failurecost50_rating7]]+Table156789111213[[#This Row],[failurecost10_rating7]])</f>
        <v>9.0600014194378282</v>
      </c>
      <c r="JX19" s="1">
        <f>(Table156789111213[[#This Row],[failurecost500_rating8]]+Table156789111213[[#This Row],[failurecost100_rating8]]+Table156789111213[[#This Row],[failurecost50_rating8]]+Table156789111213[[#This Row],[failurecost10_rating8]])</f>
        <v>0.20133336487639619</v>
      </c>
      <c r="JY19" s="1">
        <f>(Table156789111213[[#This Row],[failurecost500_rating9]]+Table156789111213[[#This Row],[failurecost100_rating9]]+Table156789111213[[#This Row],[failurecost50_rating9]]+Table156789111213[[#This Row],[failurecost10_rating9]])</f>
        <v>0.12583335304774759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Table156789111213[[#This Row],[Depth10_Soil_vol]]*(9.353+9.027)+(Table156789111213[[#This Row],[Depth10_Soil_vol]]/2.5)*20*1.053+(PI()*Table156789111213[[#This Row],[Depth10_Scour]])*Table156789111213[[#This Row],[DECK_WIDTH_MT_052]]*1.062</f>
        <v>13853.451944603266</v>
      </c>
      <c r="AR20" s="1">
        <f>Table156789111213[[#This Row],[Depth50_Soil_vol]]*(9.353+9.027)+(Table156789111213[[#This Row],[Depth50_Soil_vol]]/2.5)*20*1.053+(PI()*Table156789111213[[#This Row],[Depth50_Scour]])*Table156789111213[[#This Row],[DECK_WIDTH_MT_052]]*1.062</f>
        <v>14885.488907843239</v>
      </c>
      <c r="AS20" s="1">
        <f>Table156789111213[[#This Row],[Depth100_Soil_vol]]*(9.353+9.027)+(Table156789111213[[#This Row],[Depth100_Soil_vol]]/2.5)*20*1.053+(PI()*Table156789111213[[#This Row],[Depth100_Scour]])*Table156789111213[[#This Row],[DECK_WIDTH_MT_052]]*1.062</f>
        <v>15342.083437730904</v>
      </c>
      <c r="AT20" s="1">
        <f>Table156789111213[[#This Row],[Depth500_Soil_vol]]*(9.353+9.027)+(Table156789111213[[#This Row],[Depth500_Soil_vol]]/2.5)*20*1.053+(PI()*Table156789111213[[#This Row],[Depth500_Scour]])*Table156789111213[[#This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MAX(0,(Table156789111213[[#This Row],[Current_rating]]-Table156789111213[[#This Row],[Depth10_Rating]])/10+(Table156789111213[[#This Row],[Current_rating]]-Table156789111213[[#This Row],[Depth50_Rating]])/50+(Table156789111213[[#This Row],[Current_rating]]-Table156789111213[[#This Row],[Depth100_Rating]])/100+(Table156789111213[[#This Row],[Current_rating]]-Table156789111213[[#This Row],[Depth500_Rating]])/500)</f>
        <v>0.26400000000000001</v>
      </c>
      <c r="GF20" s="1">
        <v>25.640770733718576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22791.796207749845</v>
      </c>
      <c r="GM20" s="1">
        <f>Sheet4!R50*$GF20*1000000</f>
        <v>12820.385366859287</v>
      </c>
      <c r="GN20" s="1">
        <f>Sheet4!S50*$GF20*1000000</f>
        <v>8205.0466347899455</v>
      </c>
      <c r="GO20" s="1">
        <f>Sheet4!T50*$GF20*1000000</f>
        <v>5697.9490519374613</v>
      </c>
      <c r="GP20" s="1">
        <f>Sheet4!U50*$GF20*1000000</f>
        <v>4186.2482830560939</v>
      </c>
      <c r="GQ20" s="1">
        <f>Sheet4!V50*$GF20*1000000</f>
        <v>3205.0963417148218</v>
      </c>
      <c r="GR20" s="1">
        <f>Sheet4!W50*$GF20*1000000</f>
        <v>2532.4218008610937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0.01</v>
      </c>
      <c r="HF20" s="1">
        <v>1.25E-3</v>
      </c>
      <c r="HG20" s="1">
        <v>2.7500000000000002E-4</v>
      </c>
      <c r="HH20" s="1">
        <v>1E-4</v>
      </c>
      <c r="HI20" s="1">
        <v>1.7499999999999998E-5</v>
      </c>
      <c r="HJ20" s="1">
        <v>4.5000000000000001E-6</v>
      </c>
      <c r="HK20" s="1">
        <v>4.5000000000000001E-6</v>
      </c>
      <c r="HL20" s="1">
        <v>9.9999999999999995E-8</v>
      </c>
      <c r="HM20" s="1">
        <v>6.2499999999999997E-8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Table156789111213[[#This Row],[Total_Cost_MUSD]]*1000000*Table156789111213[[#This Row],[prob500-failure_rating1]]/500</f>
        <v>512.81541467437148</v>
      </c>
      <c r="IG20" s="1">
        <f>Table156789111213[[#This Row],[Total_Cost_MUSD]]*1000000*Table156789111213[[#This Row],[prob500-failure_rating2]]/500</f>
        <v>256.40770733718574</v>
      </c>
      <c r="IH20" s="1">
        <f>Table156789111213[[#This Row],[Total_Cost_MUSD]]*1000000*Table156789111213[[#This Row],[prob500-failure_rating3]]/500</f>
        <v>56.409695614180869</v>
      </c>
      <c r="II20" s="1">
        <f>Table156789111213[[#This Row],[Total_Cost_MUSD]]*1000000*Table156789111213[[#This Row],[prob500-failure_rating4]]/500</f>
        <v>20.512616586974861</v>
      </c>
      <c r="IJ20" s="1">
        <f>Table156789111213[[#This Row],[Total_Cost_MUSD]]*1000000*Table156789111213[[#This Row],[prob500-failure_rating5]]/500</f>
        <v>3.5897079027206003</v>
      </c>
      <c r="IK20" s="1">
        <f>Table156789111213[[#This Row],[Total_Cost_MUSD]]*1000000*Table156789111213[[#This Row],[prob500-failure_rating6]]/500</f>
        <v>0.92306774641386868</v>
      </c>
      <c r="IL20" s="1">
        <f>Table156789111213[[#This Row],[Total_Cost_MUSD]]*1000000*Table156789111213[[#This Row],[prob500-failure_rating7]]/500</f>
        <v>0.92306774641386868</v>
      </c>
      <c r="IM20" s="1">
        <f>Table156789111213[[#This Row],[Total_Cost_MUSD]]*1000000*Table156789111213[[#This Row],[prob500-failure_rating8]]/500</f>
        <v>2.0512616586974858E-2</v>
      </c>
      <c r="IN20" s="1">
        <f>Table156789111213[[#This Row],[Total_Cost_MUSD]]*1000000*Table156789111213[[#This Row],[prob500-failure_rating9]]/500</f>
        <v>1.2820385366859286E-2</v>
      </c>
      <c r="IO20" s="1">
        <f>Table156789111213[[#This Row],[Total_Cost_MUSD]]*1000000*Table156789111213[[#This Row],[prob100-failure_rating1]]/100</f>
        <v>2564.0770733718573</v>
      </c>
      <c r="IP20" s="1">
        <f>Table156789111213[[#This Row],[Total_Cost_MUSD]]*1000000*Table156789111213[[#This Row],[prob100-failure_rating2]]/100</f>
        <v>320.50963417148216</v>
      </c>
      <c r="IQ20" s="1">
        <f>Table156789111213[[#This Row],[Total_Cost_MUSD]]*1000000*Table156789111213[[#This Row],[prob100-failure_rating3]]/100</f>
        <v>70.512119517726092</v>
      </c>
      <c r="IR20" s="1">
        <f>Table156789111213[[#This Row],[Total_Cost_MUSD]]*1000000*Table156789111213[[#This Row],[prob100-failure_rating4]]/100</f>
        <v>25.640770733718579</v>
      </c>
      <c r="IS20" s="1">
        <f>Table156789111213[[#This Row],[Total_Cost_MUSD]]*1000000*Table156789111213[[#This Row],[prob100-failure_rating5]]/100</f>
        <v>4.4871348784007496</v>
      </c>
      <c r="IT20" s="1">
        <f>Table156789111213[[#This Row],[Total_Cost_MUSD]]*1000000*Table156789111213[[#This Row],[prob100-failure_rating6]]/100</f>
        <v>1.1538346830173358</v>
      </c>
      <c r="IU20" s="1">
        <f>Table156789111213[[#This Row],[Total_Cost_MUSD]]*1000000*Table156789111213[[#This Row],[prob100-failure_rating7]]/100</f>
        <v>1.1538346830173358</v>
      </c>
      <c r="IV20" s="1">
        <f>Table156789111213[[#This Row],[Total_Cost_MUSD]]*1000000*Table156789111213[[#This Row],[prob100-failure_rating8]]/100</f>
        <v>2.5640770733718572E-2</v>
      </c>
      <c r="IW20" s="1">
        <f>Table156789111213[[#This Row],[Total_Cost_MUSD]]*1000000*Table156789111213[[#This Row],[prob100-failure_rating9]]/100</f>
        <v>1.6025481708574107E-2</v>
      </c>
      <c r="IX20" s="1">
        <f>Table156789111213[[#This Row],[Total_Cost_MUSD]]*1000000*Table156789111213[[#This Row],[prob50-failure_rating1]]/50</f>
        <v>5128.1541467437146</v>
      </c>
      <c r="IY20" s="1">
        <f>Table156789111213[[#This Row],[Total_Cost_MUSD]]*1000000*Table156789111213[[#This Row],[prob50-failure_rating2]]/50</f>
        <v>427.34617889530955</v>
      </c>
      <c r="IZ20" s="1">
        <f>Table156789111213[[#This Row],[Total_Cost_MUSD]]*1000000*Table156789111213[[#This Row],[prob50-failure_rating3]]/50</f>
        <v>94.016159356968103</v>
      </c>
      <c r="JA20" s="1">
        <f>Table156789111213[[#This Row],[Total_Cost_MUSD]]*1000000*Table156789111213[[#This Row],[prob50-failure_rating4]]/50</f>
        <v>34.187694311624767</v>
      </c>
      <c r="JB20" s="1">
        <f>Table156789111213[[#This Row],[Total_Cost_MUSD]]*1000000*Table156789111213[[#This Row],[prob50-failure_rating5]]/50</f>
        <v>5.9828465045343338</v>
      </c>
      <c r="JC20" s="1">
        <f>Table156789111213[[#This Row],[Total_Cost_MUSD]]*1000000*Table156789111213[[#This Row],[prob50-failure_rating6]]/50</f>
        <v>1.5384462440231144</v>
      </c>
      <c r="JD20" s="1">
        <f>Table156789111213[[#This Row],[Total_Cost_MUSD]]*1000000*Table156789111213[[#This Row],[prob50-failure_rating7]]/50</f>
        <v>1.5384462440231144</v>
      </c>
      <c r="JE20" s="1">
        <f>Table156789111213[[#This Row],[Total_Cost_MUSD]]*1000000*Table156789111213[[#This Row],[prob50-failure_rating8]]/50</f>
        <v>3.4187694311624765E-2</v>
      </c>
      <c r="JF20" s="1">
        <f>Table156789111213[[#This Row],[Total_Cost_MUSD]]*1000000*Table156789111213[[#This Row],[prob50-failure_rating9]]/50</f>
        <v>2.1367308944765476E-2</v>
      </c>
      <c r="JG20" s="1">
        <f>Table156789111213[[#This Row],[Total_Cost_MUSD]]*1000000*Table156789111213[[#This Row],[prob10-failure_rating1]]/10</f>
        <v>25640.770733718575</v>
      </c>
      <c r="JH20" s="1">
        <f>Table156789111213[[#This Row],[Total_Cost_MUSD]]*1000000*Table156789111213[[#This Row],[prob10-failure_rating2]]/10</f>
        <v>1282.0385366859286</v>
      </c>
      <c r="JI20" s="1">
        <f>Table156789111213[[#This Row],[Total_Cost_MUSD]]*1000000*Table156789111213[[#This Row],[prob10-failure_rating3]]/10</f>
        <v>282.04847807090431</v>
      </c>
      <c r="JJ20" s="1">
        <f>Table156789111213[[#This Row],[Total_Cost_MUSD]]*1000000*Table156789111213[[#This Row],[prob10-failure_rating4]]/10</f>
        <v>102.5630829348743</v>
      </c>
      <c r="JK20" s="1">
        <f>Table156789111213[[#This Row],[Total_Cost_MUSD]]*1000000*Table156789111213[[#This Row],[prob10-failure_rating5]]/10</f>
        <v>17.948539513603002</v>
      </c>
      <c r="JL20" s="1">
        <f>Table156789111213[[#This Row],[Total_Cost_MUSD]]*1000000*Table156789111213[[#This Row],[prob10-failure_rating6]]/10</f>
        <v>4.6153387320693433</v>
      </c>
      <c r="JM20" s="1">
        <f>Table156789111213[[#This Row],[Total_Cost_MUSD]]*1000000*Table156789111213[[#This Row],[prob10-failure_rating7]]/10</f>
        <v>4.6153387320693433</v>
      </c>
      <c r="JN20" s="1">
        <f>Table156789111213[[#This Row],[Total_Cost_MUSD]]*1000000*Table156789111213[[#This Row],[prob10-failure_rating8]]/10</f>
        <v>0.1025630829348743</v>
      </c>
      <c r="JO20" s="1">
        <f>Table156789111213[[#This Row],[Total_Cost_MUSD]]*1000000*Table156789111213[[#This Row],[prob10-failure_rating9]]/10</f>
        <v>6.4101926834296427E-2</v>
      </c>
      <c r="JP20" s="1">
        <f>Table156789111213[[#This Row],[FailureCost_Rating1]]</f>
        <v>2286.3020570899062</v>
      </c>
      <c r="JQ20" s="1">
        <f>Table156789111213[[#This Row],[FailureCost_Rating2]]</f>
        <v>2286.3020570899062</v>
      </c>
      <c r="JR20" s="1">
        <f>(Table156789111213[[#This Row],[failurecost500_rating2]]+Table156789111213[[#This Row],[failurecost100_rating2]]+Table156789111213[[#This Row],[failurecost50_rating2]]+Table156789111213[[#This Row],[failurecost10_rating2]])</f>
        <v>2286.3020570899062</v>
      </c>
      <c r="JS20" s="1">
        <f>(Table156789111213[[#This Row],[failurecost500_rating3]]+Table156789111213[[#This Row],[failurecost100_rating3]]+Table156789111213[[#This Row],[failurecost50_rating3]]+Table156789111213[[#This Row],[failurecost10_rating3]])</f>
        <v>502.98645255977937</v>
      </c>
      <c r="JT20" s="1">
        <f>(Table156789111213[[#This Row],[failurecost500_rating4]]+Table156789111213[[#This Row],[failurecost100_rating4]]+Table156789111213[[#This Row],[failurecost50_rating4]]+Table156789111213[[#This Row],[failurecost10_rating4]])</f>
        <v>182.90416456719251</v>
      </c>
      <c r="JU20" s="1">
        <f>(Table156789111213[[#This Row],[failurecost500_rating5]]+Table156789111213[[#This Row],[failurecost100_rating5]]+Table156789111213[[#This Row],[failurecost50_rating5]]+Table156789111213[[#This Row],[failurecost10_rating5]])</f>
        <v>32.008228799258688</v>
      </c>
      <c r="JV20" s="1">
        <f>(Table156789111213[[#This Row],[failurecost500_rating6]]+Table156789111213[[#This Row],[failurecost100_rating6]]+Table156789111213[[#This Row],[failurecost50_rating6]]+Table156789111213[[#This Row],[failurecost10_rating6]])</f>
        <v>8.2306874055236623</v>
      </c>
      <c r="JW20" s="1">
        <f>(Table156789111213[[#This Row],[failurecost500_rating7]]+Table156789111213[[#This Row],[failurecost100_rating7]]+Table156789111213[[#This Row],[failurecost50_rating7]]+Table156789111213[[#This Row],[failurecost10_rating7]])</f>
        <v>8.2306874055236623</v>
      </c>
      <c r="JX20" s="1">
        <f>(Table156789111213[[#This Row],[failurecost500_rating8]]+Table156789111213[[#This Row],[failurecost100_rating8]]+Table156789111213[[#This Row],[failurecost50_rating8]]+Table156789111213[[#This Row],[failurecost10_rating8]])</f>
        <v>0.1829041645671925</v>
      </c>
      <c r="JY20" s="1">
        <f>(Table156789111213[[#This Row],[failurecost500_rating9]]+Table156789111213[[#This Row],[failurecost100_rating9]]+Table156789111213[[#This Row],[failurecost50_rating9]]+Table156789111213[[#This Row],[failurecost10_rating9]])</f>
        <v>0.1143151028544953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67A1-97A4-4252-A363-F96619750E5A}">
  <dimension ref="A1:JY20"/>
  <sheetViews>
    <sheetView topLeftCell="JB1" zoomScaleNormal="100" workbookViewId="0">
      <selection activeCell="JU13" sqref="JU13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11998.897701083155</v>
      </c>
      <c r="AR2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12798.983727608316</v>
      </c>
      <c r="AS2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13156.203147223239</v>
      </c>
      <c r="AT2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0.39600000000000002</v>
      </c>
      <c r="GF2" s="1">
        <v>26.412986951090751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23478.210623191775</v>
      </c>
      <c r="GM2" s="1">
        <f>Sheet4!R32*$GF2*1000000</f>
        <v>13206.493475545376</v>
      </c>
      <c r="GN2" s="1">
        <f>Sheet4!S32*$GF2*1000000</f>
        <v>8452.1558243490417</v>
      </c>
      <c r="GO2" s="1">
        <f>Sheet4!T32*$GF2*1000000</f>
        <v>5869.5526557979438</v>
      </c>
      <c r="GP2" s="1">
        <f>Sheet4!U32*$GF2*1000000</f>
        <v>4312.3244001780822</v>
      </c>
      <c r="GQ2" s="1">
        <f>Sheet4!V32*$GF2*1000000</f>
        <v>3301.623368886344</v>
      </c>
      <c r="GR2" s="1">
        <f>Sheet4!W32*$GF2*1000000</f>
        <v>2608.6900692435311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0.01</v>
      </c>
      <c r="HF2" s="1">
        <v>1.25E-3</v>
      </c>
      <c r="HG2" s="1">
        <v>2.7500000000000002E-4</v>
      </c>
      <c r="HH2" s="1">
        <v>1E-4</v>
      </c>
      <c r="HI2" s="1">
        <v>1.7499999999999998E-5</v>
      </c>
      <c r="HJ2" s="1">
        <v>4.5000000000000001E-6</v>
      </c>
      <c r="HK2" s="1">
        <v>4.5000000000000001E-6</v>
      </c>
      <c r="HL2" s="1">
        <v>9.9999999999999995E-8</v>
      </c>
      <c r="HM2" s="1">
        <v>6.2499999999999997E-8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Table15678911121314[[#This Row],[Total_Cost_MUSD]]*1000000*Table15678911121314[[#This Row],[prob500-failure_rating1]]/500</f>
        <v>528.25973902181499</v>
      </c>
      <c r="IG2" s="1">
        <f>Table15678911121314[[#This Row],[Total_Cost_MUSD]]*1000000*Table15678911121314[[#This Row],[prob500-failure_rating2]]/500</f>
        <v>264.1298695109075</v>
      </c>
      <c r="IH2" s="1">
        <f>Table15678911121314[[#This Row],[Total_Cost_MUSD]]*1000000*Table15678911121314[[#This Row],[prob500-failure_rating3]]/500</f>
        <v>58.108571292399652</v>
      </c>
      <c r="II2" s="1">
        <f>Table15678911121314[[#This Row],[Total_Cost_MUSD]]*1000000*Table15678911121314[[#This Row],[prob500-failure_rating4]]/500</f>
        <v>21.130389560872601</v>
      </c>
      <c r="IJ2" s="1">
        <f>Table15678911121314[[#This Row],[Total_Cost_MUSD]]*1000000*Table15678911121314[[#This Row],[prob500-failure_rating5]]/500</f>
        <v>3.6978181731527049</v>
      </c>
      <c r="IK2" s="1">
        <f>Table15678911121314[[#This Row],[Total_Cost_MUSD]]*1000000*Table15678911121314[[#This Row],[prob500-failure_rating6]]/500</f>
        <v>0.95086753023926707</v>
      </c>
      <c r="IL2" s="1">
        <f>Table15678911121314[[#This Row],[Total_Cost_MUSD]]*1000000*Table15678911121314[[#This Row],[prob500-failure_rating7]]/500</f>
        <v>0.95086753023926707</v>
      </c>
      <c r="IM2" s="1">
        <f>Table15678911121314[[#This Row],[Total_Cost_MUSD]]*1000000*Table15678911121314[[#This Row],[prob500-failure_rating8]]/500</f>
        <v>2.1130389560872598E-2</v>
      </c>
      <c r="IN2" s="1">
        <f>Table15678911121314[[#This Row],[Total_Cost_MUSD]]*1000000*Table15678911121314[[#This Row],[prob500-failure_rating9]]/500</f>
        <v>1.3206493475545374E-2</v>
      </c>
      <c r="IO2" s="1">
        <f>Table15678911121314[[#This Row],[Total_Cost_MUSD]]*1000000*Table15678911121314[[#This Row],[prob100-failure_rating1]]/100</f>
        <v>2641.2986951090752</v>
      </c>
      <c r="IP2" s="1">
        <f>Table15678911121314[[#This Row],[Total_Cost_MUSD]]*1000000*Table15678911121314[[#This Row],[prob100-failure_rating2]]/100</f>
        <v>330.1623368886344</v>
      </c>
      <c r="IQ2" s="1">
        <f>Table15678911121314[[#This Row],[Total_Cost_MUSD]]*1000000*Table15678911121314[[#This Row],[prob100-failure_rating3]]/100</f>
        <v>72.635714115499567</v>
      </c>
      <c r="IR2" s="1">
        <f>Table15678911121314[[#This Row],[Total_Cost_MUSD]]*1000000*Table15678911121314[[#This Row],[prob100-failure_rating4]]/100</f>
        <v>26.412986951090751</v>
      </c>
      <c r="IS2" s="1">
        <f>Table15678911121314[[#This Row],[Total_Cost_MUSD]]*1000000*Table15678911121314[[#This Row],[prob100-failure_rating5]]/100</f>
        <v>4.6222727164408806</v>
      </c>
      <c r="IT2" s="1">
        <f>Table15678911121314[[#This Row],[Total_Cost_MUSD]]*1000000*Table15678911121314[[#This Row],[prob100-failure_rating6]]/100</f>
        <v>1.1885844127990837</v>
      </c>
      <c r="IU2" s="1">
        <f>Table15678911121314[[#This Row],[Total_Cost_MUSD]]*1000000*Table15678911121314[[#This Row],[prob100-failure_rating7]]/100</f>
        <v>1.1885844127990837</v>
      </c>
      <c r="IV2" s="1">
        <f>Table15678911121314[[#This Row],[Total_Cost_MUSD]]*1000000*Table15678911121314[[#This Row],[prob100-failure_rating8]]/100</f>
        <v>2.6412986951090747E-2</v>
      </c>
      <c r="IW2" s="1">
        <f>Table15678911121314[[#This Row],[Total_Cost_MUSD]]*1000000*Table15678911121314[[#This Row],[prob100-failure_rating9]]/100</f>
        <v>1.6508116844431719E-2</v>
      </c>
      <c r="IX2" s="1">
        <f>Table15678911121314[[#This Row],[Total_Cost_MUSD]]*1000000*Table15678911121314[[#This Row],[prob50-failure_rating1]]/50</f>
        <v>5282.5973902181504</v>
      </c>
      <c r="IY2" s="1">
        <f>Table15678911121314[[#This Row],[Total_Cost_MUSD]]*1000000*Table15678911121314[[#This Row],[prob50-failure_rating2]]/50</f>
        <v>440.21644918484583</v>
      </c>
      <c r="IZ2" s="1">
        <f>Table15678911121314[[#This Row],[Total_Cost_MUSD]]*1000000*Table15678911121314[[#This Row],[prob50-failure_rating3]]/50</f>
        <v>96.847618820666085</v>
      </c>
      <c r="JA2" s="1">
        <f>Table15678911121314[[#This Row],[Total_Cost_MUSD]]*1000000*Table15678911121314[[#This Row],[prob50-failure_rating4]]/50</f>
        <v>35.217315934787663</v>
      </c>
      <c r="JB2" s="1">
        <f>Table15678911121314[[#This Row],[Total_Cost_MUSD]]*1000000*Table15678911121314[[#This Row],[prob50-failure_rating5]]/50</f>
        <v>6.1630302885878416</v>
      </c>
      <c r="JC2" s="1">
        <f>Table15678911121314[[#This Row],[Total_Cost_MUSD]]*1000000*Table15678911121314[[#This Row],[prob50-failure_rating6]]/50</f>
        <v>1.5847792170654449</v>
      </c>
      <c r="JD2" s="1">
        <f>Table15678911121314[[#This Row],[Total_Cost_MUSD]]*1000000*Table15678911121314[[#This Row],[prob50-failure_rating7]]/50</f>
        <v>1.5847792170654449</v>
      </c>
      <c r="JE2" s="1">
        <f>Table15678911121314[[#This Row],[Total_Cost_MUSD]]*1000000*Table15678911121314[[#This Row],[prob50-failure_rating8]]/50</f>
        <v>3.5217315934787663E-2</v>
      </c>
      <c r="JF2" s="1">
        <f>Table15678911121314[[#This Row],[Total_Cost_MUSD]]*1000000*Table15678911121314[[#This Row],[prob50-failure_rating9]]/50</f>
        <v>2.2010822459242289E-2</v>
      </c>
      <c r="JG2" s="1">
        <f>Table15678911121314[[#This Row],[Total_Cost_MUSD]]*1000000*Table15678911121314[[#This Row],[prob10-failure_rating1]]/10</f>
        <v>26412.986951090752</v>
      </c>
      <c r="JH2" s="1">
        <f>Table15678911121314[[#This Row],[Total_Cost_MUSD]]*1000000*Table15678911121314[[#This Row],[prob10-failure_rating2]]/10</f>
        <v>1320.6493475545374</v>
      </c>
      <c r="JI2" s="1">
        <f>Table15678911121314[[#This Row],[Total_Cost_MUSD]]*1000000*Table15678911121314[[#This Row],[prob10-failure_rating3]]/10</f>
        <v>290.54285646199821</v>
      </c>
      <c r="JJ2" s="1">
        <f>Table15678911121314[[#This Row],[Total_Cost_MUSD]]*1000000*Table15678911121314[[#This Row],[prob10-failure_rating4]]/10</f>
        <v>105.651947804363</v>
      </c>
      <c r="JK2" s="1">
        <f>Table15678911121314[[#This Row],[Total_Cost_MUSD]]*1000000*Table15678911121314[[#This Row],[prob10-failure_rating5]]/10</f>
        <v>18.489090865763522</v>
      </c>
      <c r="JL2" s="1">
        <f>Table15678911121314[[#This Row],[Total_Cost_MUSD]]*1000000*Table15678911121314[[#This Row],[prob10-failure_rating6]]/10</f>
        <v>4.7543376511963356</v>
      </c>
      <c r="JM2" s="1">
        <f>Table15678911121314[[#This Row],[Total_Cost_MUSD]]*1000000*Table15678911121314[[#This Row],[prob10-failure_rating7]]/10</f>
        <v>4.7543376511963356</v>
      </c>
      <c r="JN2" s="1">
        <f>Table15678911121314[[#This Row],[Total_Cost_MUSD]]*1000000*Table15678911121314[[#This Row],[prob10-failure_rating8]]/10</f>
        <v>0.105651947804363</v>
      </c>
      <c r="JO2" s="1">
        <f>Table15678911121314[[#This Row],[Total_Cost_MUSD]]*1000000*Table15678911121314[[#This Row],[prob10-failure_rating9]]/10</f>
        <v>6.6032467377726861E-2</v>
      </c>
      <c r="JP2" s="1">
        <f>Table15678911121314[[#This Row],[FailureCost_Rating1]]</f>
        <v>2355.1580031389249</v>
      </c>
      <c r="JQ2" s="1">
        <f>Table15678911121314[[#This Row],[FailureCost_Rating2]]</f>
        <v>2355.1580031389249</v>
      </c>
      <c r="JR2" s="1">
        <f>(Table15678911121314[[#This Row],[failurecost500_rating2]]+Table15678911121314[[#This Row],[failurecost100_rating2]]+Table15678911121314[[#This Row],[failurecost50_rating2]]+Table15678911121314[[#This Row],[failurecost10_rating2]])</f>
        <v>2355.1580031389249</v>
      </c>
      <c r="JS2" s="1">
        <f>(Table15678911121314[[#This Row],[failurecost500_rating3]]+Table15678911121314[[#This Row],[failurecost100_rating3]]+Table15678911121314[[#This Row],[failurecost50_rating3]]+Table15678911121314[[#This Row],[failurecost10_rating3]])</f>
        <v>518.13476069056355</v>
      </c>
      <c r="JT2" s="1">
        <f>(Table15678911121314[[#This Row],[failurecost500_rating4]]+Table15678911121314[[#This Row],[failurecost100_rating4]]+Table15678911121314[[#This Row],[failurecost50_rating4]]+Table15678911121314[[#This Row],[failurecost10_rating4]])</f>
        <v>188.41264025111403</v>
      </c>
      <c r="JU2" s="1">
        <f>(Table15678911121314[[#This Row],[failurecost500_rating5]]+Table15678911121314[[#This Row],[failurecost100_rating5]]+Table15678911121314[[#This Row],[failurecost50_rating5]]+Table15678911121314[[#This Row],[failurecost10_rating5]])</f>
        <v>32.97221204394495</v>
      </c>
      <c r="JV2" s="1">
        <f>(Table15678911121314[[#This Row],[failurecost500_rating6]]+Table15678911121314[[#This Row],[failurecost100_rating6]]+Table15678911121314[[#This Row],[failurecost50_rating6]]+Table15678911121314[[#This Row],[failurecost10_rating6]])</f>
        <v>8.4785688113001321</v>
      </c>
      <c r="JW2" s="1">
        <f>(Table15678911121314[[#This Row],[failurecost500_rating7]]+Table15678911121314[[#This Row],[failurecost100_rating7]]+Table15678911121314[[#This Row],[failurecost50_rating7]]+Table15678911121314[[#This Row],[failurecost10_rating7]])</f>
        <v>8.4785688113001321</v>
      </c>
      <c r="JX2" s="1">
        <f>(Table15678911121314[[#This Row],[failurecost500_rating8]]+Table15678911121314[[#This Row],[failurecost100_rating8]]+Table15678911121314[[#This Row],[failurecost50_rating8]]+Table15678911121314[[#This Row],[failurecost10_rating8]])</f>
        <v>0.18841264025111401</v>
      </c>
      <c r="JY2" s="1">
        <f>(Table15678911121314[[#This Row],[failurecost500_rating9]]+Table15678911121314[[#This Row],[failurecost100_rating9]]+Table15678911121314[[#This Row],[failurecost50_rating9]]+Table15678911121314[[#This Row],[failurecost10_rating9]])</f>
        <v>0.11775790015694625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0</v>
      </c>
      <c r="AR3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9520.728233804819</v>
      </c>
      <c r="AS3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9985.7559384332872</v>
      </c>
      <c r="AT3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3" s="1">
        <v>33.058268281580879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29385.127361405226</v>
      </c>
      <c r="GM3" s="1">
        <f>Sheet4!R33*$GF3*1000000</f>
        <v>16529.13414079044</v>
      </c>
      <c r="GN3" s="1">
        <f>Sheet4!S33*$GF3*1000000</f>
        <v>10578.645850105882</v>
      </c>
      <c r="GO3" s="1">
        <f>Sheet4!T33*$GF3*1000000</f>
        <v>7346.2818403513065</v>
      </c>
      <c r="GP3" s="1">
        <f>Sheet4!U33*$GF3*1000000</f>
        <v>5397.2682908703473</v>
      </c>
      <c r="GQ3" s="1">
        <f>Sheet4!V33*$GF3*1000000</f>
        <v>4132.28353519761</v>
      </c>
      <c r="GR3" s="1">
        <f>Sheet4!W33*$GF3*1000000</f>
        <v>3265.0141512672471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0.01</v>
      </c>
      <c r="HF3" s="1">
        <v>1.25E-3</v>
      </c>
      <c r="HG3" s="1">
        <v>2.7500000000000002E-4</v>
      </c>
      <c r="HH3" s="1">
        <v>1E-4</v>
      </c>
      <c r="HI3" s="1">
        <v>1.7499999999999998E-5</v>
      </c>
      <c r="HJ3" s="1">
        <v>4.5000000000000001E-6</v>
      </c>
      <c r="HK3" s="1">
        <v>4.5000000000000001E-6</v>
      </c>
      <c r="HL3" s="1">
        <v>9.9999999999999995E-8</v>
      </c>
      <c r="HM3" s="1">
        <v>6.2499999999999997E-8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Table15678911121314[[#This Row],[Total_Cost_MUSD]]*1000000*Table15678911121314[[#This Row],[prob500-failure_rating1]]/500</f>
        <v>661.16536563161765</v>
      </c>
      <c r="IG3" s="1">
        <f>Table15678911121314[[#This Row],[Total_Cost_MUSD]]*1000000*Table15678911121314[[#This Row],[prob500-failure_rating2]]/500</f>
        <v>330.58268281580882</v>
      </c>
      <c r="IH3" s="1">
        <f>Table15678911121314[[#This Row],[Total_Cost_MUSD]]*1000000*Table15678911121314[[#This Row],[prob500-failure_rating3]]/500</f>
        <v>72.728190219477938</v>
      </c>
      <c r="II3" s="1">
        <f>Table15678911121314[[#This Row],[Total_Cost_MUSD]]*1000000*Table15678911121314[[#This Row],[prob500-failure_rating4]]/500</f>
        <v>26.446614625264704</v>
      </c>
      <c r="IJ3" s="1">
        <f>Table15678911121314[[#This Row],[Total_Cost_MUSD]]*1000000*Table15678911121314[[#This Row],[prob500-failure_rating5]]/500</f>
        <v>4.6281575594213225</v>
      </c>
      <c r="IK3" s="1">
        <f>Table15678911121314[[#This Row],[Total_Cost_MUSD]]*1000000*Table15678911121314[[#This Row],[prob500-failure_rating6]]/500</f>
        <v>1.1900976581369118</v>
      </c>
      <c r="IL3" s="1">
        <f>Table15678911121314[[#This Row],[Total_Cost_MUSD]]*1000000*Table15678911121314[[#This Row],[prob500-failure_rating7]]/500</f>
        <v>1.1900976581369118</v>
      </c>
      <c r="IM3" s="1">
        <f>Table15678911121314[[#This Row],[Total_Cost_MUSD]]*1000000*Table15678911121314[[#This Row],[prob500-failure_rating8]]/500</f>
        <v>2.6446614625264705E-2</v>
      </c>
      <c r="IN3" s="1">
        <f>Table15678911121314[[#This Row],[Total_Cost_MUSD]]*1000000*Table15678911121314[[#This Row],[prob500-failure_rating9]]/500</f>
        <v>1.6529134140790439E-2</v>
      </c>
      <c r="IO3" s="1">
        <f>Table15678911121314[[#This Row],[Total_Cost_MUSD]]*1000000*Table15678911121314[[#This Row],[prob100-failure_rating1]]/100</f>
        <v>3305.8268281580881</v>
      </c>
      <c r="IP3" s="1">
        <f>Table15678911121314[[#This Row],[Total_Cost_MUSD]]*1000000*Table15678911121314[[#This Row],[prob100-failure_rating2]]/100</f>
        <v>413.22835351976101</v>
      </c>
      <c r="IQ3" s="1">
        <f>Table15678911121314[[#This Row],[Total_Cost_MUSD]]*1000000*Table15678911121314[[#This Row],[prob100-failure_rating3]]/100</f>
        <v>90.910237774347422</v>
      </c>
      <c r="IR3" s="1">
        <f>Table15678911121314[[#This Row],[Total_Cost_MUSD]]*1000000*Table15678911121314[[#This Row],[prob100-failure_rating4]]/100</f>
        <v>33.058268281580879</v>
      </c>
      <c r="IS3" s="1">
        <f>Table15678911121314[[#This Row],[Total_Cost_MUSD]]*1000000*Table15678911121314[[#This Row],[prob100-failure_rating5]]/100</f>
        <v>5.7851969492766537</v>
      </c>
      <c r="IT3" s="1">
        <f>Table15678911121314[[#This Row],[Total_Cost_MUSD]]*1000000*Table15678911121314[[#This Row],[prob100-failure_rating6]]/100</f>
        <v>1.4876220726711398</v>
      </c>
      <c r="IU3" s="1">
        <f>Table15678911121314[[#This Row],[Total_Cost_MUSD]]*1000000*Table15678911121314[[#This Row],[prob100-failure_rating7]]/100</f>
        <v>1.4876220726711398</v>
      </c>
      <c r="IV3" s="1">
        <f>Table15678911121314[[#This Row],[Total_Cost_MUSD]]*1000000*Table15678911121314[[#This Row],[prob100-failure_rating8]]/100</f>
        <v>3.3058268281580878E-2</v>
      </c>
      <c r="IW3" s="1">
        <f>Table15678911121314[[#This Row],[Total_Cost_MUSD]]*1000000*Table15678911121314[[#This Row],[prob100-failure_rating9]]/100</f>
        <v>2.0661417675988048E-2</v>
      </c>
      <c r="IX3" s="1">
        <f>Table15678911121314[[#This Row],[Total_Cost_MUSD]]*1000000*Table15678911121314[[#This Row],[prob50-failure_rating1]]/50</f>
        <v>6611.6536563161762</v>
      </c>
      <c r="IY3" s="1">
        <f>Table15678911121314[[#This Row],[Total_Cost_MUSD]]*1000000*Table15678911121314[[#This Row],[prob50-failure_rating2]]/50</f>
        <v>550.97113802634806</v>
      </c>
      <c r="IZ3" s="1">
        <f>Table15678911121314[[#This Row],[Total_Cost_MUSD]]*1000000*Table15678911121314[[#This Row],[prob50-failure_rating3]]/50</f>
        <v>121.21365036579657</v>
      </c>
      <c r="JA3" s="1">
        <f>Table15678911121314[[#This Row],[Total_Cost_MUSD]]*1000000*Table15678911121314[[#This Row],[prob50-failure_rating4]]/50</f>
        <v>44.077691042107844</v>
      </c>
      <c r="JB3" s="1">
        <f>Table15678911121314[[#This Row],[Total_Cost_MUSD]]*1000000*Table15678911121314[[#This Row],[prob50-failure_rating5]]/50</f>
        <v>7.7135959323688716</v>
      </c>
      <c r="JC3" s="1">
        <f>Table15678911121314[[#This Row],[Total_Cost_MUSD]]*1000000*Table15678911121314[[#This Row],[prob50-failure_rating6]]/50</f>
        <v>1.9834960968948527</v>
      </c>
      <c r="JD3" s="1">
        <f>Table15678911121314[[#This Row],[Total_Cost_MUSD]]*1000000*Table15678911121314[[#This Row],[prob50-failure_rating7]]/50</f>
        <v>1.9834960968948527</v>
      </c>
      <c r="JE3" s="1">
        <f>Table15678911121314[[#This Row],[Total_Cost_MUSD]]*1000000*Table15678911121314[[#This Row],[prob50-failure_rating8]]/50</f>
        <v>4.407769104210784E-2</v>
      </c>
      <c r="JF3" s="1">
        <f>Table15678911121314[[#This Row],[Total_Cost_MUSD]]*1000000*Table15678911121314[[#This Row],[prob50-failure_rating9]]/50</f>
        <v>2.7548556901317398E-2</v>
      </c>
      <c r="JG3" s="1">
        <f>Table15678911121314[[#This Row],[Total_Cost_MUSD]]*1000000*Table15678911121314[[#This Row],[prob10-failure_rating1]]/10</f>
        <v>33058.26828158088</v>
      </c>
      <c r="JH3" s="1">
        <f>Table15678911121314[[#This Row],[Total_Cost_MUSD]]*1000000*Table15678911121314[[#This Row],[prob10-failure_rating2]]/10</f>
        <v>1652.9134140790441</v>
      </c>
      <c r="JI3" s="1">
        <f>Table15678911121314[[#This Row],[Total_Cost_MUSD]]*1000000*Table15678911121314[[#This Row],[prob10-failure_rating3]]/10</f>
        <v>363.64095109738969</v>
      </c>
      <c r="JJ3" s="1">
        <f>Table15678911121314[[#This Row],[Total_Cost_MUSD]]*1000000*Table15678911121314[[#This Row],[prob10-failure_rating4]]/10</f>
        <v>132.23307312632352</v>
      </c>
      <c r="JK3" s="1">
        <f>Table15678911121314[[#This Row],[Total_Cost_MUSD]]*1000000*Table15678911121314[[#This Row],[prob10-failure_rating5]]/10</f>
        <v>23.140787797106615</v>
      </c>
      <c r="JL3" s="1">
        <f>Table15678911121314[[#This Row],[Total_Cost_MUSD]]*1000000*Table15678911121314[[#This Row],[prob10-failure_rating6]]/10</f>
        <v>5.9504882906845591</v>
      </c>
      <c r="JM3" s="1">
        <f>Table15678911121314[[#This Row],[Total_Cost_MUSD]]*1000000*Table15678911121314[[#This Row],[prob10-failure_rating7]]/10</f>
        <v>5.9504882906845591</v>
      </c>
      <c r="JN3" s="1">
        <f>Table15678911121314[[#This Row],[Total_Cost_MUSD]]*1000000*Table15678911121314[[#This Row],[prob10-failure_rating8]]/10</f>
        <v>0.13223307312632354</v>
      </c>
      <c r="JO3" s="1">
        <f>Table15678911121314[[#This Row],[Total_Cost_MUSD]]*1000000*Table15678911121314[[#This Row],[prob10-failure_rating9]]/10</f>
        <v>8.2645670703952206E-2</v>
      </c>
      <c r="JP3" s="1">
        <f>Table15678911121314[[#This Row],[FailureCost_Rating1]]</f>
        <v>2947.6955884409617</v>
      </c>
      <c r="JQ3" s="1">
        <f>Table15678911121314[[#This Row],[FailureCost_Rating2]]</f>
        <v>2947.6955884409617</v>
      </c>
      <c r="JR3" s="1">
        <f>(Table15678911121314[[#This Row],[failurecost500_rating2]]+Table15678911121314[[#This Row],[failurecost100_rating2]]+Table15678911121314[[#This Row],[failurecost50_rating2]]+Table15678911121314[[#This Row],[failurecost10_rating2]])</f>
        <v>2947.6955884409617</v>
      </c>
      <c r="JS3" s="1">
        <f>(Table15678911121314[[#This Row],[failurecost500_rating3]]+Table15678911121314[[#This Row],[failurecost100_rating3]]+Table15678911121314[[#This Row],[failurecost50_rating3]]+Table15678911121314[[#This Row],[failurecost10_rating3]])</f>
        <v>648.49302945701163</v>
      </c>
      <c r="JT3" s="1">
        <f>(Table15678911121314[[#This Row],[failurecost500_rating4]]+Table15678911121314[[#This Row],[failurecost100_rating4]]+Table15678911121314[[#This Row],[failurecost50_rating4]]+Table15678911121314[[#This Row],[failurecost10_rating4]])</f>
        <v>235.81564707527696</v>
      </c>
      <c r="JU3" s="1">
        <f>(Table15678911121314[[#This Row],[failurecost500_rating5]]+Table15678911121314[[#This Row],[failurecost100_rating5]]+Table15678911121314[[#This Row],[failurecost50_rating5]]+Table15678911121314[[#This Row],[failurecost10_rating5]])</f>
        <v>41.267738238173465</v>
      </c>
      <c r="JV3" s="1">
        <f>(Table15678911121314[[#This Row],[failurecost500_rating6]]+Table15678911121314[[#This Row],[failurecost100_rating6]]+Table15678911121314[[#This Row],[failurecost50_rating6]]+Table15678911121314[[#This Row],[failurecost10_rating6]])</f>
        <v>10.611704118387463</v>
      </c>
      <c r="JW3" s="1">
        <f>(Table15678911121314[[#This Row],[failurecost500_rating7]]+Table15678911121314[[#This Row],[failurecost100_rating7]]+Table15678911121314[[#This Row],[failurecost50_rating7]]+Table15678911121314[[#This Row],[failurecost10_rating7]])</f>
        <v>10.611704118387463</v>
      </c>
      <c r="JX3" s="1">
        <f>(Table15678911121314[[#This Row],[failurecost500_rating8]]+Table15678911121314[[#This Row],[failurecost100_rating8]]+Table15678911121314[[#This Row],[failurecost50_rating8]]+Table15678911121314[[#This Row],[failurecost10_rating8]])</f>
        <v>0.23581564707527697</v>
      </c>
      <c r="JY3" s="1">
        <f>(Table15678911121314[[#This Row],[failurecost500_rating9]]+Table15678911121314[[#This Row],[failurecost100_rating9]]+Table15678911121314[[#This Row],[failurecost50_rating9]]+Table15678911121314[[#This Row],[failurecost10_rating9]])</f>
        <v>0.14738477942204808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0</v>
      </c>
      <c r="AR4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5183.5345730170238</v>
      </c>
      <c r="AS4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5452.2219529566692</v>
      </c>
      <c r="AT4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9.6000000000000002E-2</v>
      </c>
      <c r="GF4" s="1">
        <v>39.269662046975938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34906.366263978613</v>
      </c>
      <c r="GM4" s="1">
        <f>Sheet4!R34*$GF4*1000000</f>
        <v>19634.831023487972</v>
      </c>
      <c r="GN4" s="1">
        <f>Sheet4!S34*$GF4*1000000</f>
        <v>12566.291855032305</v>
      </c>
      <c r="GO4" s="1">
        <f>Sheet4!T34*$GF4*1000000</f>
        <v>8726.5915659946531</v>
      </c>
      <c r="GP4" s="1">
        <f>Sheet4!U34*$GF4*1000000</f>
        <v>6411.3733954246445</v>
      </c>
      <c r="GQ4" s="1">
        <f>Sheet4!V34*$GF4*1000000</f>
        <v>4908.707755871993</v>
      </c>
      <c r="GR4" s="1">
        <f>Sheet4!W34*$GF4*1000000</f>
        <v>3878.4851404420683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0.01</v>
      </c>
      <c r="HF4" s="1">
        <v>1.25E-3</v>
      </c>
      <c r="HG4" s="1">
        <v>2.7500000000000002E-4</v>
      </c>
      <c r="HH4" s="1">
        <v>1E-4</v>
      </c>
      <c r="HI4" s="1">
        <v>1.7499999999999998E-5</v>
      </c>
      <c r="HJ4" s="1">
        <v>4.5000000000000001E-6</v>
      </c>
      <c r="HK4" s="1">
        <v>4.5000000000000001E-6</v>
      </c>
      <c r="HL4" s="1">
        <v>9.9999999999999995E-8</v>
      </c>
      <c r="HM4" s="1">
        <v>6.2499999999999997E-8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Table15678911121314[[#This Row],[Total_Cost_MUSD]]*1000000*Table15678911121314[[#This Row],[prob500-failure_rating1]]/500</f>
        <v>785.39324093951882</v>
      </c>
      <c r="IG4" s="1">
        <f>Table15678911121314[[#This Row],[Total_Cost_MUSD]]*1000000*Table15678911121314[[#This Row],[prob500-failure_rating2]]/500</f>
        <v>392.69662046975941</v>
      </c>
      <c r="IH4" s="1">
        <f>Table15678911121314[[#This Row],[Total_Cost_MUSD]]*1000000*Table15678911121314[[#This Row],[prob500-failure_rating3]]/500</f>
        <v>86.393256503347075</v>
      </c>
      <c r="II4" s="1">
        <f>Table15678911121314[[#This Row],[Total_Cost_MUSD]]*1000000*Table15678911121314[[#This Row],[prob500-failure_rating4]]/500</f>
        <v>31.415729637580753</v>
      </c>
      <c r="IJ4" s="1">
        <f>Table15678911121314[[#This Row],[Total_Cost_MUSD]]*1000000*Table15678911121314[[#This Row],[prob500-failure_rating5]]/500</f>
        <v>5.4977526865766313</v>
      </c>
      <c r="IK4" s="1">
        <f>Table15678911121314[[#This Row],[Total_Cost_MUSD]]*1000000*Table15678911121314[[#This Row],[prob500-failure_rating6]]/500</f>
        <v>1.4137078336911337</v>
      </c>
      <c r="IL4" s="1">
        <f>Table15678911121314[[#This Row],[Total_Cost_MUSD]]*1000000*Table15678911121314[[#This Row],[prob500-failure_rating7]]/500</f>
        <v>1.4137078336911337</v>
      </c>
      <c r="IM4" s="1">
        <f>Table15678911121314[[#This Row],[Total_Cost_MUSD]]*1000000*Table15678911121314[[#This Row],[prob500-failure_rating8]]/500</f>
        <v>3.1415729637580748E-2</v>
      </c>
      <c r="IN4" s="1">
        <f>Table15678911121314[[#This Row],[Total_Cost_MUSD]]*1000000*Table15678911121314[[#This Row],[prob500-failure_rating9]]/500</f>
        <v>1.963483102348797E-2</v>
      </c>
      <c r="IO4" s="1">
        <f>Table15678911121314[[#This Row],[Total_Cost_MUSD]]*1000000*Table15678911121314[[#This Row],[prob100-failure_rating1]]/100</f>
        <v>3926.9662046975941</v>
      </c>
      <c r="IP4" s="1">
        <f>Table15678911121314[[#This Row],[Total_Cost_MUSD]]*1000000*Table15678911121314[[#This Row],[prob100-failure_rating2]]/100</f>
        <v>490.87077558719926</v>
      </c>
      <c r="IQ4" s="1">
        <f>Table15678911121314[[#This Row],[Total_Cost_MUSD]]*1000000*Table15678911121314[[#This Row],[prob100-failure_rating3]]/100</f>
        <v>107.99157062918384</v>
      </c>
      <c r="IR4" s="1">
        <f>Table15678911121314[[#This Row],[Total_Cost_MUSD]]*1000000*Table15678911121314[[#This Row],[prob100-failure_rating4]]/100</f>
        <v>39.269662046975938</v>
      </c>
      <c r="IS4" s="1">
        <f>Table15678911121314[[#This Row],[Total_Cost_MUSD]]*1000000*Table15678911121314[[#This Row],[prob100-failure_rating5]]/100</f>
        <v>6.8721908582207893</v>
      </c>
      <c r="IT4" s="1">
        <f>Table15678911121314[[#This Row],[Total_Cost_MUSD]]*1000000*Table15678911121314[[#This Row],[prob100-failure_rating6]]/100</f>
        <v>1.7671347921139173</v>
      </c>
      <c r="IU4" s="1">
        <f>Table15678911121314[[#This Row],[Total_Cost_MUSD]]*1000000*Table15678911121314[[#This Row],[prob100-failure_rating7]]/100</f>
        <v>1.7671347921139173</v>
      </c>
      <c r="IV4" s="1">
        <f>Table15678911121314[[#This Row],[Total_Cost_MUSD]]*1000000*Table15678911121314[[#This Row],[prob100-failure_rating8]]/100</f>
        <v>3.9269662046975934E-2</v>
      </c>
      <c r="IW4" s="1">
        <f>Table15678911121314[[#This Row],[Total_Cost_MUSD]]*1000000*Table15678911121314[[#This Row],[prob100-failure_rating9]]/100</f>
        <v>2.4543538779359962E-2</v>
      </c>
      <c r="IX4" s="1">
        <f>Table15678911121314[[#This Row],[Total_Cost_MUSD]]*1000000*Table15678911121314[[#This Row],[prob50-failure_rating1]]/50</f>
        <v>7853.9324093951882</v>
      </c>
      <c r="IY4" s="1">
        <f>Table15678911121314[[#This Row],[Total_Cost_MUSD]]*1000000*Table15678911121314[[#This Row],[prob50-failure_rating2]]/50</f>
        <v>654.49436744959905</v>
      </c>
      <c r="IZ4" s="1">
        <f>Table15678911121314[[#This Row],[Total_Cost_MUSD]]*1000000*Table15678911121314[[#This Row],[prob50-failure_rating3]]/50</f>
        <v>143.98876083891179</v>
      </c>
      <c r="JA4" s="1">
        <f>Table15678911121314[[#This Row],[Total_Cost_MUSD]]*1000000*Table15678911121314[[#This Row],[prob50-failure_rating4]]/50</f>
        <v>52.359549395967925</v>
      </c>
      <c r="JB4" s="1">
        <f>Table15678911121314[[#This Row],[Total_Cost_MUSD]]*1000000*Table15678911121314[[#This Row],[prob50-failure_rating5]]/50</f>
        <v>9.1629211442943852</v>
      </c>
      <c r="JC4" s="1">
        <f>Table15678911121314[[#This Row],[Total_Cost_MUSD]]*1000000*Table15678911121314[[#This Row],[prob50-failure_rating6]]/50</f>
        <v>2.3561797228185566</v>
      </c>
      <c r="JD4" s="1">
        <f>Table15678911121314[[#This Row],[Total_Cost_MUSD]]*1000000*Table15678911121314[[#This Row],[prob50-failure_rating7]]/50</f>
        <v>2.3561797228185566</v>
      </c>
      <c r="JE4" s="1">
        <f>Table15678911121314[[#This Row],[Total_Cost_MUSD]]*1000000*Table15678911121314[[#This Row],[prob50-failure_rating8]]/50</f>
        <v>5.2359549395967916E-2</v>
      </c>
      <c r="JF4" s="1">
        <f>Table15678911121314[[#This Row],[Total_Cost_MUSD]]*1000000*Table15678911121314[[#This Row],[prob50-failure_rating9]]/50</f>
        <v>3.272471837247995E-2</v>
      </c>
      <c r="JG4" s="1">
        <f>Table15678911121314[[#This Row],[Total_Cost_MUSD]]*1000000*Table15678911121314[[#This Row],[prob10-failure_rating1]]/10</f>
        <v>39269.662046975936</v>
      </c>
      <c r="JH4" s="1">
        <f>Table15678911121314[[#This Row],[Total_Cost_MUSD]]*1000000*Table15678911121314[[#This Row],[prob10-failure_rating2]]/10</f>
        <v>1963.4831023487973</v>
      </c>
      <c r="JI4" s="1">
        <f>Table15678911121314[[#This Row],[Total_Cost_MUSD]]*1000000*Table15678911121314[[#This Row],[prob10-failure_rating3]]/10</f>
        <v>431.96628251673536</v>
      </c>
      <c r="JJ4" s="1">
        <f>Table15678911121314[[#This Row],[Total_Cost_MUSD]]*1000000*Table15678911121314[[#This Row],[prob10-failure_rating4]]/10</f>
        <v>157.07864818790375</v>
      </c>
      <c r="JK4" s="1">
        <f>Table15678911121314[[#This Row],[Total_Cost_MUSD]]*1000000*Table15678911121314[[#This Row],[prob10-failure_rating5]]/10</f>
        <v>27.488763432883154</v>
      </c>
      <c r="JL4" s="1">
        <f>Table15678911121314[[#This Row],[Total_Cost_MUSD]]*1000000*Table15678911121314[[#This Row],[prob10-failure_rating6]]/10</f>
        <v>7.0685391684556693</v>
      </c>
      <c r="JM4" s="1">
        <f>Table15678911121314[[#This Row],[Total_Cost_MUSD]]*1000000*Table15678911121314[[#This Row],[prob10-failure_rating7]]/10</f>
        <v>7.0685391684556693</v>
      </c>
      <c r="JN4" s="1">
        <f>Table15678911121314[[#This Row],[Total_Cost_MUSD]]*1000000*Table15678911121314[[#This Row],[prob10-failure_rating8]]/10</f>
        <v>0.15707864818790376</v>
      </c>
      <c r="JO4" s="1">
        <f>Table15678911121314[[#This Row],[Total_Cost_MUSD]]*1000000*Table15678911121314[[#This Row],[prob10-failure_rating9]]/10</f>
        <v>9.8174155117439849E-2</v>
      </c>
      <c r="JP4" s="1">
        <f>Table15678911121314[[#This Row],[FailureCost_Rating1]]</f>
        <v>3501.5448658553551</v>
      </c>
      <c r="JQ4" s="1">
        <f>Table15678911121314[[#This Row],[FailureCost_Rating2]]</f>
        <v>3501.5448658553551</v>
      </c>
      <c r="JR4" s="1">
        <f>(Table15678911121314[[#This Row],[failurecost500_rating2]]+Table15678911121314[[#This Row],[failurecost100_rating2]]+Table15678911121314[[#This Row],[failurecost50_rating2]]+Table15678911121314[[#This Row],[failurecost10_rating2]])</f>
        <v>3501.5448658553551</v>
      </c>
      <c r="JS4" s="1">
        <f>(Table15678911121314[[#This Row],[failurecost500_rating3]]+Table15678911121314[[#This Row],[failurecost100_rating3]]+Table15678911121314[[#This Row],[failurecost50_rating3]]+Table15678911121314[[#This Row],[failurecost10_rating3]])</f>
        <v>770.33987048817812</v>
      </c>
      <c r="JT4" s="1">
        <f>(Table15678911121314[[#This Row],[failurecost500_rating4]]+Table15678911121314[[#This Row],[failurecost100_rating4]]+Table15678911121314[[#This Row],[failurecost50_rating4]]+Table15678911121314[[#This Row],[failurecost10_rating4]])</f>
        <v>280.12358926842836</v>
      </c>
      <c r="JU4" s="1">
        <f>(Table15678911121314[[#This Row],[failurecost500_rating5]]+Table15678911121314[[#This Row],[failurecost100_rating5]]+Table15678911121314[[#This Row],[failurecost50_rating5]]+Table15678911121314[[#This Row],[failurecost10_rating5]])</f>
        <v>49.021628121974956</v>
      </c>
      <c r="JV4" s="1">
        <f>(Table15678911121314[[#This Row],[failurecost500_rating6]]+Table15678911121314[[#This Row],[failurecost100_rating6]]+Table15678911121314[[#This Row],[failurecost50_rating6]]+Table15678911121314[[#This Row],[failurecost10_rating6]])</f>
        <v>12.605561517079277</v>
      </c>
      <c r="JW4" s="1">
        <f>(Table15678911121314[[#This Row],[failurecost500_rating7]]+Table15678911121314[[#This Row],[failurecost100_rating7]]+Table15678911121314[[#This Row],[failurecost50_rating7]]+Table15678911121314[[#This Row],[failurecost10_rating7]])</f>
        <v>12.605561517079277</v>
      </c>
      <c r="JX4" s="1">
        <f>(Table15678911121314[[#This Row],[failurecost500_rating8]]+Table15678911121314[[#This Row],[failurecost100_rating8]]+Table15678911121314[[#This Row],[failurecost50_rating8]]+Table15678911121314[[#This Row],[failurecost10_rating8]])</f>
        <v>0.28012358926842834</v>
      </c>
      <c r="JY4" s="1">
        <f>(Table15678911121314[[#This Row],[failurecost500_rating9]]+Table15678911121314[[#This Row],[failurecost100_rating9]]+Table15678911121314[[#This Row],[failurecost50_rating9]]+Table15678911121314[[#This Row],[failurecost10_rating9]])</f>
        <v>0.17507724329276775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0</v>
      </c>
      <c r="AR5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8698.4034732067958</v>
      </c>
      <c r="AS5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10436.848001870483</v>
      </c>
      <c r="AT5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9.6000000000000002E-2</v>
      </c>
      <c r="GF5" s="1">
        <v>30.621401866054306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27219.023880937159</v>
      </c>
      <c r="GM5" s="1">
        <f>Sheet4!R35*$GF5*1000000</f>
        <v>15310.700933027158</v>
      </c>
      <c r="GN5" s="1">
        <f>Sheet4!S35*$GF5*1000000</f>
        <v>9798.8485971373793</v>
      </c>
      <c r="GO5" s="1">
        <f>Sheet4!T35*$GF5*1000000</f>
        <v>6804.7559702342896</v>
      </c>
      <c r="GP5" s="1">
        <f>Sheet4!U35*$GF5*1000000</f>
        <v>4999.4125495598873</v>
      </c>
      <c r="GQ5" s="1">
        <f>Sheet4!V35*$GF5*1000000</f>
        <v>3827.6752332567894</v>
      </c>
      <c r="GR5" s="1">
        <f>Sheet4!W35*$GF5*1000000</f>
        <v>3024.3359867707959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0.01</v>
      </c>
      <c r="HF5" s="1">
        <v>1.25E-3</v>
      </c>
      <c r="HG5" s="1">
        <v>2.7500000000000002E-4</v>
      </c>
      <c r="HH5" s="1">
        <v>1E-4</v>
      </c>
      <c r="HI5" s="1">
        <v>1.7499999999999998E-5</v>
      </c>
      <c r="HJ5" s="1">
        <v>4.5000000000000001E-6</v>
      </c>
      <c r="HK5" s="1">
        <v>4.5000000000000001E-6</v>
      </c>
      <c r="HL5" s="1">
        <v>9.9999999999999995E-8</v>
      </c>
      <c r="HM5" s="1">
        <v>6.2499999999999997E-8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Table15678911121314[[#This Row],[Total_Cost_MUSD]]*1000000*Table15678911121314[[#This Row],[prob500-failure_rating1]]/500</f>
        <v>612.42803732108621</v>
      </c>
      <c r="IG5" s="1">
        <f>Table15678911121314[[#This Row],[Total_Cost_MUSD]]*1000000*Table15678911121314[[#This Row],[prob500-failure_rating2]]/500</f>
        <v>306.2140186605431</v>
      </c>
      <c r="IH5" s="1">
        <f>Table15678911121314[[#This Row],[Total_Cost_MUSD]]*1000000*Table15678911121314[[#This Row],[prob500-failure_rating3]]/500</f>
        <v>67.367084105319478</v>
      </c>
      <c r="II5" s="1">
        <f>Table15678911121314[[#This Row],[Total_Cost_MUSD]]*1000000*Table15678911121314[[#This Row],[prob500-failure_rating4]]/500</f>
        <v>24.497121492843444</v>
      </c>
      <c r="IJ5" s="1">
        <f>Table15678911121314[[#This Row],[Total_Cost_MUSD]]*1000000*Table15678911121314[[#This Row],[prob500-failure_rating5]]/500</f>
        <v>4.2869962612476025</v>
      </c>
      <c r="IK5" s="1">
        <f>Table15678911121314[[#This Row],[Total_Cost_MUSD]]*1000000*Table15678911121314[[#This Row],[prob500-failure_rating6]]/500</f>
        <v>1.1023704671779551</v>
      </c>
      <c r="IL5" s="1">
        <f>Table15678911121314[[#This Row],[Total_Cost_MUSD]]*1000000*Table15678911121314[[#This Row],[prob500-failure_rating7]]/500</f>
        <v>1.1023704671779551</v>
      </c>
      <c r="IM5" s="1">
        <f>Table15678911121314[[#This Row],[Total_Cost_MUSD]]*1000000*Table15678911121314[[#This Row],[prob500-failure_rating8]]/500</f>
        <v>2.4497121492843443E-2</v>
      </c>
      <c r="IN5" s="1">
        <f>Table15678911121314[[#This Row],[Total_Cost_MUSD]]*1000000*Table15678911121314[[#This Row],[prob500-failure_rating9]]/500</f>
        <v>1.5310700933027154E-2</v>
      </c>
      <c r="IO5" s="1">
        <f>Table15678911121314[[#This Row],[Total_Cost_MUSD]]*1000000*Table15678911121314[[#This Row],[prob100-failure_rating1]]/100</f>
        <v>3062.1401866054307</v>
      </c>
      <c r="IP5" s="1">
        <f>Table15678911121314[[#This Row],[Total_Cost_MUSD]]*1000000*Table15678911121314[[#This Row],[prob100-failure_rating2]]/100</f>
        <v>382.76752332567884</v>
      </c>
      <c r="IQ5" s="1">
        <f>Table15678911121314[[#This Row],[Total_Cost_MUSD]]*1000000*Table15678911121314[[#This Row],[prob100-failure_rating3]]/100</f>
        <v>84.208855131649344</v>
      </c>
      <c r="IR5" s="1">
        <f>Table15678911121314[[#This Row],[Total_Cost_MUSD]]*1000000*Table15678911121314[[#This Row],[prob100-failure_rating4]]/100</f>
        <v>30.621401866054306</v>
      </c>
      <c r="IS5" s="1">
        <f>Table15678911121314[[#This Row],[Total_Cost_MUSD]]*1000000*Table15678911121314[[#This Row],[prob100-failure_rating5]]/100</f>
        <v>5.3587453265595038</v>
      </c>
      <c r="IT5" s="1">
        <f>Table15678911121314[[#This Row],[Total_Cost_MUSD]]*1000000*Table15678911121314[[#This Row],[prob100-failure_rating6]]/100</f>
        <v>1.3779630839724439</v>
      </c>
      <c r="IU5" s="1">
        <f>Table15678911121314[[#This Row],[Total_Cost_MUSD]]*1000000*Table15678911121314[[#This Row],[prob100-failure_rating7]]/100</f>
        <v>1.3779630839724439</v>
      </c>
      <c r="IV5" s="1">
        <f>Table15678911121314[[#This Row],[Total_Cost_MUSD]]*1000000*Table15678911121314[[#This Row],[prob100-failure_rating8]]/100</f>
        <v>3.0621401866054304E-2</v>
      </c>
      <c r="IW5" s="1">
        <f>Table15678911121314[[#This Row],[Total_Cost_MUSD]]*1000000*Table15678911121314[[#This Row],[prob100-failure_rating9]]/100</f>
        <v>1.913837616628394E-2</v>
      </c>
      <c r="IX5" s="1">
        <f>Table15678911121314[[#This Row],[Total_Cost_MUSD]]*1000000*Table15678911121314[[#This Row],[prob50-failure_rating1]]/50</f>
        <v>6124.2803732108614</v>
      </c>
      <c r="IY5" s="1">
        <f>Table15678911121314[[#This Row],[Total_Cost_MUSD]]*1000000*Table15678911121314[[#This Row],[prob50-failure_rating2]]/50</f>
        <v>510.3566977675718</v>
      </c>
      <c r="IZ5" s="1">
        <f>Table15678911121314[[#This Row],[Total_Cost_MUSD]]*1000000*Table15678911121314[[#This Row],[prob50-failure_rating3]]/50</f>
        <v>112.27847350886579</v>
      </c>
      <c r="JA5" s="1">
        <f>Table15678911121314[[#This Row],[Total_Cost_MUSD]]*1000000*Table15678911121314[[#This Row],[prob50-failure_rating4]]/50</f>
        <v>40.828535821405744</v>
      </c>
      <c r="JB5" s="1">
        <f>Table15678911121314[[#This Row],[Total_Cost_MUSD]]*1000000*Table15678911121314[[#This Row],[prob50-failure_rating5]]/50</f>
        <v>7.1449937687460041</v>
      </c>
      <c r="JC5" s="1">
        <f>Table15678911121314[[#This Row],[Total_Cost_MUSD]]*1000000*Table15678911121314[[#This Row],[prob50-failure_rating6]]/50</f>
        <v>1.8372841119632586</v>
      </c>
      <c r="JD5" s="1">
        <f>Table15678911121314[[#This Row],[Total_Cost_MUSD]]*1000000*Table15678911121314[[#This Row],[prob50-failure_rating7]]/50</f>
        <v>1.8372841119632586</v>
      </c>
      <c r="JE5" s="1">
        <f>Table15678911121314[[#This Row],[Total_Cost_MUSD]]*1000000*Table15678911121314[[#This Row],[prob50-failure_rating8]]/50</f>
        <v>4.0828535821405741E-2</v>
      </c>
      <c r="JF5" s="1">
        <f>Table15678911121314[[#This Row],[Total_Cost_MUSD]]*1000000*Table15678911121314[[#This Row],[prob50-failure_rating9]]/50</f>
        <v>2.5517834888378586E-2</v>
      </c>
      <c r="JG5" s="1">
        <f>Table15678911121314[[#This Row],[Total_Cost_MUSD]]*1000000*Table15678911121314[[#This Row],[prob10-failure_rating1]]/10</f>
        <v>30621.401866054308</v>
      </c>
      <c r="JH5" s="1">
        <f>Table15678911121314[[#This Row],[Total_Cost_MUSD]]*1000000*Table15678911121314[[#This Row],[prob10-failure_rating2]]/10</f>
        <v>1531.0700933027153</v>
      </c>
      <c r="JI5" s="1">
        <f>Table15678911121314[[#This Row],[Total_Cost_MUSD]]*1000000*Table15678911121314[[#This Row],[prob10-failure_rating3]]/10</f>
        <v>336.83542052659743</v>
      </c>
      <c r="JJ5" s="1">
        <f>Table15678911121314[[#This Row],[Total_Cost_MUSD]]*1000000*Table15678911121314[[#This Row],[prob10-failure_rating4]]/10</f>
        <v>122.48560746421724</v>
      </c>
      <c r="JK5" s="1">
        <f>Table15678911121314[[#This Row],[Total_Cost_MUSD]]*1000000*Table15678911121314[[#This Row],[prob10-failure_rating5]]/10</f>
        <v>21.434981306238011</v>
      </c>
      <c r="JL5" s="1">
        <f>Table15678911121314[[#This Row],[Total_Cost_MUSD]]*1000000*Table15678911121314[[#This Row],[prob10-failure_rating6]]/10</f>
        <v>5.5118523358897757</v>
      </c>
      <c r="JM5" s="1">
        <f>Table15678911121314[[#This Row],[Total_Cost_MUSD]]*1000000*Table15678911121314[[#This Row],[prob10-failure_rating7]]/10</f>
        <v>5.5118523358897757</v>
      </c>
      <c r="JN5" s="1">
        <f>Table15678911121314[[#This Row],[Total_Cost_MUSD]]*1000000*Table15678911121314[[#This Row],[prob10-failure_rating8]]/10</f>
        <v>0.12248560746421724</v>
      </c>
      <c r="JO5" s="1">
        <f>Table15678911121314[[#This Row],[Total_Cost_MUSD]]*1000000*Table15678911121314[[#This Row],[prob10-failure_rating9]]/10</f>
        <v>7.655350466513576E-2</v>
      </c>
      <c r="JP5" s="1">
        <f>Table15678911121314[[#This Row],[FailureCost_Rating1]]</f>
        <v>2730.408333056509</v>
      </c>
      <c r="JQ5" s="1">
        <f>Table15678911121314[[#This Row],[FailureCost_Rating2]]</f>
        <v>2730.408333056509</v>
      </c>
      <c r="JR5" s="1">
        <f>(Table15678911121314[[#This Row],[failurecost500_rating2]]+Table15678911121314[[#This Row],[failurecost100_rating2]]+Table15678911121314[[#This Row],[failurecost50_rating2]]+Table15678911121314[[#This Row],[failurecost10_rating2]])</f>
        <v>2730.408333056509</v>
      </c>
      <c r="JS5" s="1">
        <f>(Table15678911121314[[#This Row],[failurecost500_rating3]]+Table15678911121314[[#This Row],[failurecost100_rating3]]+Table15678911121314[[#This Row],[failurecost50_rating3]]+Table15678911121314[[#This Row],[failurecost10_rating3]])</f>
        <v>600.689833272432</v>
      </c>
      <c r="JT5" s="1">
        <f>(Table15678911121314[[#This Row],[failurecost500_rating4]]+Table15678911121314[[#This Row],[failurecost100_rating4]]+Table15678911121314[[#This Row],[failurecost50_rating4]]+Table15678911121314[[#This Row],[failurecost10_rating4]])</f>
        <v>218.43266664452074</v>
      </c>
      <c r="JU5" s="1">
        <f>(Table15678911121314[[#This Row],[failurecost500_rating5]]+Table15678911121314[[#This Row],[failurecost100_rating5]]+Table15678911121314[[#This Row],[failurecost50_rating5]]+Table15678911121314[[#This Row],[failurecost10_rating5]])</f>
        <v>38.225716662791122</v>
      </c>
      <c r="JV5" s="1">
        <f>(Table15678911121314[[#This Row],[failurecost500_rating6]]+Table15678911121314[[#This Row],[failurecost100_rating6]]+Table15678911121314[[#This Row],[failurecost50_rating6]]+Table15678911121314[[#This Row],[failurecost10_rating6]])</f>
        <v>9.8294699990034324</v>
      </c>
      <c r="JW5" s="1">
        <f>(Table15678911121314[[#This Row],[failurecost500_rating7]]+Table15678911121314[[#This Row],[failurecost100_rating7]]+Table15678911121314[[#This Row],[failurecost50_rating7]]+Table15678911121314[[#This Row],[failurecost10_rating7]])</f>
        <v>9.8294699990034324</v>
      </c>
      <c r="JX5" s="1">
        <f>(Table15678911121314[[#This Row],[failurecost500_rating8]]+Table15678911121314[[#This Row],[failurecost100_rating8]]+Table15678911121314[[#This Row],[failurecost50_rating8]]+Table15678911121314[[#This Row],[failurecost10_rating8]])</f>
        <v>0.21843266664452074</v>
      </c>
      <c r="JY5" s="1">
        <f>(Table15678911121314[[#This Row],[failurecost500_rating9]]+Table15678911121314[[#This Row],[failurecost100_rating9]]+Table15678911121314[[#This Row],[failurecost50_rating9]]+Table15678911121314[[#This Row],[failurecost10_rating9]])</f>
        <v>0.13652041665282544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16919.4190908581</v>
      </c>
      <c r="AR6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18202.748839783562</v>
      </c>
      <c r="AS6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18769.361851972091</v>
      </c>
      <c r="AT6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6" s="1">
        <v>33.953677456150011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30181.046627688895</v>
      </c>
      <c r="GM6" s="1">
        <f>Sheet4!R36*$GF6*1000000</f>
        <v>16976.838728075007</v>
      </c>
      <c r="GN6" s="1">
        <f>Sheet4!S36*$GF6*1000000</f>
        <v>10865.176785968004</v>
      </c>
      <c r="GO6" s="1">
        <f>Sheet4!T36*$GF6*1000000</f>
        <v>7545.2616569222237</v>
      </c>
      <c r="GP6" s="1">
        <f>Sheet4!U36*$GF6*1000000</f>
        <v>5543.4575438612255</v>
      </c>
      <c r="GQ6" s="1">
        <f>Sheet4!V36*$GF6*1000000</f>
        <v>4244.2096820187517</v>
      </c>
      <c r="GR6" s="1">
        <f>Sheet4!W36*$GF6*1000000</f>
        <v>3353.4496252987665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0.01</v>
      </c>
      <c r="HF6" s="1">
        <v>1.25E-3</v>
      </c>
      <c r="HG6" s="1">
        <v>2.7500000000000002E-4</v>
      </c>
      <c r="HH6" s="1">
        <v>1E-4</v>
      </c>
      <c r="HI6" s="1">
        <v>1.7499999999999998E-5</v>
      </c>
      <c r="HJ6" s="1">
        <v>4.5000000000000001E-6</v>
      </c>
      <c r="HK6" s="1">
        <v>4.5000000000000001E-6</v>
      </c>
      <c r="HL6" s="1">
        <v>9.9999999999999995E-8</v>
      </c>
      <c r="HM6" s="1">
        <v>6.2499999999999997E-8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Table15678911121314[[#This Row],[Total_Cost_MUSD]]*1000000*Table15678911121314[[#This Row],[prob500-failure_rating1]]/500</f>
        <v>679.07354912300025</v>
      </c>
      <c r="IG6" s="1">
        <f>Table15678911121314[[#This Row],[Total_Cost_MUSD]]*1000000*Table15678911121314[[#This Row],[prob500-failure_rating2]]/500</f>
        <v>339.53677456150012</v>
      </c>
      <c r="IH6" s="1">
        <f>Table15678911121314[[#This Row],[Total_Cost_MUSD]]*1000000*Table15678911121314[[#This Row],[prob500-failure_rating3]]/500</f>
        <v>74.698090403530031</v>
      </c>
      <c r="II6" s="1">
        <f>Table15678911121314[[#This Row],[Total_Cost_MUSD]]*1000000*Table15678911121314[[#This Row],[prob500-failure_rating4]]/500</f>
        <v>27.162941964920009</v>
      </c>
      <c r="IJ6" s="1">
        <f>Table15678911121314[[#This Row],[Total_Cost_MUSD]]*1000000*Table15678911121314[[#This Row],[prob500-failure_rating5]]/500</f>
        <v>4.7535148438610015</v>
      </c>
      <c r="IK6" s="1">
        <f>Table15678911121314[[#This Row],[Total_Cost_MUSD]]*1000000*Table15678911121314[[#This Row],[prob500-failure_rating6]]/500</f>
        <v>1.2223323884214004</v>
      </c>
      <c r="IL6" s="1">
        <f>Table15678911121314[[#This Row],[Total_Cost_MUSD]]*1000000*Table15678911121314[[#This Row],[prob500-failure_rating7]]/500</f>
        <v>1.2223323884214004</v>
      </c>
      <c r="IM6" s="1">
        <f>Table15678911121314[[#This Row],[Total_Cost_MUSD]]*1000000*Table15678911121314[[#This Row],[prob500-failure_rating8]]/500</f>
        <v>2.7162941964920004E-2</v>
      </c>
      <c r="IN6" s="1">
        <f>Table15678911121314[[#This Row],[Total_Cost_MUSD]]*1000000*Table15678911121314[[#This Row],[prob500-failure_rating9]]/500</f>
        <v>1.6976838728075004E-2</v>
      </c>
      <c r="IO6" s="1">
        <f>Table15678911121314[[#This Row],[Total_Cost_MUSD]]*1000000*Table15678911121314[[#This Row],[prob100-failure_rating1]]/100</f>
        <v>3395.3677456150012</v>
      </c>
      <c r="IP6" s="1">
        <f>Table15678911121314[[#This Row],[Total_Cost_MUSD]]*1000000*Table15678911121314[[#This Row],[prob100-failure_rating2]]/100</f>
        <v>424.42096820187516</v>
      </c>
      <c r="IQ6" s="1">
        <f>Table15678911121314[[#This Row],[Total_Cost_MUSD]]*1000000*Table15678911121314[[#This Row],[prob100-failure_rating3]]/100</f>
        <v>93.372613004412543</v>
      </c>
      <c r="IR6" s="1">
        <f>Table15678911121314[[#This Row],[Total_Cost_MUSD]]*1000000*Table15678911121314[[#This Row],[prob100-failure_rating4]]/100</f>
        <v>33.953677456150011</v>
      </c>
      <c r="IS6" s="1">
        <f>Table15678911121314[[#This Row],[Total_Cost_MUSD]]*1000000*Table15678911121314[[#This Row],[prob100-failure_rating5]]/100</f>
        <v>5.9418935548262519</v>
      </c>
      <c r="IT6" s="1">
        <f>Table15678911121314[[#This Row],[Total_Cost_MUSD]]*1000000*Table15678911121314[[#This Row],[prob100-failure_rating6]]/100</f>
        <v>1.5279154855267505</v>
      </c>
      <c r="IU6" s="1">
        <f>Table15678911121314[[#This Row],[Total_Cost_MUSD]]*1000000*Table15678911121314[[#This Row],[prob100-failure_rating7]]/100</f>
        <v>1.5279154855267505</v>
      </c>
      <c r="IV6" s="1">
        <f>Table15678911121314[[#This Row],[Total_Cost_MUSD]]*1000000*Table15678911121314[[#This Row],[prob100-failure_rating8]]/100</f>
        <v>3.3953677456150008E-2</v>
      </c>
      <c r="IW6" s="1">
        <f>Table15678911121314[[#This Row],[Total_Cost_MUSD]]*1000000*Table15678911121314[[#This Row],[prob100-failure_rating9]]/100</f>
        <v>2.1221048410093757E-2</v>
      </c>
      <c r="IX6" s="1">
        <f>Table15678911121314[[#This Row],[Total_Cost_MUSD]]*1000000*Table15678911121314[[#This Row],[prob50-failure_rating1]]/50</f>
        <v>6790.7354912300025</v>
      </c>
      <c r="IY6" s="1">
        <f>Table15678911121314[[#This Row],[Total_Cost_MUSD]]*1000000*Table15678911121314[[#This Row],[prob50-failure_rating2]]/50</f>
        <v>565.89462426916691</v>
      </c>
      <c r="IZ6" s="1">
        <f>Table15678911121314[[#This Row],[Total_Cost_MUSD]]*1000000*Table15678911121314[[#This Row],[prob50-failure_rating3]]/50</f>
        <v>124.4968173392167</v>
      </c>
      <c r="JA6" s="1">
        <f>Table15678911121314[[#This Row],[Total_Cost_MUSD]]*1000000*Table15678911121314[[#This Row],[prob50-failure_rating4]]/50</f>
        <v>45.27156994153335</v>
      </c>
      <c r="JB6" s="1">
        <f>Table15678911121314[[#This Row],[Total_Cost_MUSD]]*1000000*Table15678911121314[[#This Row],[prob50-failure_rating5]]/50</f>
        <v>7.9225247397683356</v>
      </c>
      <c r="JC6" s="1">
        <f>Table15678911121314[[#This Row],[Total_Cost_MUSD]]*1000000*Table15678911121314[[#This Row],[prob50-failure_rating6]]/50</f>
        <v>2.0372206473690007</v>
      </c>
      <c r="JD6" s="1">
        <f>Table15678911121314[[#This Row],[Total_Cost_MUSD]]*1000000*Table15678911121314[[#This Row],[prob50-failure_rating7]]/50</f>
        <v>2.0372206473690007</v>
      </c>
      <c r="JE6" s="1">
        <f>Table15678911121314[[#This Row],[Total_Cost_MUSD]]*1000000*Table15678911121314[[#This Row],[prob50-failure_rating8]]/50</f>
        <v>4.5271569941533342E-2</v>
      </c>
      <c r="JF6" s="1">
        <f>Table15678911121314[[#This Row],[Total_Cost_MUSD]]*1000000*Table15678911121314[[#This Row],[prob50-failure_rating9]]/50</f>
        <v>2.8294731213458338E-2</v>
      </c>
      <c r="JG6" s="1">
        <f>Table15678911121314[[#This Row],[Total_Cost_MUSD]]*1000000*Table15678911121314[[#This Row],[prob10-failure_rating1]]/10</f>
        <v>33953.677456150013</v>
      </c>
      <c r="JH6" s="1">
        <f>Table15678911121314[[#This Row],[Total_Cost_MUSD]]*1000000*Table15678911121314[[#This Row],[prob10-failure_rating2]]/10</f>
        <v>1697.6838728075006</v>
      </c>
      <c r="JI6" s="1">
        <f>Table15678911121314[[#This Row],[Total_Cost_MUSD]]*1000000*Table15678911121314[[#This Row],[prob10-failure_rating3]]/10</f>
        <v>373.49045201765011</v>
      </c>
      <c r="JJ6" s="1">
        <f>Table15678911121314[[#This Row],[Total_Cost_MUSD]]*1000000*Table15678911121314[[#This Row],[prob10-failure_rating4]]/10</f>
        <v>135.81470982460004</v>
      </c>
      <c r="JK6" s="1">
        <f>Table15678911121314[[#This Row],[Total_Cost_MUSD]]*1000000*Table15678911121314[[#This Row],[prob10-failure_rating5]]/10</f>
        <v>23.767574219305004</v>
      </c>
      <c r="JL6" s="1">
        <f>Table15678911121314[[#This Row],[Total_Cost_MUSD]]*1000000*Table15678911121314[[#This Row],[prob10-failure_rating6]]/10</f>
        <v>6.111661942107002</v>
      </c>
      <c r="JM6" s="1">
        <f>Table15678911121314[[#This Row],[Total_Cost_MUSD]]*1000000*Table15678911121314[[#This Row],[prob10-failure_rating7]]/10</f>
        <v>6.111661942107002</v>
      </c>
      <c r="JN6" s="1">
        <f>Table15678911121314[[#This Row],[Total_Cost_MUSD]]*1000000*Table15678911121314[[#This Row],[prob10-failure_rating8]]/10</f>
        <v>0.13581470982460003</v>
      </c>
      <c r="JO6" s="1">
        <f>Table15678911121314[[#This Row],[Total_Cost_MUSD]]*1000000*Table15678911121314[[#This Row],[prob10-failure_rating9]]/10</f>
        <v>8.4884193640375014E-2</v>
      </c>
      <c r="JP6" s="1">
        <f>Table15678911121314[[#This Row],[FailureCost_Rating1]]</f>
        <v>3027.536239840043</v>
      </c>
      <c r="JQ6" s="1">
        <f>Table15678911121314[[#This Row],[FailureCost_Rating2]]</f>
        <v>3027.536239840043</v>
      </c>
      <c r="JR6" s="1">
        <f>(Table15678911121314[[#This Row],[failurecost500_rating2]]+Table15678911121314[[#This Row],[failurecost100_rating2]]+Table15678911121314[[#This Row],[failurecost50_rating2]]+Table15678911121314[[#This Row],[failurecost10_rating2]])</f>
        <v>3027.536239840043</v>
      </c>
      <c r="JS6" s="1">
        <f>(Table15678911121314[[#This Row],[failurecost500_rating3]]+Table15678911121314[[#This Row],[failurecost100_rating3]]+Table15678911121314[[#This Row],[failurecost50_rating3]]+Table15678911121314[[#This Row],[failurecost10_rating3]])</f>
        <v>666.05797276480939</v>
      </c>
      <c r="JT6" s="1">
        <f>(Table15678911121314[[#This Row],[failurecost500_rating4]]+Table15678911121314[[#This Row],[failurecost100_rating4]]+Table15678911121314[[#This Row],[failurecost50_rating4]]+Table15678911121314[[#This Row],[failurecost10_rating4]])</f>
        <v>242.2028991872034</v>
      </c>
      <c r="JU6" s="1">
        <f>(Table15678911121314[[#This Row],[failurecost500_rating5]]+Table15678911121314[[#This Row],[failurecost100_rating5]]+Table15678911121314[[#This Row],[failurecost50_rating5]]+Table15678911121314[[#This Row],[failurecost10_rating5]])</f>
        <v>42.385507357760588</v>
      </c>
      <c r="JV6" s="1">
        <f>(Table15678911121314[[#This Row],[failurecost500_rating6]]+Table15678911121314[[#This Row],[failurecost100_rating6]]+Table15678911121314[[#This Row],[failurecost50_rating6]]+Table15678911121314[[#This Row],[failurecost10_rating6]])</f>
        <v>10.899130463424154</v>
      </c>
      <c r="JW6" s="1">
        <f>(Table15678911121314[[#This Row],[failurecost500_rating7]]+Table15678911121314[[#This Row],[failurecost100_rating7]]+Table15678911121314[[#This Row],[failurecost50_rating7]]+Table15678911121314[[#This Row],[failurecost10_rating7]])</f>
        <v>10.899130463424154</v>
      </c>
      <c r="JX6" s="1">
        <f>(Table15678911121314[[#This Row],[failurecost500_rating8]]+Table15678911121314[[#This Row],[failurecost100_rating8]]+Table15678911121314[[#This Row],[failurecost50_rating8]]+Table15678911121314[[#This Row],[failurecost10_rating8]])</f>
        <v>0.24220289918720339</v>
      </c>
      <c r="JY6" s="1">
        <f>(Table15678911121314[[#This Row],[failurecost500_rating9]]+Table15678911121314[[#This Row],[failurecost100_rating9]]+Table15678911121314[[#This Row],[failurecost50_rating9]]+Table15678911121314[[#This Row],[failurecost10_rating9]])</f>
        <v>0.15137681199200209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11407.250817613454</v>
      </c>
      <c r="AR7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12369.739122689782</v>
      </c>
      <c r="AS7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14750.148906789464</v>
      </c>
      <c r="AT7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0.39600000000000002</v>
      </c>
      <c r="GF7" s="1">
        <v>25.224994392986801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22422.217238210487</v>
      </c>
      <c r="GM7" s="1">
        <f>Sheet4!R37*$GF7*1000000</f>
        <v>12612.497196493397</v>
      </c>
      <c r="GN7" s="1">
        <f>Sheet4!S37*$GF7*1000000</f>
        <v>8071.9982057557754</v>
      </c>
      <c r="GO7" s="1">
        <f>Sheet4!T37*$GF7*1000000</f>
        <v>5605.5543095526218</v>
      </c>
      <c r="GP7" s="1">
        <f>Sheet4!U37*$GF7*1000000</f>
        <v>4118.3664315080487</v>
      </c>
      <c r="GQ7" s="1">
        <f>Sheet4!V37*$GF7*1000000</f>
        <v>3153.1242991233494</v>
      </c>
      <c r="GR7" s="1">
        <f>Sheet4!W37*$GF7*1000000</f>
        <v>2491.3574709122763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0.01</v>
      </c>
      <c r="HF7" s="1">
        <v>1.25E-3</v>
      </c>
      <c r="HG7" s="1">
        <v>2.7500000000000002E-4</v>
      </c>
      <c r="HH7" s="1">
        <v>1E-4</v>
      </c>
      <c r="HI7" s="1">
        <v>1.7499999999999998E-5</v>
      </c>
      <c r="HJ7" s="1">
        <v>4.5000000000000001E-6</v>
      </c>
      <c r="HK7" s="1">
        <v>4.5000000000000001E-6</v>
      </c>
      <c r="HL7" s="1">
        <v>9.9999999999999995E-8</v>
      </c>
      <c r="HM7" s="1">
        <v>6.2499999999999997E-8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Table15678911121314[[#This Row],[Total_Cost_MUSD]]*1000000*Table15678911121314[[#This Row],[prob500-failure_rating1]]/500</f>
        <v>504.49988785973602</v>
      </c>
      <c r="IG7" s="1">
        <f>Table15678911121314[[#This Row],[Total_Cost_MUSD]]*1000000*Table15678911121314[[#This Row],[prob500-failure_rating2]]/500</f>
        <v>252.24994392986801</v>
      </c>
      <c r="IH7" s="1">
        <f>Table15678911121314[[#This Row],[Total_Cost_MUSD]]*1000000*Table15678911121314[[#This Row],[prob500-failure_rating3]]/500</f>
        <v>55.494987664570964</v>
      </c>
      <c r="II7" s="1">
        <f>Table15678911121314[[#This Row],[Total_Cost_MUSD]]*1000000*Table15678911121314[[#This Row],[prob500-failure_rating4]]/500</f>
        <v>20.179995514389439</v>
      </c>
      <c r="IJ7" s="1">
        <f>Table15678911121314[[#This Row],[Total_Cost_MUSD]]*1000000*Table15678911121314[[#This Row],[prob500-failure_rating5]]/500</f>
        <v>3.5314992150181519</v>
      </c>
      <c r="IK7" s="1">
        <f>Table15678911121314[[#This Row],[Total_Cost_MUSD]]*1000000*Table15678911121314[[#This Row],[prob500-failure_rating6]]/500</f>
        <v>0.90809979814752484</v>
      </c>
      <c r="IL7" s="1">
        <f>Table15678911121314[[#This Row],[Total_Cost_MUSD]]*1000000*Table15678911121314[[#This Row],[prob500-failure_rating7]]/500</f>
        <v>0.90809979814752484</v>
      </c>
      <c r="IM7" s="1">
        <f>Table15678911121314[[#This Row],[Total_Cost_MUSD]]*1000000*Table15678911121314[[#This Row],[prob500-failure_rating8]]/500</f>
        <v>2.017999551438944E-2</v>
      </c>
      <c r="IN7" s="1">
        <f>Table15678911121314[[#This Row],[Total_Cost_MUSD]]*1000000*Table15678911121314[[#This Row],[prob500-failure_rating9]]/500</f>
        <v>1.26124971964934E-2</v>
      </c>
      <c r="IO7" s="1">
        <f>Table15678911121314[[#This Row],[Total_Cost_MUSD]]*1000000*Table15678911121314[[#This Row],[prob100-failure_rating1]]/100</f>
        <v>2522.49943929868</v>
      </c>
      <c r="IP7" s="1">
        <f>Table15678911121314[[#This Row],[Total_Cost_MUSD]]*1000000*Table15678911121314[[#This Row],[prob100-failure_rating2]]/100</f>
        <v>315.31242991233501</v>
      </c>
      <c r="IQ7" s="1">
        <f>Table15678911121314[[#This Row],[Total_Cost_MUSD]]*1000000*Table15678911121314[[#This Row],[prob100-failure_rating3]]/100</f>
        <v>69.368734580713706</v>
      </c>
      <c r="IR7" s="1">
        <f>Table15678911121314[[#This Row],[Total_Cost_MUSD]]*1000000*Table15678911121314[[#This Row],[prob100-failure_rating4]]/100</f>
        <v>25.224994392986801</v>
      </c>
      <c r="IS7" s="1">
        <f>Table15678911121314[[#This Row],[Total_Cost_MUSD]]*1000000*Table15678911121314[[#This Row],[prob100-failure_rating5]]/100</f>
        <v>4.4143740187726896</v>
      </c>
      <c r="IT7" s="1">
        <f>Table15678911121314[[#This Row],[Total_Cost_MUSD]]*1000000*Table15678911121314[[#This Row],[prob100-failure_rating6]]/100</f>
        <v>1.1351247476844062</v>
      </c>
      <c r="IU7" s="1">
        <f>Table15678911121314[[#This Row],[Total_Cost_MUSD]]*1000000*Table15678911121314[[#This Row],[prob100-failure_rating7]]/100</f>
        <v>1.1351247476844062</v>
      </c>
      <c r="IV7" s="1">
        <f>Table15678911121314[[#This Row],[Total_Cost_MUSD]]*1000000*Table15678911121314[[#This Row],[prob100-failure_rating8]]/100</f>
        <v>2.52249943929868E-2</v>
      </c>
      <c r="IW7" s="1">
        <f>Table15678911121314[[#This Row],[Total_Cost_MUSD]]*1000000*Table15678911121314[[#This Row],[prob100-failure_rating9]]/100</f>
        <v>1.576562149561675E-2</v>
      </c>
      <c r="IX7" s="1">
        <f>Table15678911121314[[#This Row],[Total_Cost_MUSD]]*1000000*Table15678911121314[[#This Row],[prob50-failure_rating1]]/50</f>
        <v>5044.9988785973601</v>
      </c>
      <c r="IY7" s="1">
        <f>Table15678911121314[[#This Row],[Total_Cost_MUSD]]*1000000*Table15678911121314[[#This Row],[prob50-failure_rating2]]/50</f>
        <v>420.41657321644669</v>
      </c>
      <c r="IZ7" s="1">
        <f>Table15678911121314[[#This Row],[Total_Cost_MUSD]]*1000000*Table15678911121314[[#This Row],[prob50-failure_rating3]]/50</f>
        <v>92.491646107618266</v>
      </c>
      <c r="JA7" s="1">
        <f>Table15678911121314[[#This Row],[Total_Cost_MUSD]]*1000000*Table15678911121314[[#This Row],[prob50-failure_rating4]]/50</f>
        <v>33.633325857315732</v>
      </c>
      <c r="JB7" s="1">
        <f>Table15678911121314[[#This Row],[Total_Cost_MUSD]]*1000000*Table15678911121314[[#This Row],[prob50-failure_rating5]]/50</f>
        <v>5.8858320250302532</v>
      </c>
      <c r="JC7" s="1">
        <f>Table15678911121314[[#This Row],[Total_Cost_MUSD]]*1000000*Table15678911121314[[#This Row],[prob50-failure_rating6]]/50</f>
        <v>1.513499663579208</v>
      </c>
      <c r="JD7" s="1">
        <f>Table15678911121314[[#This Row],[Total_Cost_MUSD]]*1000000*Table15678911121314[[#This Row],[prob50-failure_rating7]]/50</f>
        <v>1.513499663579208</v>
      </c>
      <c r="JE7" s="1">
        <f>Table15678911121314[[#This Row],[Total_Cost_MUSD]]*1000000*Table15678911121314[[#This Row],[prob50-failure_rating8]]/50</f>
        <v>3.3633325857315738E-2</v>
      </c>
      <c r="JF7" s="1">
        <f>Table15678911121314[[#This Row],[Total_Cost_MUSD]]*1000000*Table15678911121314[[#This Row],[prob50-failure_rating9]]/50</f>
        <v>2.1020828660822333E-2</v>
      </c>
      <c r="JG7" s="1">
        <f>Table15678911121314[[#This Row],[Total_Cost_MUSD]]*1000000*Table15678911121314[[#This Row],[prob10-failure_rating1]]/10</f>
        <v>25224.994392986802</v>
      </c>
      <c r="JH7" s="1">
        <f>Table15678911121314[[#This Row],[Total_Cost_MUSD]]*1000000*Table15678911121314[[#This Row],[prob10-failure_rating2]]/10</f>
        <v>1261.24971964934</v>
      </c>
      <c r="JI7" s="1">
        <f>Table15678911121314[[#This Row],[Total_Cost_MUSD]]*1000000*Table15678911121314[[#This Row],[prob10-failure_rating3]]/10</f>
        <v>277.47493832285483</v>
      </c>
      <c r="JJ7" s="1">
        <f>Table15678911121314[[#This Row],[Total_Cost_MUSD]]*1000000*Table15678911121314[[#This Row],[prob10-failure_rating4]]/10</f>
        <v>100.89997757194722</v>
      </c>
      <c r="JK7" s="1">
        <f>Table15678911121314[[#This Row],[Total_Cost_MUSD]]*1000000*Table15678911121314[[#This Row],[prob10-failure_rating5]]/10</f>
        <v>17.657496075090759</v>
      </c>
      <c r="JL7" s="1">
        <f>Table15678911121314[[#This Row],[Total_Cost_MUSD]]*1000000*Table15678911121314[[#This Row],[prob10-failure_rating6]]/10</f>
        <v>4.5404989907376248</v>
      </c>
      <c r="JM7" s="1">
        <f>Table15678911121314[[#This Row],[Total_Cost_MUSD]]*1000000*Table15678911121314[[#This Row],[prob10-failure_rating7]]/10</f>
        <v>4.5404989907376248</v>
      </c>
      <c r="JN7" s="1">
        <f>Table15678911121314[[#This Row],[Total_Cost_MUSD]]*1000000*Table15678911121314[[#This Row],[prob10-failure_rating8]]/10</f>
        <v>0.1008999775719472</v>
      </c>
      <c r="JO7" s="1">
        <f>Table15678911121314[[#This Row],[Total_Cost_MUSD]]*1000000*Table15678911121314[[#This Row],[prob10-failure_rating9]]/10</f>
        <v>6.3062485982466998E-2</v>
      </c>
      <c r="JP7" s="1">
        <f>Table15678911121314[[#This Row],[FailureCost_Rating1]]</f>
        <v>2249.2286667079898</v>
      </c>
      <c r="JQ7" s="1">
        <f>Table15678911121314[[#This Row],[FailureCost_Rating2]]</f>
        <v>2249.2286667079898</v>
      </c>
      <c r="JR7" s="1">
        <f>(Table15678911121314[[#This Row],[failurecost500_rating2]]+Table15678911121314[[#This Row],[failurecost100_rating2]]+Table15678911121314[[#This Row],[failurecost50_rating2]]+Table15678911121314[[#This Row],[failurecost10_rating2]])</f>
        <v>2249.2286667079898</v>
      </c>
      <c r="JS7" s="1">
        <f>(Table15678911121314[[#This Row],[failurecost500_rating3]]+Table15678911121314[[#This Row],[failurecost100_rating3]]+Table15678911121314[[#This Row],[failurecost50_rating3]]+Table15678911121314[[#This Row],[failurecost10_rating3]])</f>
        <v>494.83030667575775</v>
      </c>
      <c r="JT7" s="1">
        <f>(Table15678911121314[[#This Row],[failurecost500_rating4]]+Table15678911121314[[#This Row],[failurecost100_rating4]]+Table15678911121314[[#This Row],[failurecost50_rating4]]+Table15678911121314[[#This Row],[failurecost10_rating4]])</f>
        <v>179.93829333663919</v>
      </c>
      <c r="JU7" s="1">
        <f>(Table15678911121314[[#This Row],[failurecost500_rating5]]+Table15678911121314[[#This Row],[failurecost100_rating5]]+Table15678911121314[[#This Row],[failurecost50_rating5]]+Table15678911121314[[#This Row],[failurecost10_rating5]])</f>
        <v>31.489201333911854</v>
      </c>
      <c r="JV7" s="1">
        <f>(Table15678911121314[[#This Row],[failurecost500_rating6]]+Table15678911121314[[#This Row],[failurecost100_rating6]]+Table15678911121314[[#This Row],[failurecost50_rating6]]+Table15678911121314[[#This Row],[failurecost10_rating6]])</f>
        <v>8.0972232001487647</v>
      </c>
      <c r="JW7" s="1">
        <f>(Table15678911121314[[#This Row],[failurecost500_rating7]]+Table15678911121314[[#This Row],[failurecost100_rating7]]+Table15678911121314[[#This Row],[failurecost50_rating7]]+Table15678911121314[[#This Row],[failurecost10_rating7]])</f>
        <v>8.0972232001487647</v>
      </c>
      <c r="JX7" s="1">
        <f>(Table15678911121314[[#This Row],[failurecost500_rating8]]+Table15678911121314[[#This Row],[failurecost100_rating8]]+Table15678911121314[[#This Row],[failurecost50_rating8]]+Table15678911121314[[#This Row],[failurecost10_rating8]])</f>
        <v>0.17993829333663919</v>
      </c>
      <c r="JY7" s="1">
        <f>(Table15678911121314[[#This Row],[failurecost500_rating9]]+Table15678911121314[[#This Row],[failurecost100_rating9]]+Table15678911121314[[#This Row],[failurecost50_rating9]]+Table15678911121314[[#This Row],[failurecost10_rating9]])</f>
        <v>0.11246143333539949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16463.256386162553</v>
      </c>
      <c r="AR8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18935.802677782114</v>
      </c>
      <c r="AS8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19959.892643325038</v>
      </c>
      <c r="AT8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0.52800000000000002</v>
      </c>
      <c r="GF8" s="1">
        <v>36.603746725778954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32536.663756247959</v>
      </c>
      <c r="GM8" s="1">
        <f>Sheet4!R38*$GF8*1000000</f>
        <v>18301.873362889477</v>
      </c>
      <c r="GN8" s="1">
        <f>Sheet4!S38*$GF8*1000000</f>
        <v>11713.198952249264</v>
      </c>
      <c r="GO8" s="1">
        <f>Sheet4!T38*$GF8*1000000</f>
        <v>8134.1659390619898</v>
      </c>
      <c r="GP8" s="1">
        <f>Sheet4!U38*$GF8*1000000</f>
        <v>5976.1219144128909</v>
      </c>
      <c r="GQ8" s="1">
        <f>Sheet4!V38*$GF8*1000000</f>
        <v>4575.4683407223692</v>
      </c>
      <c r="GR8" s="1">
        <f>Sheet4!W38*$GF8*1000000</f>
        <v>3615.1848618053291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0.01</v>
      </c>
      <c r="HF8" s="1">
        <v>1.25E-3</v>
      </c>
      <c r="HG8" s="1">
        <v>2.7500000000000002E-4</v>
      </c>
      <c r="HH8" s="1">
        <v>1E-4</v>
      </c>
      <c r="HI8" s="1">
        <v>1.7499999999999998E-5</v>
      </c>
      <c r="HJ8" s="1">
        <v>4.5000000000000001E-6</v>
      </c>
      <c r="HK8" s="1">
        <v>4.5000000000000001E-6</v>
      </c>
      <c r="HL8" s="1">
        <v>9.9999999999999995E-8</v>
      </c>
      <c r="HM8" s="1">
        <v>6.2499999999999997E-8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Table15678911121314[[#This Row],[Total_Cost_MUSD]]*1000000*Table15678911121314[[#This Row],[prob500-failure_rating1]]/500</f>
        <v>732.074934515579</v>
      </c>
      <c r="IG8" s="1">
        <f>Table15678911121314[[#This Row],[Total_Cost_MUSD]]*1000000*Table15678911121314[[#This Row],[prob500-failure_rating2]]/500</f>
        <v>366.0374672577895</v>
      </c>
      <c r="IH8" s="1">
        <f>Table15678911121314[[#This Row],[Total_Cost_MUSD]]*1000000*Table15678911121314[[#This Row],[prob500-failure_rating3]]/500</f>
        <v>80.528242796713698</v>
      </c>
      <c r="II8" s="1">
        <f>Table15678911121314[[#This Row],[Total_Cost_MUSD]]*1000000*Table15678911121314[[#This Row],[prob500-failure_rating4]]/500</f>
        <v>29.282997380623165</v>
      </c>
      <c r="IJ8" s="1">
        <f>Table15678911121314[[#This Row],[Total_Cost_MUSD]]*1000000*Table15678911121314[[#This Row],[prob500-failure_rating5]]/500</f>
        <v>5.1245245416090528</v>
      </c>
      <c r="IK8" s="1">
        <f>Table15678911121314[[#This Row],[Total_Cost_MUSD]]*1000000*Table15678911121314[[#This Row],[prob500-failure_rating6]]/500</f>
        <v>1.3177348821280424</v>
      </c>
      <c r="IL8" s="1">
        <f>Table15678911121314[[#This Row],[Total_Cost_MUSD]]*1000000*Table15678911121314[[#This Row],[prob500-failure_rating7]]/500</f>
        <v>1.3177348821280424</v>
      </c>
      <c r="IM8" s="1">
        <f>Table15678911121314[[#This Row],[Total_Cost_MUSD]]*1000000*Table15678911121314[[#This Row],[prob500-failure_rating8]]/500</f>
        <v>2.9282997380623163E-2</v>
      </c>
      <c r="IN8" s="1">
        <f>Table15678911121314[[#This Row],[Total_Cost_MUSD]]*1000000*Table15678911121314[[#This Row],[prob500-failure_rating9]]/500</f>
        <v>1.8301873362889475E-2</v>
      </c>
      <c r="IO8" s="1">
        <f>Table15678911121314[[#This Row],[Total_Cost_MUSD]]*1000000*Table15678911121314[[#This Row],[prob100-failure_rating1]]/100</f>
        <v>3660.3746725778951</v>
      </c>
      <c r="IP8" s="1">
        <f>Table15678911121314[[#This Row],[Total_Cost_MUSD]]*1000000*Table15678911121314[[#This Row],[prob100-failure_rating2]]/100</f>
        <v>457.54683407223689</v>
      </c>
      <c r="IQ8" s="1">
        <f>Table15678911121314[[#This Row],[Total_Cost_MUSD]]*1000000*Table15678911121314[[#This Row],[prob100-failure_rating3]]/100</f>
        <v>100.66030349589214</v>
      </c>
      <c r="IR8" s="1">
        <f>Table15678911121314[[#This Row],[Total_Cost_MUSD]]*1000000*Table15678911121314[[#This Row],[prob100-failure_rating4]]/100</f>
        <v>36.603746725778954</v>
      </c>
      <c r="IS8" s="1">
        <f>Table15678911121314[[#This Row],[Total_Cost_MUSD]]*1000000*Table15678911121314[[#This Row],[prob100-failure_rating5]]/100</f>
        <v>6.4056556770113158</v>
      </c>
      <c r="IT8" s="1">
        <f>Table15678911121314[[#This Row],[Total_Cost_MUSD]]*1000000*Table15678911121314[[#This Row],[prob100-failure_rating6]]/100</f>
        <v>1.6471686026600529</v>
      </c>
      <c r="IU8" s="1">
        <f>Table15678911121314[[#This Row],[Total_Cost_MUSD]]*1000000*Table15678911121314[[#This Row],[prob100-failure_rating7]]/100</f>
        <v>1.6471686026600529</v>
      </c>
      <c r="IV8" s="1">
        <f>Table15678911121314[[#This Row],[Total_Cost_MUSD]]*1000000*Table15678911121314[[#This Row],[prob100-failure_rating8]]/100</f>
        <v>3.660374672577895E-2</v>
      </c>
      <c r="IW8" s="1">
        <f>Table15678911121314[[#This Row],[Total_Cost_MUSD]]*1000000*Table15678911121314[[#This Row],[prob100-failure_rating9]]/100</f>
        <v>2.2877341703611841E-2</v>
      </c>
      <c r="IX8" s="1">
        <f>Table15678911121314[[#This Row],[Total_Cost_MUSD]]*1000000*Table15678911121314[[#This Row],[prob50-failure_rating1]]/50</f>
        <v>7320.7493451557903</v>
      </c>
      <c r="IY8" s="1">
        <f>Table15678911121314[[#This Row],[Total_Cost_MUSD]]*1000000*Table15678911121314[[#This Row],[prob50-failure_rating2]]/50</f>
        <v>610.06244542964919</v>
      </c>
      <c r="IZ8" s="1">
        <f>Table15678911121314[[#This Row],[Total_Cost_MUSD]]*1000000*Table15678911121314[[#This Row],[prob50-failure_rating3]]/50</f>
        <v>134.21373799452283</v>
      </c>
      <c r="JA8" s="1">
        <f>Table15678911121314[[#This Row],[Total_Cost_MUSD]]*1000000*Table15678911121314[[#This Row],[prob50-failure_rating4]]/50</f>
        <v>48.804995634371934</v>
      </c>
      <c r="JB8" s="1">
        <f>Table15678911121314[[#This Row],[Total_Cost_MUSD]]*1000000*Table15678911121314[[#This Row],[prob50-failure_rating5]]/50</f>
        <v>8.5408742360150889</v>
      </c>
      <c r="JC8" s="1">
        <f>Table15678911121314[[#This Row],[Total_Cost_MUSD]]*1000000*Table15678911121314[[#This Row],[prob50-failure_rating6]]/50</f>
        <v>2.1962248035467371</v>
      </c>
      <c r="JD8" s="1">
        <f>Table15678911121314[[#This Row],[Total_Cost_MUSD]]*1000000*Table15678911121314[[#This Row],[prob50-failure_rating7]]/50</f>
        <v>2.1962248035467371</v>
      </c>
      <c r="JE8" s="1">
        <f>Table15678911121314[[#This Row],[Total_Cost_MUSD]]*1000000*Table15678911121314[[#This Row],[prob50-failure_rating8]]/50</f>
        <v>4.8804995634371941E-2</v>
      </c>
      <c r="JF8" s="1">
        <f>Table15678911121314[[#This Row],[Total_Cost_MUSD]]*1000000*Table15678911121314[[#This Row],[prob50-failure_rating9]]/50</f>
        <v>3.0503122271482459E-2</v>
      </c>
      <c r="JG8" s="1">
        <f>Table15678911121314[[#This Row],[Total_Cost_MUSD]]*1000000*Table15678911121314[[#This Row],[prob10-failure_rating1]]/10</f>
        <v>36603.746725778954</v>
      </c>
      <c r="JH8" s="1">
        <f>Table15678911121314[[#This Row],[Total_Cost_MUSD]]*1000000*Table15678911121314[[#This Row],[prob10-failure_rating2]]/10</f>
        <v>1830.1873362889478</v>
      </c>
      <c r="JI8" s="1">
        <f>Table15678911121314[[#This Row],[Total_Cost_MUSD]]*1000000*Table15678911121314[[#This Row],[prob10-failure_rating3]]/10</f>
        <v>402.64121398356849</v>
      </c>
      <c r="JJ8" s="1">
        <f>Table15678911121314[[#This Row],[Total_Cost_MUSD]]*1000000*Table15678911121314[[#This Row],[prob10-failure_rating4]]/10</f>
        <v>146.41498690311582</v>
      </c>
      <c r="JK8" s="1">
        <f>Table15678911121314[[#This Row],[Total_Cost_MUSD]]*1000000*Table15678911121314[[#This Row],[prob10-failure_rating5]]/10</f>
        <v>25.622622708045263</v>
      </c>
      <c r="JL8" s="1">
        <f>Table15678911121314[[#This Row],[Total_Cost_MUSD]]*1000000*Table15678911121314[[#This Row],[prob10-failure_rating6]]/10</f>
        <v>6.5886744106402118</v>
      </c>
      <c r="JM8" s="1">
        <f>Table15678911121314[[#This Row],[Total_Cost_MUSD]]*1000000*Table15678911121314[[#This Row],[prob10-failure_rating7]]/10</f>
        <v>6.5886744106402118</v>
      </c>
      <c r="JN8" s="1">
        <f>Table15678911121314[[#This Row],[Total_Cost_MUSD]]*1000000*Table15678911121314[[#This Row],[prob10-failure_rating8]]/10</f>
        <v>0.1464149869031158</v>
      </c>
      <c r="JO8" s="1">
        <f>Table15678911121314[[#This Row],[Total_Cost_MUSD]]*1000000*Table15678911121314[[#This Row],[prob10-failure_rating9]]/10</f>
        <v>9.1509366814447379E-2</v>
      </c>
      <c r="JP8" s="1">
        <f>Table15678911121314[[#This Row],[FailureCost_Rating1]]</f>
        <v>3263.8340830486231</v>
      </c>
      <c r="JQ8" s="1">
        <f>Table15678911121314[[#This Row],[FailureCost_Rating2]]</f>
        <v>3263.8340830486231</v>
      </c>
      <c r="JR8" s="1">
        <f>(Table15678911121314[[#This Row],[failurecost500_rating2]]+Table15678911121314[[#This Row],[failurecost100_rating2]]+Table15678911121314[[#This Row],[failurecost50_rating2]]+Table15678911121314[[#This Row],[failurecost10_rating2]])</f>
        <v>3263.8340830486231</v>
      </c>
      <c r="JS8" s="1">
        <f>(Table15678911121314[[#This Row],[failurecost500_rating3]]+Table15678911121314[[#This Row],[failurecost100_rating3]]+Table15678911121314[[#This Row],[failurecost50_rating3]]+Table15678911121314[[#This Row],[failurecost10_rating3]])</f>
        <v>718.04349827069723</v>
      </c>
      <c r="JT8" s="1">
        <f>(Table15678911121314[[#This Row],[failurecost500_rating4]]+Table15678911121314[[#This Row],[failurecost100_rating4]]+Table15678911121314[[#This Row],[failurecost50_rating4]]+Table15678911121314[[#This Row],[failurecost10_rating4]])</f>
        <v>261.10672664388989</v>
      </c>
      <c r="JU8" s="1">
        <f>(Table15678911121314[[#This Row],[failurecost500_rating5]]+Table15678911121314[[#This Row],[failurecost100_rating5]]+Table15678911121314[[#This Row],[failurecost50_rating5]]+Table15678911121314[[#This Row],[failurecost10_rating5]])</f>
        <v>45.693677162680721</v>
      </c>
      <c r="JV8" s="1">
        <f>(Table15678911121314[[#This Row],[failurecost500_rating6]]+Table15678911121314[[#This Row],[failurecost100_rating6]]+Table15678911121314[[#This Row],[failurecost50_rating6]]+Table15678911121314[[#This Row],[failurecost10_rating6]])</f>
        <v>11.749802698975046</v>
      </c>
      <c r="JW8" s="1">
        <f>(Table15678911121314[[#This Row],[failurecost500_rating7]]+Table15678911121314[[#This Row],[failurecost100_rating7]]+Table15678911121314[[#This Row],[failurecost50_rating7]]+Table15678911121314[[#This Row],[failurecost10_rating7]])</f>
        <v>11.749802698975046</v>
      </c>
      <c r="JX8" s="1">
        <f>(Table15678911121314[[#This Row],[failurecost500_rating8]]+Table15678911121314[[#This Row],[failurecost100_rating8]]+Table15678911121314[[#This Row],[failurecost50_rating8]]+Table15678911121314[[#This Row],[failurecost10_rating8]])</f>
        <v>0.26110672664388984</v>
      </c>
      <c r="JY8" s="1">
        <f>(Table15678911121314[[#This Row],[failurecost500_rating9]]+Table15678911121314[[#This Row],[failurecost100_rating9]]+Table15678911121314[[#This Row],[failurecost50_rating9]]+Table15678911121314[[#This Row],[failurecost10_rating9]])</f>
        <v>0.16319170415243117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6829.712539120831</v>
      </c>
      <c r="AR9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7284.9335218547822</v>
      </c>
      <c r="AS9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7678.6049905512346</v>
      </c>
      <c r="AT9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9" s="1">
        <v>35.952384085051285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31957.674742267809</v>
      </c>
      <c r="GM9" s="1">
        <f>Sheet4!R39*$GF9*1000000</f>
        <v>17976.192042525643</v>
      </c>
      <c r="GN9" s="1">
        <f>Sheet4!S39*$GF9*1000000</f>
        <v>11504.762907216415</v>
      </c>
      <c r="GO9" s="1">
        <f>Sheet4!T39*$GF9*1000000</f>
        <v>7989.4186855669523</v>
      </c>
      <c r="GP9" s="1">
        <f>Sheet4!U39*$GF9*1000000</f>
        <v>5869.7769934777616</v>
      </c>
      <c r="GQ9" s="1">
        <f>Sheet4!V39*$GF9*1000000</f>
        <v>4494.0480106314108</v>
      </c>
      <c r="GR9" s="1">
        <f>Sheet4!W39*$GF9*1000000</f>
        <v>3550.8527491408681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0.01</v>
      </c>
      <c r="HF9" s="1">
        <v>1.25E-3</v>
      </c>
      <c r="HG9" s="1">
        <v>2.7500000000000002E-4</v>
      </c>
      <c r="HH9" s="1">
        <v>1E-4</v>
      </c>
      <c r="HI9" s="1">
        <v>1.7499999999999998E-5</v>
      </c>
      <c r="HJ9" s="1">
        <v>4.5000000000000001E-6</v>
      </c>
      <c r="HK9" s="1">
        <v>4.5000000000000001E-6</v>
      </c>
      <c r="HL9" s="1">
        <v>9.9999999999999995E-8</v>
      </c>
      <c r="HM9" s="1">
        <v>6.2499999999999997E-8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Table15678911121314[[#This Row],[Total_Cost_MUSD]]*1000000*Table15678911121314[[#This Row],[prob500-failure_rating1]]/500</f>
        <v>719.04768170102568</v>
      </c>
      <c r="IG9" s="1">
        <f>Table15678911121314[[#This Row],[Total_Cost_MUSD]]*1000000*Table15678911121314[[#This Row],[prob500-failure_rating2]]/500</f>
        <v>359.52384085051284</v>
      </c>
      <c r="IH9" s="1">
        <f>Table15678911121314[[#This Row],[Total_Cost_MUSD]]*1000000*Table15678911121314[[#This Row],[prob500-failure_rating3]]/500</f>
        <v>79.095244987112835</v>
      </c>
      <c r="II9" s="1">
        <f>Table15678911121314[[#This Row],[Total_Cost_MUSD]]*1000000*Table15678911121314[[#This Row],[prob500-failure_rating4]]/500</f>
        <v>28.761907268041028</v>
      </c>
      <c r="IJ9" s="1">
        <f>Table15678911121314[[#This Row],[Total_Cost_MUSD]]*1000000*Table15678911121314[[#This Row],[prob500-failure_rating5]]/500</f>
        <v>5.0333337719071798</v>
      </c>
      <c r="IK9" s="1">
        <f>Table15678911121314[[#This Row],[Total_Cost_MUSD]]*1000000*Table15678911121314[[#This Row],[prob500-failure_rating6]]/500</f>
        <v>1.2942858270618463</v>
      </c>
      <c r="IL9" s="1">
        <f>Table15678911121314[[#This Row],[Total_Cost_MUSD]]*1000000*Table15678911121314[[#This Row],[prob500-failure_rating7]]/500</f>
        <v>1.2942858270618463</v>
      </c>
      <c r="IM9" s="1">
        <f>Table15678911121314[[#This Row],[Total_Cost_MUSD]]*1000000*Table15678911121314[[#This Row],[prob500-failure_rating8]]/500</f>
        <v>2.8761907268041023E-2</v>
      </c>
      <c r="IN9" s="1">
        <f>Table15678911121314[[#This Row],[Total_Cost_MUSD]]*1000000*Table15678911121314[[#This Row],[prob500-failure_rating9]]/500</f>
        <v>1.7976192042525638E-2</v>
      </c>
      <c r="IO9" s="1">
        <f>Table15678911121314[[#This Row],[Total_Cost_MUSD]]*1000000*Table15678911121314[[#This Row],[prob100-failure_rating1]]/100</f>
        <v>3595.2384085051285</v>
      </c>
      <c r="IP9" s="1">
        <f>Table15678911121314[[#This Row],[Total_Cost_MUSD]]*1000000*Table15678911121314[[#This Row],[prob100-failure_rating2]]/100</f>
        <v>449.40480106314106</v>
      </c>
      <c r="IQ9" s="1">
        <f>Table15678911121314[[#This Row],[Total_Cost_MUSD]]*1000000*Table15678911121314[[#This Row],[prob100-failure_rating3]]/100</f>
        <v>98.869056233891044</v>
      </c>
      <c r="IR9" s="1">
        <f>Table15678911121314[[#This Row],[Total_Cost_MUSD]]*1000000*Table15678911121314[[#This Row],[prob100-failure_rating4]]/100</f>
        <v>35.952384085051285</v>
      </c>
      <c r="IS9" s="1">
        <f>Table15678911121314[[#This Row],[Total_Cost_MUSD]]*1000000*Table15678911121314[[#This Row],[prob100-failure_rating5]]/100</f>
        <v>6.291667214883975</v>
      </c>
      <c r="IT9" s="1">
        <f>Table15678911121314[[#This Row],[Total_Cost_MUSD]]*1000000*Table15678911121314[[#This Row],[prob100-failure_rating6]]/100</f>
        <v>1.6178572838273078</v>
      </c>
      <c r="IU9" s="1">
        <f>Table15678911121314[[#This Row],[Total_Cost_MUSD]]*1000000*Table15678911121314[[#This Row],[prob100-failure_rating7]]/100</f>
        <v>1.6178572838273078</v>
      </c>
      <c r="IV9" s="1">
        <f>Table15678911121314[[#This Row],[Total_Cost_MUSD]]*1000000*Table15678911121314[[#This Row],[prob100-failure_rating8]]/100</f>
        <v>3.5952384085051282E-2</v>
      </c>
      <c r="IW9" s="1">
        <f>Table15678911121314[[#This Row],[Total_Cost_MUSD]]*1000000*Table15678911121314[[#This Row],[prob100-failure_rating9]]/100</f>
        <v>2.2470240053157051E-2</v>
      </c>
      <c r="IX9" s="1">
        <f>Table15678911121314[[#This Row],[Total_Cost_MUSD]]*1000000*Table15678911121314[[#This Row],[prob50-failure_rating1]]/50</f>
        <v>7190.476817010257</v>
      </c>
      <c r="IY9" s="1">
        <f>Table15678911121314[[#This Row],[Total_Cost_MUSD]]*1000000*Table15678911121314[[#This Row],[prob50-failure_rating2]]/50</f>
        <v>599.20640141752142</v>
      </c>
      <c r="IZ9" s="1">
        <f>Table15678911121314[[#This Row],[Total_Cost_MUSD]]*1000000*Table15678911121314[[#This Row],[prob50-failure_rating3]]/50</f>
        <v>131.82540831185469</v>
      </c>
      <c r="JA9" s="1">
        <f>Table15678911121314[[#This Row],[Total_Cost_MUSD]]*1000000*Table15678911121314[[#This Row],[prob50-failure_rating4]]/50</f>
        <v>47.936512113401712</v>
      </c>
      <c r="JB9" s="1">
        <f>Table15678911121314[[#This Row],[Total_Cost_MUSD]]*1000000*Table15678911121314[[#This Row],[prob50-failure_rating5]]/50</f>
        <v>8.3888896198452994</v>
      </c>
      <c r="JC9" s="1">
        <f>Table15678911121314[[#This Row],[Total_Cost_MUSD]]*1000000*Table15678911121314[[#This Row],[prob50-failure_rating6]]/50</f>
        <v>2.1571430451030769</v>
      </c>
      <c r="JD9" s="1">
        <f>Table15678911121314[[#This Row],[Total_Cost_MUSD]]*1000000*Table15678911121314[[#This Row],[prob50-failure_rating7]]/50</f>
        <v>2.1571430451030769</v>
      </c>
      <c r="JE9" s="1">
        <f>Table15678911121314[[#This Row],[Total_Cost_MUSD]]*1000000*Table15678911121314[[#This Row],[prob50-failure_rating8]]/50</f>
        <v>4.7936512113401705E-2</v>
      </c>
      <c r="JF9" s="1">
        <f>Table15678911121314[[#This Row],[Total_Cost_MUSD]]*1000000*Table15678911121314[[#This Row],[prob50-failure_rating9]]/50</f>
        <v>2.9960320070876064E-2</v>
      </c>
      <c r="JG9" s="1">
        <f>Table15678911121314[[#This Row],[Total_Cost_MUSD]]*1000000*Table15678911121314[[#This Row],[prob10-failure_rating1]]/10</f>
        <v>35952.384085051286</v>
      </c>
      <c r="JH9" s="1">
        <f>Table15678911121314[[#This Row],[Total_Cost_MUSD]]*1000000*Table15678911121314[[#This Row],[prob10-failure_rating2]]/10</f>
        <v>1797.6192042525643</v>
      </c>
      <c r="JI9" s="1">
        <f>Table15678911121314[[#This Row],[Total_Cost_MUSD]]*1000000*Table15678911121314[[#This Row],[prob10-failure_rating3]]/10</f>
        <v>395.47622493556412</v>
      </c>
      <c r="JJ9" s="1">
        <f>Table15678911121314[[#This Row],[Total_Cost_MUSD]]*1000000*Table15678911121314[[#This Row],[prob10-failure_rating4]]/10</f>
        <v>143.80953634020514</v>
      </c>
      <c r="JK9" s="1">
        <f>Table15678911121314[[#This Row],[Total_Cost_MUSD]]*1000000*Table15678911121314[[#This Row],[prob10-failure_rating5]]/10</f>
        <v>25.166668859535896</v>
      </c>
      <c r="JL9" s="1">
        <f>Table15678911121314[[#This Row],[Total_Cost_MUSD]]*1000000*Table15678911121314[[#This Row],[prob10-failure_rating6]]/10</f>
        <v>6.4714291353092319</v>
      </c>
      <c r="JM9" s="1">
        <f>Table15678911121314[[#This Row],[Total_Cost_MUSD]]*1000000*Table15678911121314[[#This Row],[prob10-failure_rating7]]/10</f>
        <v>6.4714291353092319</v>
      </c>
      <c r="JN9" s="1">
        <f>Table15678911121314[[#This Row],[Total_Cost_MUSD]]*1000000*Table15678911121314[[#This Row],[prob10-failure_rating8]]/10</f>
        <v>0.14380953634020516</v>
      </c>
      <c r="JO9" s="1">
        <f>Table15678911121314[[#This Row],[Total_Cost_MUSD]]*1000000*Table15678911121314[[#This Row],[prob10-failure_rating9]]/10</f>
        <v>8.9880960212628203E-2</v>
      </c>
      <c r="JP9" s="1">
        <f>Table15678911121314[[#This Row],[FailureCost_Rating1]]</f>
        <v>3205.7542475837399</v>
      </c>
      <c r="JQ9" s="1">
        <f>Table15678911121314[[#This Row],[FailureCost_Rating2]]</f>
        <v>3205.7542475837399</v>
      </c>
      <c r="JR9" s="1">
        <f>(Table15678911121314[[#This Row],[failurecost500_rating2]]+Table15678911121314[[#This Row],[failurecost100_rating2]]+Table15678911121314[[#This Row],[failurecost50_rating2]]+Table15678911121314[[#This Row],[failurecost10_rating2]])</f>
        <v>3205.7542475837399</v>
      </c>
      <c r="JS9" s="1">
        <f>(Table15678911121314[[#This Row],[failurecost500_rating3]]+Table15678911121314[[#This Row],[failurecost100_rating3]]+Table15678911121314[[#This Row],[failurecost50_rating3]]+Table15678911121314[[#This Row],[failurecost10_rating3]])</f>
        <v>705.26593446842276</v>
      </c>
      <c r="JT9" s="1">
        <f>(Table15678911121314[[#This Row],[failurecost500_rating4]]+Table15678911121314[[#This Row],[failurecost100_rating4]]+Table15678911121314[[#This Row],[failurecost50_rating4]]+Table15678911121314[[#This Row],[failurecost10_rating4]])</f>
        <v>256.46033980669915</v>
      </c>
      <c r="JU9" s="1">
        <f>(Table15678911121314[[#This Row],[failurecost500_rating5]]+Table15678911121314[[#This Row],[failurecost100_rating5]]+Table15678911121314[[#This Row],[failurecost50_rating5]]+Table15678911121314[[#This Row],[failurecost10_rating5]])</f>
        <v>44.88055946617235</v>
      </c>
      <c r="JV9" s="1">
        <f>(Table15678911121314[[#This Row],[failurecost500_rating6]]+Table15678911121314[[#This Row],[failurecost100_rating6]]+Table15678911121314[[#This Row],[failurecost50_rating6]]+Table15678911121314[[#This Row],[failurecost10_rating6]])</f>
        <v>11.540715291301463</v>
      </c>
      <c r="JW9" s="1">
        <f>(Table15678911121314[[#This Row],[failurecost500_rating7]]+Table15678911121314[[#This Row],[failurecost100_rating7]]+Table15678911121314[[#This Row],[failurecost50_rating7]]+Table15678911121314[[#This Row],[failurecost10_rating7]])</f>
        <v>11.540715291301463</v>
      </c>
      <c r="JX9" s="1">
        <f>(Table15678911121314[[#This Row],[failurecost500_rating8]]+Table15678911121314[[#This Row],[failurecost100_rating8]]+Table15678911121314[[#This Row],[failurecost50_rating8]]+Table15678911121314[[#This Row],[failurecost10_rating8]])</f>
        <v>0.25646033980669919</v>
      </c>
      <c r="JY9" s="1">
        <f>(Table15678911121314[[#This Row],[failurecost500_rating9]]+Table15678911121314[[#This Row],[failurecost100_rating9]]+Table15678911121314[[#This Row],[failurecost50_rating9]]+Table15678911121314[[#This Row],[failurecost10_rating9]])</f>
        <v>0.16028771237918696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2767.3671308174216</v>
      </c>
      <c r="AR10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2942.0444801705157</v>
      </c>
      <c r="AS10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3019.9468768096358</v>
      </c>
      <c r="AT10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10" s="1">
        <v>26.355001131245917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23426.667672218595</v>
      </c>
      <c r="GM10" s="1">
        <f>Sheet4!R40*$GF10*1000000</f>
        <v>13177.500565622959</v>
      </c>
      <c r="GN10" s="1">
        <f>Sheet4!S40*$GF10*1000000</f>
        <v>8433.6003619986968</v>
      </c>
      <c r="GO10" s="1">
        <f>Sheet4!T40*$GF10*1000000</f>
        <v>5856.6669180546487</v>
      </c>
      <c r="GP10" s="1">
        <f>Sheet4!U40*$GF10*1000000</f>
        <v>4302.8573275503531</v>
      </c>
      <c r="GQ10" s="1">
        <f>Sheet4!V40*$GF10*1000000</f>
        <v>3294.3751414057397</v>
      </c>
      <c r="GR10" s="1">
        <f>Sheet4!W40*$GF10*1000000</f>
        <v>2602.9630746909547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0.01</v>
      </c>
      <c r="HF10" s="1">
        <v>1.25E-3</v>
      </c>
      <c r="HG10" s="1">
        <v>2.7500000000000002E-4</v>
      </c>
      <c r="HH10" s="1">
        <v>1E-4</v>
      </c>
      <c r="HI10" s="1">
        <v>1.7499999999999998E-5</v>
      </c>
      <c r="HJ10" s="1">
        <v>4.5000000000000001E-6</v>
      </c>
      <c r="HK10" s="1">
        <v>4.5000000000000001E-6</v>
      </c>
      <c r="HL10" s="1">
        <v>9.9999999999999995E-8</v>
      </c>
      <c r="HM10" s="1">
        <v>6.2499999999999997E-8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Table15678911121314[[#This Row],[Total_Cost_MUSD]]*1000000*Table15678911121314[[#This Row],[prob500-failure_rating1]]/500</f>
        <v>527.10002262491832</v>
      </c>
      <c r="IG10" s="1">
        <f>Table15678911121314[[#This Row],[Total_Cost_MUSD]]*1000000*Table15678911121314[[#This Row],[prob500-failure_rating2]]/500</f>
        <v>263.55001131245916</v>
      </c>
      <c r="IH10" s="1">
        <f>Table15678911121314[[#This Row],[Total_Cost_MUSD]]*1000000*Table15678911121314[[#This Row],[prob500-failure_rating3]]/500</f>
        <v>57.981002488741026</v>
      </c>
      <c r="II10" s="1">
        <f>Table15678911121314[[#This Row],[Total_Cost_MUSD]]*1000000*Table15678911121314[[#This Row],[prob500-failure_rating4]]/500</f>
        <v>21.084000904996739</v>
      </c>
      <c r="IJ10" s="1">
        <f>Table15678911121314[[#This Row],[Total_Cost_MUSD]]*1000000*Table15678911121314[[#This Row],[prob500-failure_rating5]]/500</f>
        <v>3.689700158374428</v>
      </c>
      <c r="IK10" s="1">
        <f>Table15678911121314[[#This Row],[Total_Cost_MUSD]]*1000000*Table15678911121314[[#This Row],[prob500-failure_rating6]]/500</f>
        <v>0.948780040724853</v>
      </c>
      <c r="IL10" s="1">
        <f>Table15678911121314[[#This Row],[Total_Cost_MUSD]]*1000000*Table15678911121314[[#This Row],[prob500-failure_rating7]]/500</f>
        <v>0.948780040724853</v>
      </c>
      <c r="IM10" s="1">
        <f>Table15678911121314[[#This Row],[Total_Cost_MUSD]]*1000000*Table15678911121314[[#This Row],[prob500-failure_rating8]]/500</f>
        <v>2.1084000904996736E-2</v>
      </c>
      <c r="IN10" s="1">
        <f>Table15678911121314[[#This Row],[Total_Cost_MUSD]]*1000000*Table15678911121314[[#This Row],[prob500-failure_rating9]]/500</f>
        <v>1.3177500565622958E-2</v>
      </c>
      <c r="IO10" s="1">
        <f>Table15678911121314[[#This Row],[Total_Cost_MUSD]]*1000000*Table15678911121314[[#This Row],[prob100-failure_rating1]]/100</f>
        <v>2635.5001131245917</v>
      </c>
      <c r="IP10" s="1">
        <f>Table15678911121314[[#This Row],[Total_Cost_MUSD]]*1000000*Table15678911121314[[#This Row],[prob100-failure_rating2]]/100</f>
        <v>329.43751414057397</v>
      </c>
      <c r="IQ10" s="1">
        <f>Table15678911121314[[#This Row],[Total_Cost_MUSD]]*1000000*Table15678911121314[[#This Row],[prob100-failure_rating3]]/100</f>
        <v>72.47625311092628</v>
      </c>
      <c r="IR10" s="1">
        <f>Table15678911121314[[#This Row],[Total_Cost_MUSD]]*1000000*Table15678911121314[[#This Row],[prob100-failure_rating4]]/100</f>
        <v>26.35500113124592</v>
      </c>
      <c r="IS10" s="1">
        <f>Table15678911121314[[#This Row],[Total_Cost_MUSD]]*1000000*Table15678911121314[[#This Row],[prob100-failure_rating5]]/100</f>
        <v>4.6121251979680356</v>
      </c>
      <c r="IT10" s="1">
        <f>Table15678911121314[[#This Row],[Total_Cost_MUSD]]*1000000*Table15678911121314[[#This Row],[prob100-failure_rating6]]/100</f>
        <v>1.1859750509060663</v>
      </c>
      <c r="IU10" s="1">
        <f>Table15678911121314[[#This Row],[Total_Cost_MUSD]]*1000000*Table15678911121314[[#This Row],[prob100-failure_rating7]]/100</f>
        <v>1.1859750509060663</v>
      </c>
      <c r="IV10" s="1">
        <f>Table15678911121314[[#This Row],[Total_Cost_MUSD]]*1000000*Table15678911121314[[#This Row],[prob100-failure_rating8]]/100</f>
        <v>2.635500113124592E-2</v>
      </c>
      <c r="IW10" s="1">
        <f>Table15678911121314[[#This Row],[Total_Cost_MUSD]]*1000000*Table15678911121314[[#This Row],[prob100-failure_rating9]]/100</f>
        <v>1.6471875707028696E-2</v>
      </c>
      <c r="IX10" s="1">
        <f>Table15678911121314[[#This Row],[Total_Cost_MUSD]]*1000000*Table15678911121314[[#This Row],[prob50-failure_rating1]]/50</f>
        <v>5271.0002262491835</v>
      </c>
      <c r="IY10" s="1">
        <f>Table15678911121314[[#This Row],[Total_Cost_MUSD]]*1000000*Table15678911121314[[#This Row],[prob50-failure_rating2]]/50</f>
        <v>439.2500188540987</v>
      </c>
      <c r="IZ10" s="1">
        <f>Table15678911121314[[#This Row],[Total_Cost_MUSD]]*1000000*Table15678911121314[[#This Row],[prob50-failure_rating3]]/50</f>
        <v>96.635004147901711</v>
      </c>
      <c r="JA10" s="1">
        <f>Table15678911121314[[#This Row],[Total_Cost_MUSD]]*1000000*Table15678911121314[[#This Row],[prob50-failure_rating4]]/50</f>
        <v>35.140001508327892</v>
      </c>
      <c r="JB10" s="1">
        <f>Table15678911121314[[#This Row],[Total_Cost_MUSD]]*1000000*Table15678911121314[[#This Row],[prob50-failure_rating5]]/50</f>
        <v>6.149500263957381</v>
      </c>
      <c r="JC10" s="1">
        <f>Table15678911121314[[#This Row],[Total_Cost_MUSD]]*1000000*Table15678911121314[[#This Row],[prob50-failure_rating6]]/50</f>
        <v>1.5813000678747551</v>
      </c>
      <c r="JD10" s="1">
        <f>Table15678911121314[[#This Row],[Total_Cost_MUSD]]*1000000*Table15678911121314[[#This Row],[prob50-failure_rating7]]/50</f>
        <v>1.5813000678747551</v>
      </c>
      <c r="JE10" s="1">
        <f>Table15678911121314[[#This Row],[Total_Cost_MUSD]]*1000000*Table15678911121314[[#This Row],[prob50-failure_rating8]]/50</f>
        <v>3.5140001508327891E-2</v>
      </c>
      <c r="JF10" s="1">
        <f>Table15678911121314[[#This Row],[Total_Cost_MUSD]]*1000000*Table15678911121314[[#This Row],[prob50-failure_rating9]]/50</f>
        <v>2.1962500942704927E-2</v>
      </c>
      <c r="JG10" s="1">
        <f>Table15678911121314[[#This Row],[Total_Cost_MUSD]]*1000000*Table15678911121314[[#This Row],[prob10-failure_rating1]]/10</f>
        <v>26355.001131245917</v>
      </c>
      <c r="JH10" s="1">
        <f>Table15678911121314[[#This Row],[Total_Cost_MUSD]]*1000000*Table15678911121314[[#This Row],[prob10-failure_rating2]]/10</f>
        <v>1317.7500565622959</v>
      </c>
      <c r="JI10" s="1">
        <f>Table15678911121314[[#This Row],[Total_Cost_MUSD]]*1000000*Table15678911121314[[#This Row],[prob10-failure_rating3]]/10</f>
        <v>289.90501244370512</v>
      </c>
      <c r="JJ10" s="1">
        <f>Table15678911121314[[#This Row],[Total_Cost_MUSD]]*1000000*Table15678911121314[[#This Row],[prob10-failure_rating4]]/10</f>
        <v>105.42000452498368</v>
      </c>
      <c r="JK10" s="1">
        <f>Table15678911121314[[#This Row],[Total_Cost_MUSD]]*1000000*Table15678911121314[[#This Row],[prob10-failure_rating5]]/10</f>
        <v>18.448500791872142</v>
      </c>
      <c r="JL10" s="1">
        <f>Table15678911121314[[#This Row],[Total_Cost_MUSD]]*1000000*Table15678911121314[[#This Row],[prob10-failure_rating6]]/10</f>
        <v>4.7439002036242659</v>
      </c>
      <c r="JM10" s="1">
        <f>Table15678911121314[[#This Row],[Total_Cost_MUSD]]*1000000*Table15678911121314[[#This Row],[prob10-failure_rating7]]/10</f>
        <v>4.7439002036242659</v>
      </c>
      <c r="JN10" s="1">
        <f>Table15678911121314[[#This Row],[Total_Cost_MUSD]]*1000000*Table15678911121314[[#This Row],[prob10-failure_rating8]]/10</f>
        <v>0.10542000452498368</v>
      </c>
      <c r="JO10" s="1">
        <f>Table15678911121314[[#This Row],[Total_Cost_MUSD]]*1000000*Table15678911121314[[#This Row],[prob10-failure_rating9]]/10</f>
        <v>6.58875028281148E-2</v>
      </c>
      <c r="JP10" s="1">
        <f>Table15678911121314[[#This Row],[FailureCost_Rating1]]</f>
        <v>2349.9876008694278</v>
      </c>
      <c r="JQ10" s="1">
        <f>Table15678911121314[[#This Row],[FailureCost_Rating2]]</f>
        <v>2349.9876008694278</v>
      </c>
      <c r="JR10" s="1">
        <f>(Table15678911121314[[#This Row],[failurecost500_rating2]]+Table15678911121314[[#This Row],[failurecost100_rating2]]+Table15678911121314[[#This Row],[failurecost50_rating2]]+Table15678911121314[[#This Row],[failurecost10_rating2]])</f>
        <v>2349.9876008694278</v>
      </c>
      <c r="JS10" s="1">
        <f>(Table15678911121314[[#This Row],[failurecost500_rating3]]+Table15678911121314[[#This Row],[failurecost100_rating3]]+Table15678911121314[[#This Row],[failurecost50_rating3]]+Table15678911121314[[#This Row],[failurecost10_rating3]])</f>
        <v>516.99727219127408</v>
      </c>
      <c r="JT10" s="1">
        <f>(Table15678911121314[[#This Row],[failurecost500_rating4]]+Table15678911121314[[#This Row],[failurecost100_rating4]]+Table15678911121314[[#This Row],[failurecost50_rating4]]+Table15678911121314[[#This Row],[failurecost10_rating4]])</f>
        <v>187.99900806955424</v>
      </c>
      <c r="JU10" s="1">
        <f>(Table15678911121314[[#This Row],[failurecost500_rating5]]+Table15678911121314[[#This Row],[failurecost100_rating5]]+Table15678911121314[[#This Row],[failurecost50_rating5]]+Table15678911121314[[#This Row],[failurecost10_rating5]])</f>
        <v>32.89982641217199</v>
      </c>
      <c r="JV10" s="1">
        <f>(Table15678911121314[[#This Row],[failurecost500_rating6]]+Table15678911121314[[#This Row],[failurecost100_rating6]]+Table15678911121314[[#This Row],[failurecost50_rating6]]+Table15678911121314[[#This Row],[failurecost10_rating6]])</f>
        <v>8.4599553631299393</v>
      </c>
      <c r="JW10" s="1">
        <f>(Table15678911121314[[#This Row],[failurecost500_rating7]]+Table15678911121314[[#This Row],[failurecost100_rating7]]+Table15678911121314[[#This Row],[failurecost50_rating7]]+Table15678911121314[[#This Row],[failurecost10_rating7]])</f>
        <v>8.4599553631299393</v>
      </c>
      <c r="JX10" s="1">
        <f>(Table15678911121314[[#This Row],[failurecost500_rating8]]+Table15678911121314[[#This Row],[failurecost100_rating8]]+Table15678911121314[[#This Row],[failurecost50_rating8]]+Table15678911121314[[#This Row],[failurecost10_rating8]])</f>
        <v>0.18799900806955422</v>
      </c>
      <c r="JY10" s="1">
        <f>(Table15678911121314[[#This Row],[failurecost500_rating9]]+Table15678911121314[[#This Row],[failurecost100_rating9]]+Table15678911121314[[#This Row],[failurecost50_rating9]]+Table15678911121314[[#This Row],[failurecost10_rating9]])</f>
        <v>0.11749938004347138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12912.070383440046</v>
      </c>
      <c r="AR11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13809.829327894035</v>
      </c>
      <c r="AS11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14209.20261771438</v>
      </c>
      <c r="AT11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11" s="1">
        <v>37.309381367494169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33163.894548883705</v>
      </c>
      <c r="GM11" s="1">
        <f>Sheet4!R41*$GF11*1000000</f>
        <v>18654.690683747085</v>
      </c>
      <c r="GN11" s="1">
        <f>Sheet4!S41*$GF11*1000000</f>
        <v>11939.002037598135</v>
      </c>
      <c r="GO11" s="1">
        <f>Sheet4!T41*$GF11*1000000</f>
        <v>8290.9736372209263</v>
      </c>
      <c r="GP11" s="1">
        <f>Sheet4!U41*$GF11*1000000</f>
        <v>6091.3275702031287</v>
      </c>
      <c r="GQ11" s="1">
        <f>Sheet4!V41*$GF11*1000000</f>
        <v>4663.6726709367713</v>
      </c>
      <c r="GR11" s="1">
        <f>Sheet4!W41*$GF11*1000000</f>
        <v>3684.8771720981895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0.01</v>
      </c>
      <c r="HF11" s="1">
        <v>1.25E-3</v>
      </c>
      <c r="HG11" s="1">
        <v>2.7500000000000002E-4</v>
      </c>
      <c r="HH11" s="1">
        <v>1E-4</v>
      </c>
      <c r="HI11" s="1">
        <v>1.7499999999999998E-5</v>
      </c>
      <c r="HJ11" s="1">
        <v>4.5000000000000001E-6</v>
      </c>
      <c r="HK11" s="1">
        <v>4.5000000000000001E-6</v>
      </c>
      <c r="HL11" s="1">
        <v>9.9999999999999995E-8</v>
      </c>
      <c r="HM11" s="1">
        <v>6.2499999999999997E-8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Table15678911121314[[#This Row],[Total_Cost_MUSD]]*1000000*Table15678911121314[[#This Row],[prob500-failure_rating1]]/500</f>
        <v>746.18762734988331</v>
      </c>
      <c r="IG11" s="1">
        <f>Table15678911121314[[#This Row],[Total_Cost_MUSD]]*1000000*Table15678911121314[[#This Row],[prob500-failure_rating2]]/500</f>
        <v>373.09381367494166</v>
      </c>
      <c r="IH11" s="1">
        <f>Table15678911121314[[#This Row],[Total_Cost_MUSD]]*1000000*Table15678911121314[[#This Row],[prob500-failure_rating3]]/500</f>
        <v>82.080639008487168</v>
      </c>
      <c r="II11" s="1">
        <f>Table15678911121314[[#This Row],[Total_Cost_MUSD]]*1000000*Table15678911121314[[#This Row],[prob500-failure_rating4]]/500</f>
        <v>29.847505093995334</v>
      </c>
      <c r="IJ11" s="1">
        <f>Table15678911121314[[#This Row],[Total_Cost_MUSD]]*1000000*Table15678911121314[[#This Row],[prob500-failure_rating5]]/500</f>
        <v>5.2233133914491825</v>
      </c>
      <c r="IK11" s="1">
        <f>Table15678911121314[[#This Row],[Total_Cost_MUSD]]*1000000*Table15678911121314[[#This Row],[prob500-failure_rating6]]/500</f>
        <v>1.3431377292297899</v>
      </c>
      <c r="IL11" s="1">
        <f>Table15678911121314[[#This Row],[Total_Cost_MUSD]]*1000000*Table15678911121314[[#This Row],[prob500-failure_rating7]]/500</f>
        <v>1.3431377292297899</v>
      </c>
      <c r="IM11" s="1">
        <f>Table15678911121314[[#This Row],[Total_Cost_MUSD]]*1000000*Table15678911121314[[#This Row],[prob500-failure_rating8]]/500</f>
        <v>2.9847505093995332E-2</v>
      </c>
      <c r="IN11" s="1">
        <f>Table15678911121314[[#This Row],[Total_Cost_MUSD]]*1000000*Table15678911121314[[#This Row],[prob500-failure_rating9]]/500</f>
        <v>1.8654690683747081E-2</v>
      </c>
      <c r="IO11" s="1">
        <f>Table15678911121314[[#This Row],[Total_Cost_MUSD]]*1000000*Table15678911121314[[#This Row],[prob100-failure_rating1]]/100</f>
        <v>3730.9381367494166</v>
      </c>
      <c r="IP11" s="1">
        <f>Table15678911121314[[#This Row],[Total_Cost_MUSD]]*1000000*Table15678911121314[[#This Row],[prob100-failure_rating2]]/100</f>
        <v>466.36726709367707</v>
      </c>
      <c r="IQ11" s="1">
        <f>Table15678911121314[[#This Row],[Total_Cost_MUSD]]*1000000*Table15678911121314[[#This Row],[prob100-failure_rating3]]/100</f>
        <v>102.60079876060895</v>
      </c>
      <c r="IR11" s="1">
        <f>Table15678911121314[[#This Row],[Total_Cost_MUSD]]*1000000*Table15678911121314[[#This Row],[prob100-failure_rating4]]/100</f>
        <v>37.309381367494169</v>
      </c>
      <c r="IS11" s="1">
        <f>Table15678911121314[[#This Row],[Total_Cost_MUSD]]*1000000*Table15678911121314[[#This Row],[prob100-failure_rating5]]/100</f>
        <v>6.5291417393114788</v>
      </c>
      <c r="IT11" s="1">
        <f>Table15678911121314[[#This Row],[Total_Cost_MUSD]]*1000000*Table15678911121314[[#This Row],[prob100-failure_rating6]]/100</f>
        <v>1.6789221615372376</v>
      </c>
      <c r="IU11" s="1">
        <f>Table15678911121314[[#This Row],[Total_Cost_MUSD]]*1000000*Table15678911121314[[#This Row],[prob100-failure_rating7]]/100</f>
        <v>1.6789221615372376</v>
      </c>
      <c r="IV11" s="1">
        <f>Table15678911121314[[#This Row],[Total_Cost_MUSD]]*1000000*Table15678911121314[[#This Row],[prob100-failure_rating8]]/100</f>
        <v>3.7309381367494163E-2</v>
      </c>
      <c r="IW11" s="1">
        <f>Table15678911121314[[#This Row],[Total_Cost_MUSD]]*1000000*Table15678911121314[[#This Row],[prob100-failure_rating9]]/100</f>
        <v>2.331836335468385E-2</v>
      </c>
      <c r="IX11" s="1">
        <f>Table15678911121314[[#This Row],[Total_Cost_MUSD]]*1000000*Table15678911121314[[#This Row],[prob50-failure_rating1]]/50</f>
        <v>7461.8762734988331</v>
      </c>
      <c r="IY11" s="1">
        <f>Table15678911121314[[#This Row],[Total_Cost_MUSD]]*1000000*Table15678911121314[[#This Row],[prob50-failure_rating2]]/50</f>
        <v>621.82302279156943</v>
      </c>
      <c r="IZ11" s="1">
        <f>Table15678911121314[[#This Row],[Total_Cost_MUSD]]*1000000*Table15678911121314[[#This Row],[prob50-failure_rating3]]/50</f>
        <v>136.80106501414528</v>
      </c>
      <c r="JA11" s="1">
        <f>Table15678911121314[[#This Row],[Total_Cost_MUSD]]*1000000*Table15678911121314[[#This Row],[prob50-failure_rating4]]/50</f>
        <v>49.745841823325556</v>
      </c>
      <c r="JB11" s="1">
        <f>Table15678911121314[[#This Row],[Total_Cost_MUSD]]*1000000*Table15678911121314[[#This Row],[prob50-failure_rating5]]/50</f>
        <v>8.7055223190819717</v>
      </c>
      <c r="JC11" s="1">
        <f>Table15678911121314[[#This Row],[Total_Cost_MUSD]]*1000000*Table15678911121314[[#This Row],[prob50-failure_rating6]]/50</f>
        <v>2.2385628820496501</v>
      </c>
      <c r="JD11" s="1">
        <f>Table15678911121314[[#This Row],[Total_Cost_MUSD]]*1000000*Table15678911121314[[#This Row],[prob50-failure_rating7]]/50</f>
        <v>2.2385628820496501</v>
      </c>
      <c r="JE11" s="1">
        <f>Table15678911121314[[#This Row],[Total_Cost_MUSD]]*1000000*Table15678911121314[[#This Row],[prob50-failure_rating8]]/50</f>
        <v>4.9745841823325553E-2</v>
      </c>
      <c r="JF11" s="1">
        <f>Table15678911121314[[#This Row],[Total_Cost_MUSD]]*1000000*Table15678911121314[[#This Row],[prob50-failure_rating9]]/50</f>
        <v>3.1091151139578468E-2</v>
      </c>
      <c r="JG11" s="1">
        <f>Table15678911121314[[#This Row],[Total_Cost_MUSD]]*1000000*Table15678911121314[[#This Row],[prob10-failure_rating1]]/10</f>
        <v>37309.381367494163</v>
      </c>
      <c r="JH11" s="1">
        <f>Table15678911121314[[#This Row],[Total_Cost_MUSD]]*1000000*Table15678911121314[[#This Row],[prob10-failure_rating2]]/10</f>
        <v>1865.4690683747085</v>
      </c>
      <c r="JI11" s="1">
        <f>Table15678911121314[[#This Row],[Total_Cost_MUSD]]*1000000*Table15678911121314[[#This Row],[prob10-failure_rating3]]/10</f>
        <v>410.40319504243581</v>
      </c>
      <c r="JJ11" s="1">
        <f>Table15678911121314[[#This Row],[Total_Cost_MUSD]]*1000000*Table15678911121314[[#This Row],[prob10-failure_rating4]]/10</f>
        <v>149.23752546997667</v>
      </c>
      <c r="JK11" s="1">
        <f>Table15678911121314[[#This Row],[Total_Cost_MUSD]]*1000000*Table15678911121314[[#This Row],[prob10-failure_rating5]]/10</f>
        <v>26.116566957245915</v>
      </c>
      <c r="JL11" s="1">
        <f>Table15678911121314[[#This Row],[Total_Cost_MUSD]]*1000000*Table15678911121314[[#This Row],[prob10-failure_rating6]]/10</f>
        <v>6.7156886461489504</v>
      </c>
      <c r="JM11" s="1">
        <f>Table15678911121314[[#This Row],[Total_Cost_MUSD]]*1000000*Table15678911121314[[#This Row],[prob10-failure_rating7]]/10</f>
        <v>6.7156886461489504</v>
      </c>
      <c r="JN11" s="1">
        <f>Table15678911121314[[#This Row],[Total_Cost_MUSD]]*1000000*Table15678911121314[[#This Row],[prob10-failure_rating8]]/10</f>
        <v>0.14923752546997665</v>
      </c>
      <c r="JO11" s="1">
        <f>Table15678911121314[[#This Row],[Total_Cost_MUSD]]*1000000*Table15678911121314[[#This Row],[prob10-failure_rating9]]/10</f>
        <v>9.3273453418735414E-2</v>
      </c>
      <c r="JP11" s="1">
        <f>Table15678911121314[[#This Row],[FailureCost_Rating1]]</f>
        <v>3326.7531719348967</v>
      </c>
      <c r="JQ11" s="1">
        <f>Table15678911121314[[#This Row],[FailureCost_Rating2]]</f>
        <v>3326.7531719348967</v>
      </c>
      <c r="JR11" s="1">
        <f>(Table15678911121314[[#This Row],[failurecost500_rating2]]+Table15678911121314[[#This Row],[failurecost100_rating2]]+Table15678911121314[[#This Row],[failurecost50_rating2]]+Table15678911121314[[#This Row],[failurecost10_rating2]])</f>
        <v>3326.7531719348967</v>
      </c>
      <c r="JS11" s="1">
        <f>(Table15678911121314[[#This Row],[failurecost500_rating3]]+Table15678911121314[[#This Row],[failurecost100_rating3]]+Table15678911121314[[#This Row],[failurecost50_rating3]]+Table15678911121314[[#This Row],[failurecost10_rating3]])</f>
        <v>731.8856978256772</v>
      </c>
      <c r="JT11" s="1">
        <f>(Table15678911121314[[#This Row],[failurecost500_rating4]]+Table15678911121314[[#This Row],[failurecost100_rating4]]+Table15678911121314[[#This Row],[failurecost50_rating4]]+Table15678911121314[[#This Row],[failurecost10_rating4]])</f>
        <v>266.14025375479173</v>
      </c>
      <c r="JU11" s="1">
        <f>(Table15678911121314[[#This Row],[failurecost500_rating5]]+Table15678911121314[[#This Row],[failurecost100_rating5]]+Table15678911121314[[#This Row],[failurecost50_rating5]]+Table15678911121314[[#This Row],[failurecost10_rating5]])</f>
        <v>46.574544407088553</v>
      </c>
      <c r="JV11" s="1">
        <f>(Table15678911121314[[#This Row],[failurecost500_rating6]]+Table15678911121314[[#This Row],[failurecost100_rating6]]+Table15678911121314[[#This Row],[failurecost50_rating6]]+Table15678911121314[[#This Row],[failurecost10_rating6]])</f>
        <v>11.976311418965629</v>
      </c>
      <c r="JW11" s="1">
        <f>(Table15678911121314[[#This Row],[failurecost500_rating7]]+Table15678911121314[[#This Row],[failurecost100_rating7]]+Table15678911121314[[#This Row],[failurecost50_rating7]]+Table15678911121314[[#This Row],[failurecost10_rating7]])</f>
        <v>11.976311418965629</v>
      </c>
      <c r="JX11" s="1">
        <f>(Table15678911121314[[#This Row],[failurecost500_rating8]]+Table15678911121314[[#This Row],[failurecost100_rating8]]+Table15678911121314[[#This Row],[failurecost50_rating8]]+Table15678911121314[[#This Row],[failurecost10_rating8]])</f>
        <v>0.26614025375479167</v>
      </c>
      <c r="JY11" s="1">
        <f>(Table15678911121314[[#This Row],[failurecost500_rating9]]+Table15678911121314[[#This Row],[failurecost100_rating9]]+Table15678911121314[[#This Row],[failurecost50_rating9]]+Table15678911121314[[#This Row],[failurecost10_rating9]])</f>
        <v>0.16633765859674482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6737.4062355001524</v>
      </c>
      <c r="AR12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7415.8873465101096</v>
      </c>
      <c r="AS12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7705.9386938101106</v>
      </c>
      <c r="AT12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12" s="1">
        <v>30.136580757207653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26788.071784184576</v>
      </c>
      <c r="GM12" s="1">
        <f>Sheet4!R42*$GF12*1000000</f>
        <v>15068.290378603828</v>
      </c>
      <c r="GN12" s="1">
        <f>Sheet4!S42*$GF12*1000000</f>
        <v>9643.7058423064482</v>
      </c>
      <c r="GO12" s="1">
        <f>Sheet4!T42*$GF12*1000000</f>
        <v>6697.0179460461441</v>
      </c>
      <c r="GP12" s="1">
        <f>Sheet4!U42*$GF12*1000000</f>
        <v>4920.2580828094124</v>
      </c>
      <c r="GQ12" s="1">
        <f>Sheet4!V42*$GF12*1000000</f>
        <v>3767.0725946509569</v>
      </c>
      <c r="GR12" s="1">
        <f>Sheet4!W42*$GF12*1000000</f>
        <v>2976.4524204649533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0.01</v>
      </c>
      <c r="HF12" s="1">
        <v>1.25E-3</v>
      </c>
      <c r="HG12" s="1">
        <v>2.7500000000000002E-4</v>
      </c>
      <c r="HH12" s="1">
        <v>1E-4</v>
      </c>
      <c r="HI12" s="1">
        <v>1.7499999999999998E-5</v>
      </c>
      <c r="HJ12" s="1">
        <v>4.5000000000000001E-6</v>
      </c>
      <c r="HK12" s="1">
        <v>4.5000000000000001E-6</v>
      </c>
      <c r="HL12" s="1">
        <v>9.9999999999999995E-8</v>
      </c>
      <c r="HM12" s="1">
        <v>6.2499999999999997E-8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Table15678911121314[[#This Row],[Total_Cost_MUSD]]*1000000*Table15678911121314[[#This Row],[prob500-failure_rating1]]/500</f>
        <v>602.73161514415312</v>
      </c>
      <c r="IG12" s="1">
        <f>Table15678911121314[[#This Row],[Total_Cost_MUSD]]*1000000*Table15678911121314[[#This Row],[prob500-failure_rating2]]/500</f>
        <v>301.36580757207656</v>
      </c>
      <c r="IH12" s="1">
        <f>Table15678911121314[[#This Row],[Total_Cost_MUSD]]*1000000*Table15678911121314[[#This Row],[prob500-failure_rating3]]/500</f>
        <v>66.300477665856846</v>
      </c>
      <c r="II12" s="1">
        <f>Table15678911121314[[#This Row],[Total_Cost_MUSD]]*1000000*Table15678911121314[[#This Row],[prob500-failure_rating4]]/500</f>
        <v>24.109264605766125</v>
      </c>
      <c r="IJ12" s="1">
        <f>Table15678911121314[[#This Row],[Total_Cost_MUSD]]*1000000*Table15678911121314[[#This Row],[prob500-failure_rating5]]/500</f>
        <v>4.2191213060090709</v>
      </c>
      <c r="IK12" s="1">
        <f>Table15678911121314[[#This Row],[Total_Cost_MUSD]]*1000000*Table15678911121314[[#This Row],[prob500-failure_rating6]]/500</f>
        <v>1.0849169072594758</v>
      </c>
      <c r="IL12" s="1">
        <f>Table15678911121314[[#This Row],[Total_Cost_MUSD]]*1000000*Table15678911121314[[#This Row],[prob500-failure_rating7]]/500</f>
        <v>1.0849169072594758</v>
      </c>
      <c r="IM12" s="1">
        <f>Table15678911121314[[#This Row],[Total_Cost_MUSD]]*1000000*Table15678911121314[[#This Row],[prob500-failure_rating8]]/500</f>
        <v>2.410926460576612E-2</v>
      </c>
      <c r="IN12" s="1">
        <f>Table15678911121314[[#This Row],[Total_Cost_MUSD]]*1000000*Table15678911121314[[#This Row],[prob500-failure_rating9]]/500</f>
        <v>1.5068290378603827E-2</v>
      </c>
      <c r="IO12" s="1">
        <f>Table15678911121314[[#This Row],[Total_Cost_MUSD]]*1000000*Table15678911121314[[#This Row],[prob100-failure_rating1]]/100</f>
        <v>3013.6580757207657</v>
      </c>
      <c r="IP12" s="1">
        <f>Table15678911121314[[#This Row],[Total_Cost_MUSD]]*1000000*Table15678911121314[[#This Row],[prob100-failure_rating2]]/100</f>
        <v>376.70725946509572</v>
      </c>
      <c r="IQ12" s="1">
        <f>Table15678911121314[[#This Row],[Total_Cost_MUSD]]*1000000*Table15678911121314[[#This Row],[prob100-failure_rating3]]/100</f>
        <v>82.87559708232105</v>
      </c>
      <c r="IR12" s="1">
        <f>Table15678911121314[[#This Row],[Total_Cost_MUSD]]*1000000*Table15678911121314[[#This Row],[prob100-failure_rating4]]/100</f>
        <v>30.136580757207657</v>
      </c>
      <c r="IS12" s="1">
        <f>Table15678911121314[[#This Row],[Total_Cost_MUSD]]*1000000*Table15678911121314[[#This Row],[prob100-failure_rating5]]/100</f>
        <v>5.2739016325113388</v>
      </c>
      <c r="IT12" s="1">
        <f>Table15678911121314[[#This Row],[Total_Cost_MUSD]]*1000000*Table15678911121314[[#This Row],[prob100-failure_rating6]]/100</f>
        <v>1.3561461340743446</v>
      </c>
      <c r="IU12" s="1">
        <f>Table15678911121314[[#This Row],[Total_Cost_MUSD]]*1000000*Table15678911121314[[#This Row],[prob100-failure_rating7]]/100</f>
        <v>1.3561461340743446</v>
      </c>
      <c r="IV12" s="1">
        <f>Table15678911121314[[#This Row],[Total_Cost_MUSD]]*1000000*Table15678911121314[[#This Row],[prob100-failure_rating8]]/100</f>
        <v>3.013658075720765E-2</v>
      </c>
      <c r="IW12" s="1">
        <f>Table15678911121314[[#This Row],[Total_Cost_MUSD]]*1000000*Table15678911121314[[#This Row],[prob100-failure_rating9]]/100</f>
        <v>1.8835362973254784E-2</v>
      </c>
      <c r="IX12" s="1">
        <f>Table15678911121314[[#This Row],[Total_Cost_MUSD]]*1000000*Table15678911121314[[#This Row],[prob50-failure_rating1]]/50</f>
        <v>6027.3161514415315</v>
      </c>
      <c r="IY12" s="1">
        <f>Table15678911121314[[#This Row],[Total_Cost_MUSD]]*1000000*Table15678911121314[[#This Row],[prob50-failure_rating2]]/50</f>
        <v>502.27634595346092</v>
      </c>
      <c r="IZ12" s="1">
        <f>Table15678911121314[[#This Row],[Total_Cost_MUSD]]*1000000*Table15678911121314[[#This Row],[prob50-failure_rating3]]/50</f>
        <v>110.5007961097614</v>
      </c>
      <c r="JA12" s="1">
        <f>Table15678911121314[[#This Row],[Total_Cost_MUSD]]*1000000*Table15678911121314[[#This Row],[prob50-failure_rating4]]/50</f>
        <v>40.182107676276871</v>
      </c>
      <c r="JB12" s="1">
        <f>Table15678911121314[[#This Row],[Total_Cost_MUSD]]*1000000*Table15678911121314[[#This Row],[prob50-failure_rating5]]/50</f>
        <v>7.0318688433484517</v>
      </c>
      <c r="JC12" s="1">
        <f>Table15678911121314[[#This Row],[Total_Cost_MUSD]]*1000000*Table15678911121314[[#This Row],[prob50-failure_rating6]]/50</f>
        <v>1.8081948454324592</v>
      </c>
      <c r="JD12" s="1">
        <f>Table15678911121314[[#This Row],[Total_Cost_MUSD]]*1000000*Table15678911121314[[#This Row],[prob50-failure_rating7]]/50</f>
        <v>1.8081948454324592</v>
      </c>
      <c r="JE12" s="1">
        <f>Table15678911121314[[#This Row],[Total_Cost_MUSD]]*1000000*Table15678911121314[[#This Row],[prob50-failure_rating8]]/50</f>
        <v>4.0182107676276876E-2</v>
      </c>
      <c r="JF12" s="1">
        <f>Table15678911121314[[#This Row],[Total_Cost_MUSD]]*1000000*Table15678911121314[[#This Row],[prob50-failure_rating9]]/50</f>
        <v>2.5113817297673046E-2</v>
      </c>
      <c r="JG12" s="1">
        <f>Table15678911121314[[#This Row],[Total_Cost_MUSD]]*1000000*Table15678911121314[[#This Row],[prob10-failure_rating1]]/10</f>
        <v>30136.580757207656</v>
      </c>
      <c r="JH12" s="1">
        <f>Table15678911121314[[#This Row],[Total_Cost_MUSD]]*1000000*Table15678911121314[[#This Row],[prob10-failure_rating2]]/10</f>
        <v>1506.8290378603829</v>
      </c>
      <c r="JI12" s="1">
        <f>Table15678911121314[[#This Row],[Total_Cost_MUSD]]*1000000*Table15678911121314[[#This Row],[prob10-failure_rating3]]/10</f>
        <v>331.5023883292842</v>
      </c>
      <c r="JJ12" s="1">
        <f>Table15678911121314[[#This Row],[Total_Cost_MUSD]]*1000000*Table15678911121314[[#This Row],[prob10-failure_rating4]]/10</f>
        <v>120.54632302883063</v>
      </c>
      <c r="JK12" s="1">
        <f>Table15678911121314[[#This Row],[Total_Cost_MUSD]]*1000000*Table15678911121314[[#This Row],[prob10-failure_rating5]]/10</f>
        <v>21.095606530045355</v>
      </c>
      <c r="JL12" s="1">
        <f>Table15678911121314[[#This Row],[Total_Cost_MUSD]]*1000000*Table15678911121314[[#This Row],[prob10-failure_rating6]]/10</f>
        <v>5.4245845362973784</v>
      </c>
      <c r="JM12" s="1">
        <f>Table15678911121314[[#This Row],[Total_Cost_MUSD]]*1000000*Table15678911121314[[#This Row],[prob10-failure_rating7]]/10</f>
        <v>5.4245845362973784</v>
      </c>
      <c r="JN12" s="1">
        <f>Table15678911121314[[#This Row],[Total_Cost_MUSD]]*1000000*Table15678911121314[[#This Row],[prob10-failure_rating8]]/10</f>
        <v>0.12054632302883062</v>
      </c>
      <c r="JO12" s="1">
        <f>Table15678911121314[[#This Row],[Total_Cost_MUSD]]*1000000*Table15678911121314[[#This Row],[prob10-failure_rating9]]/10</f>
        <v>7.5341451893019135E-2</v>
      </c>
      <c r="JP12" s="1">
        <f>Table15678911121314[[#This Row],[FailureCost_Rating1]]</f>
        <v>2687.1784508510159</v>
      </c>
      <c r="JQ12" s="1">
        <f>Table15678911121314[[#This Row],[FailureCost_Rating2]]</f>
        <v>2687.1784508510159</v>
      </c>
      <c r="JR12" s="1">
        <f>(Table15678911121314[[#This Row],[failurecost500_rating2]]+Table15678911121314[[#This Row],[failurecost100_rating2]]+Table15678911121314[[#This Row],[failurecost50_rating2]]+Table15678911121314[[#This Row],[failurecost10_rating2]])</f>
        <v>2687.1784508510159</v>
      </c>
      <c r="JS12" s="1">
        <f>(Table15678911121314[[#This Row],[failurecost500_rating3]]+Table15678911121314[[#This Row],[failurecost100_rating3]]+Table15678911121314[[#This Row],[failurecost50_rating3]]+Table15678911121314[[#This Row],[failurecost10_rating3]])</f>
        <v>591.17925918722347</v>
      </c>
      <c r="JT12" s="1">
        <f>(Table15678911121314[[#This Row],[failurecost500_rating4]]+Table15678911121314[[#This Row],[failurecost100_rating4]]+Table15678911121314[[#This Row],[failurecost50_rating4]]+Table15678911121314[[#This Row],[failurecost10_rating4]])</f>
        <v>214.97427606808128</v>
      </c>
      <c r="JU12" s="1">
        <f>(Table15678911121314[[#This Row],[failurecost500_rating5]]+Table15678911121314[[#This Row],[failurecost100_rating5]]+Table15678911121314[[#This Row],[failurecost50_rating5]]+Table15678911121314[[#This Row],[failurecost10_rating5]])</f>
        <v>37.620498311914218</v>
      </c>
      <c r="JV12" s="1">
        <f>(Table15678911121314[[#This Row],[failurecost500_rating6]]+Table15678911121314[[#This Row],[failurecost100_rating6]]+Table15678911121314[[#This Row],[failurecost50_rating6]]+Table15678911121314[[#This Row],[failurecost10_rating6]])</f>
        <v>9.6738424230636575</v>
      </c>
      <c r="JW12" s="1">
        <f>(Table15678911121314[[#This Row],[failurecost500_rating7]]+Table15678911121314[[#This Row],[failurecost100_rating7]]+Table15678911121314[[#This Row],[failurecost50_rating7]]+Table15678911121314[[#This Row],[failurecost10_rating7]])</f>
        <v>9.6738424230636575</v>
      </c>
      <c r="JX12" s="1">
        <f>(Table15678911121314[[#This Row],[failurecost500_rating8]]+Table15678911121314[[#This Row],[failurecost100_rating8]]+Table15678911121314[[#This Row],[failurecost50_rating8]]+Table15678911121314[[#This Row],[failurecost10_rating8]])</f>
        <v>0.21497427606808125</v>
      </c>
      <c r="JY12" s="1">
        <f>(Table15678911121314[[#This Row],[failurecost500_rating9]]+Table15678911121314[[#This Row],[failurecost100_rating9]]+Table15678911121314[[#This Row],[failurecost50_rating9]]+Table15678911121314[[#This Row],[failurecost10_rating9]])</f>
        <v>0.13435892254255077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6992.666213599131</v>
      </c>
      <c r="AR13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8975.9969727162606</v>
      </c>
      <c r="AS13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9724.0394899581861</v>
      </c>
      <c r="AT13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</v>
      </c>
      <c r="GF13" s="1">
        <v>36.064388853498095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32057.234536442742</v>
      </c>
      <c r="GM13" s="1">
        <f>Sheet4!R43*$GF13*1000000</f>
        <v>18032.194426749047</v>
      </c>
      <c r="GN13" s="1">
        <f>Sheet4!S43*$GF13*1000000</f>
        <v>11540.604433119393</v>
      </c>
      <c r="GO13" s="1">
        <f>Sheet4!T43*$GF13*1000000</f>
        <v>8014.3086341106855</v>
      </c>
      <c r="GP13" s="1">
        <f>Sheet4!U43*$GF13*1000000</f>
        <v>5888.063486285404</v>
      </c>
      <c r="GQ13" s="1">
        <f>Sheet4!V43*$GF13*1000000</f>
        <v>4508.0486066872618</v>
      </c>
      <c r="GR13" s="1">
        <f>Sheet4!W43*$GF13*1000000</f>
        <v>3561.9149484936383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0.01</v>
      </c>
      <c r="HF13" s="1">
        <v>1.25E-3</v>
      </c>
      <c r="HG13" s="1">
        <v>2.7500000000000002E-4</v>
      </c>
      <c r="HH13" s="1">
        <v>1E-4</v>
      </c>
      <c r="HI13" s="1">
        <v>1.7499999999999998E-5</v>
      </c>
      <c r="HJ13" s="1">
        <v>4.5000000000000001E-6</v>
      </c>
      <c r="HK13" s="1">
        <v>4.5000000000000001E-6</v>
      </c>
      <c r="HL13" s="1">
        <v>9.9999999999999995E-8</v>
      </c>
      <c r="HM13" s="1">
        <v>6.2499999999999997E-8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Table15678911121314[[#This Row],[Total_Cost_MUSD]]*1000000*Table15678911121314[[#This Row],[prob500-failure_rating1]]/500</f>
        <v>721.28777706996186</v>
      </c>
      <c r="IG13" s="1">
        <f>Table15678911121314[[#This Row],[Total_Cost_MUSD]]*1000000*Table15678911121314[[#This Row],[prob500-failure_rating2]]/500</f>
        <v>360.64388853498093</v>
      </c>
      <c r="IH13" s="1">
        <f>Table15678911121314[[#This Row],[Total_Cost_MUSD]]*1000000*Table15678911121314[[#This Row],[prob500-failure_rating3]]/500</f>
        <v>79.341655477695809</v>
      </c>
      <c r="II13" s="1">
        <f>Table15678911121314[[#This Row],[Total_Cost_MUSD]]*1000000*Table15678911121314[[#This Row],[prob500-failure_rating4]]/500</f>
        <v>28.851511082798474</v>
      </c>
      <c r="IJ13" s="1">
        <f>Table15678911121314[[#This Row],[Total_Cost_MUSD]]*1000000*Table15678911121314[[#This Row],[prob500-failure_rating5]]/500</f>
        <v>5.0490144394897323</v>
      </c>
      <c r="IK13" s="1">
        <f>Table15678911121314[[#This Row],[Total_Cost_MUSD]]*1000000*Table15678911121314[[#This Row],[prob500-failure_rating6]]/500</f>
        <v>1.2983179987259315</v>
      </c>
      <c r="IL13" s="1">
        <f>Table15678911121314[[#This Row],[Total_Cost_MUSD]]*1000000*Table15678911121314[[#This Row],[prob500-failure_rating7]]/500</f>
        <v>1.2983179987259315</v>
      </c>
      <c r="IM13" s="1">
        <f>Table15678911121314[[#This Row],[Total_Cost_MUSD]]*1000000*Table15678911121314[[#This Row],[prob500-failure_rating8]]/500</f>
        <v>2.8851511082798473E-2</v>
      </c>
      <c r="IN13" s="1">
        <f>Table15678911121314[[#This Row],[Total_Cost_MUSD]]*1000000*Table15678911121314[[#This Row],[prob500-failure_rating9]]/500</f>
        <v>1.8032194426749047E-2</v>
      </c>
      <c r="IO13" s="1">
        <f>Table15678911121314[[#This Row],[Total_Cost_MUSD]]*1000000*Table15678911121314[[#This Row],[prob100-failure_rating1]]/100</f>
        <v>3606.4388853498094</v>
      </c>
      <c r="IP13" s="1">
        <f>Table15678911121314[[#This Row],[Total_Cost_MUSD]]*1000000*Table15678911121314[[#This Row],[prob100-failure_rating2]]/100</f>
        <v>450.80486066872618</v>
      </c>
      <c r="IQ13" s="1">
        <f>Table15678911121314[[#This Row],[Total_Cost_MUSD]]*1000000*Table15678911121314[[#This Row],[prob100-failure_rating3]]/100</f>
        <v>99.177069347119755</v>
      </c>
      <c r="IR13" s="1">
        <f>Table15678911121314[[#This Row],[Total_Cost_MUSD]]*1000000*Table15678911121314[[#This Row],[prob100-failure_rating4]]/100</f>
        <v>36.064388853498095</v>
      </c>
      <c r="IS13" s="1">
        <f>Table15678911121314[[#This Row],[Total_Cost_MUSD]]*1000000*Table15678911121314[[#This Row],[prob100-failure_rating5]]/100</f>
        <v>6.311268049362166</v>
      </c>
      <c r="IT13" s="1">
        <f>Table15678911121314[[#This Row],[Total_Cost_MUSD]]*1000000*Table15678911121314[[#This Row],[prob100-failure_rating6]]/100</f>
        <v>1.6228974984074143</v>
      </c>
      <c r="IU13" s="1">
        <f>Table15678911121314[[#This Row],[Total_Cost_MUSD]]*1000000*Table15678911121314[[#This Row],[prob100-failure_rating7]]/100</f>
        <v>1.6228974984074143</v>
      </c>
      <c r="IV13" s="1">
        <f>Table15678911121314[[#This Row],[Total_Cost_MUSD]]*1000000*Table15678911121314[[#This Row],[prob100-failure_rating8]]/100</f>
        <v>3.6064388853498094E-2</v>
      </c>
      <c r="IW13" s="1">
        <f>Table15678911121314[[#This Row],[Total_Cost_MUSD]]*1000000*Table15678911121314[[#This Row],[prob100-failure_rating9]]/100</f>
        <v>2.2540243033436311E-2</v>
      </c>
      <c r="IX13" s="1">
        <f>Table15678911121314[[#This Row],[Total_Cost_MUSD]]*1000000*Table15678911121314[[#This Row],[prob50-failure_rating1]]/50</f>
        <v>7212.8777706996188</v>
      </c>
      <c r="IY13" s="1">
        <f>Table15678911121314[[#This Row],[Total_Cost_MUSD]]*1000000*Table15678911121314[[#This Row],[prob50-failure_rating2]]/50</f>
        <v>601.07314755830157</v>
      </c>
      <c r="IZ13" s="1">
        <f>Table15678911121314[[#This Row],[Total_Cost_MUSD]]*1000000*Table15678911121314[[#This Row],[prob50-failure_rating3]]/50</f>
        <v>132.23609246282635</v>
      </c>
      <c r="JA13" s="1">
        <f>Table15678911121314[[#This Row],[Total_Cost_MUSD]]*1000000*Table15678911121314[[#This Row],[prob50-failure_rating4]]/50</f>
        <v>48.085851804664124</v>
      </c>
      <c r="JB13" s="1">
        <f>Table15678911121314[[#This Row],[Total_Cost_MUSD]]*1000000*Table15678911121314[[#This Row],[prob50-failure_rating5]]/50</f>
        <v>8.4150240658162208</v>
      </c>
      <c r="JC13" s="1">
        <f>Table15678911121314[[#This Row],[Total_Cost_MUSD]]*1000000*Table15678911121314[[#This Row],[prob50-failure_rating6]]/50</f>
        <v>2.1638633312098858</v>
      </c>
      <c r="JD13" s="1">
        <f>Table15678911121314[[#This Row],[Total_Cost_MUSD]]*1000000*Table15678911121314[[#This Row],[prob50-failure_rating7]]/50</f>
        <v>2.1638633312098858</v>
      </c>
      <c r="JE13" s="1">
        <f>Table15678911121314[[#This Row],[Total_Cost_MUSD]]*1000000*Table15678911121314[[#This Row],[prob50-failure_rating8]]/50</f>
        <v>4.8085851804664126E-2</v>
      </c>
      <c r="JF13" s="1">
        <f>Table15678911121314[[#This Row],[Total_Cost_MUSD]]*1000000*Table15678911121314[[#This Row],[prob50-failure_rating9]]/50</f>
        <v>3.0053657377915079E-2</v>
      </c>
      <c r="JG13" s="1">
        <f>Table15678911121314[[#This Row],[Total_Cost_MUSD]]*1000000*Table15678911121314[[#This Row],[prob10-failure_rating1]]/10</f>
        <v>36064.388853498094</v>
      </c>
      <c r="JH13" s="1">
        <f>Table15678911121314[[#This Row],[Total_Cost_MUSD]]*1000000*Table15678911121314[[#This Row],[prob10-failure_rating2]]/10</f>
        <v>1803.2194426749047</v>
      </c>
      <c r="JI13" s="1">
        <f>Table15678911121314[[#This Row],[Total_Cost_MUSD]]*1000000*Table15678911121314[[#This Row],[prob10-failure_rating3]]/10</f>
        <v>396.70827738847908</v>
      </c>
      <c r="JJ13" s="1">
        <f>Table15678911121314[[#This Row],[Total_Cost_MUSD]]*1000000*Table15678911121314[[#This Row],[prob10-failure_rating4]]/10</f>
        <v>144.25755541399241</v>
      </c>
      <c r="JK13" s="1">
        <f>Table15678911121314[[#This Row],[Total_Cost_MUSD]]*1000000*Table15678911121314[[#This Row],[prob10-failure_rating5]]/10</f>
        <v>25.24507219744866</v>
      </c>
      <c r="JL13" s="1">
        <f>Table15678911121314[[#This Row],[Total_Cost_MUSD]]*1000000*Table15678911121314[[#This Row],[prob10-failure_rating6]]/10</f>
        <v>6.4915899936296571</v>
      </c>
      <c r="JM13" s="1">
        <f>Table15678911121314[[#This Row],[Total_Cost_MUSD]]*1000000*Table15678911121314[[#This Row],[prob10-failure_rating7]]/10</f>
        <v>6.4915899936296571</v>
      </c>
      <c r="JN13" s="1">
        <f>Table15678911121314[[#This Row],[Total_Cost_MUSD]]*1000000*Table15678911121314[[#This Row],[prob10-failure_rating8]]/10</f>
        <v>0.14425755541399238</v>
      </c>
      <c r="JO13" s="1">
        <f>Table15678911121314[[#This Row],[Total_Cost_MUSD]]*1000000*Table15678911121314[[#This Row],[prob10-failure_rating9]]/10</f>
        <v>9.0160972133745229E-2</v>
      </c>
      <c r="JP13" s="1">
        <f>Table15678911121314[[#This Row],[FailureCost_Rating1]]</f>
        <v>3215.7413394369132</v>
      </c>
      <c r="JQ13" s="1">
        <f>Table15678911121314[[#This Row],[FailureCost_Rating2]]</f>
        <v>3215.7413394369132</v>
      </c>
      <c r="JR13" s="1">
        <f>(Table15678911121314[[#This Row],[failurecost500_rating2]]+Table15678911121314[[#This Row],[failurecost100_rating2]]+Table15678911121314[[#This Row],[failurecost50_rating2]]+Table15678911121314[[#This Row],[failurecost10_rating2]])</f>
        <v>3215.7413394369132</v>
      </c>
      <c r="JS13" s="1">
        <f>(Table15678911121314[[#This Row],[failurecost500_rating3]]+Table15678911121314[[#This Row],[failurecost100_rating3]]+Table15678911121314[[#This Row],[failurecost50_rating3]]+Table15678911121314[[#This Row],[failurecost10_rating3]])</f>
        <v>707.46309467612105</v>
      </c>
      <c r="JT13" s="1">
        <f>(Table15678911121314[[#This Row],[failurecost500_rating4]]+Table15678911121314[[#This Row],[failurecost100_rating4]]+Table15678911121314[[#This Row],[failurecost50_rating4]]+Table15678911121314[[#This Row],[failurecost10_rating4]])</f>
        <v>257.25930715495309</v>
      </c>
      <c r="JU13" s="1">
        <f>(Table15678911121314[[#This Row],[failurecost500_rating5]]+Table15678911121314[[#This Row],[failurecost100_rating5]]+Table15678911121314[[#This Row],[failurecost50_rating5]]+Table15678911121314[[#This Row],[failurecost10_rating5]])</f>
        <v>45.020378752116784</v>
      </c>
      <c r="JV13" s="1">
        <f>(Table15678911121314[[#This Row],[failurecost500_rating6]]+Table15678911121314[[#This Row],[failurecost100_rating6]]+Table15678911121314[[#This Row],[failurecost50_rating6]]+Table15678911121314[[#This Row],[failurecost10_rating6]])</f>
        <v>11.576668821972888</v>
      </c>
      <c r="JW13" s="1">
        <f>(Table15678911121314[[#This Row],[failurecost500_rating7]]+Table15678911121314[[#This Row],[failurecost100_rating7]]+Table15678911121314[[#This Row],[failurecost50_rating7]]+Table15678911121314[[#This Row],[failurecost10_rating7]])</f>
        <v>11.576668821972888</v>
      </c>
      <c r="JX13" s="1">
        <f>(Table15678911121314[[#This Row],[failurecost500_rating8]]+Table15678911121314[[#This Row],[failurecost100_rating8]]+Table15678911121314[[#This Row],[failurecost50_rating8]]+Table15678911121314[[#This Row],[failurecost10_rating8]])</f>
        <v>0.25725930715495304</v>
      </c>
      <c r="JY13" s="1">
        <f>(Table15678911121314[[#This Row],[failurecost500_rating9]]+Table15678911121314[[#This Row],[failurecost100_rating9]]+Table15678911121314[[#This Row],[failurecost50_rating9]]+Table15678911121314[[#This Row],[failurecost10_rating9]])</f>
        <v>0.16078706697184567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13653.389769605932</v>
      </c>
      <c r="AR14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14501.430182908143</v>
      </c>
      <c r="AS14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14880.875971506524</v>
      </c>
      <c r="AT14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0.52800000000000002</v>
      </c>
      <c r="GF14" s="1">
        <v>45.276733474607731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40245.985310762422</v>
      </c>
      <c r="GM14" s="1">
        <f>Sheet4!R44*$GF14*1000000</f>
        <v>22638.36673730387</v>
      </c>
      <c r="GN14" s="1">
        <f>Sheet4!S44*$GF14*1000000</f>
        <v>14488.554711874474</v>
      </c>
      <c r="GO14" s="1">
        <f>Sheet4!T44*$GF14*1000000</f>
        <v>10061.496327690606</v>
      </c>
      <c r="GP14" s="1">
        <f>Sheet4!U44*$GF14*1000000</f>
        <v>7392.1197509563635</v>
      </c>
      <c r="GQ14" s="1">
        <f>Sheet4!V44*$GF14*1000000</f>
        <v>5659.5916843259674</v>
      </c>
      <c r="GR14" s="1">
        <f>Sheet4!W44*$GF14*1000000</f>
        <v>4471.7761456402695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0.01</v>
      </c>
      <c r="HF14" s="1">
        <v>1.25E-3</v>
      </c>
      <c r="HG14" s="1">
        <v>2.7500000000000002E-4</v>
      </c>
      <c r="HH14" s="1">
        <v>1E-4</v>
      </c>
      <c r="HI14" s="1">
        <v>1.7499999999999998E-5</v>
      </c>
      <c r="HJ14" s="1">
        <v>4.5000000000000001E-6</v>
      </c>
      <c r="HK14" s="1">
        <v>4.5000000000000001E-6</v>
      </c>
      <c r="HL14" s="1">
        <v>9.9999999999999995E-8</v>
      </c>
      <c r="HM14" s="1">
        <v>6.2499999999999997E-8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Table15678911121314[[#This Row],[Total_Cost_MUSD]]*1000000*Table15678911121314[[#This Row],[prob500-failure_rating1]]/500</f>
        <v>905.53466949215465</v>
      </c>
      <c r="IG14" s="1">
        <f>Table15678911121314[[#This Row],[Total_Cost_MUSD]]*1000000*Table15678911121314[[#This Row],[prob500-failure_rating2]]/500</f>
        <v>452.76733474607732</v>
      </c>
      <c r="IH14" s="1">
        <f>Table15678911121314[[#This Row],[Total_Cost_MUSD]]*1000000*Table15678911121314[[#This Row],[prob500-failure_rating3]]/500</f>
        <v>99.608813644137015</v>
      </c>
      <c r="II14" s="1">
        <f>Table15678911121314[[#This Row],[Total_Cost_MUSD]]*1000000*Table15678911121314[[#This Row],[prob500-failure_rating4]]/500</f>
        <v>36.221386779686185</v>
      </c>
      <c r="IJ14" s="1">
        <f>Table15678911121314[[#This Row],[Total_Cost_MUSD]]*1000000*Table15678911121314[[#This Row],[prob500-failure_rating5]]/500</f>
        <v>6.338742686445082</v>
      </c>
      <c r="IK14" s="1">
        <f>Table15678911121314[[#This Row],[Total_Cost_MUSD]]*1000000*Table15678911121314[[#This Row],[prob500-failure_rating6]]/500</f>
        <v>1.6299624050858783</v>
      </c>
      <c r="IL14" s="1">
        <f>Table15678911121314[[#This Row],[Total_Cost_MUSD]]*1000000*Table15678911121314[[#This Row],[prob500-failure_rating7]]/500</f>
        <v>1.6299624050858783</v>
      </c>
      <c r="IM14" s="1">
        <f>Table15678911121314[[#This Row],[Total_Cost_MUSD]]*1000000*Table15678911121314[[#This Row],[prob500-failure_rating8]]/500</f>
        <v>3.6221386779686178E-2</v>
      </c>
      <c r="IN14" s="1">
        <f>Table15678911121314[[#This Row],[Total_Cost_MUSD]]*1000000*Table15678911121314[[#This Row],[prob500-failure_rating9]]/500</f>
        <v>2.263836673730386E-2</v>
      </c>
      <c r="IO14" s="1">
        <f>Table15678911121314[[#This Row],[Total_Cost_MUSD]]*1000000*Table15678911121314[[#This Row],[prob100-failure_rating1]]/100</f>
        <v>4527.6733474607727</v>
      </c>
      <c r="IP14" s="1">
        <f>Table15678911121314[[#This Row],[Total_Cost_MUSD]]*1000000*Table15678911121314[[#This Row],[prob100-failure_rating2]]/100</f>
        <v>565.95916843259658</v>
      </c>
      <c r="IQ14" s="1">
        <f>Table15678911121314[[#This Row],[Total_Cost_MUSD]]*1000000*Table15678911121314[[#This Row],[prob100-failure_rating3]]/100</f>
        <v>124.51101705517127</v>
      </c>
      <c r="IR14" s="1">
        <f>Table15678911121314[[#This Row],[Total_Cost_MUSD]]*1000000*Table15678911121314[[#This Row],[prob100-failure_rating4]]/100</f>
        <v>45.276733474607724</v>
      </c>
      <c r="IS14" s="1">
        <f>Table15678911121314[[#This Row],[Total_Cost_MUSD]]*1000000*Table15678911121314[[#This Row],[prob100-failure_rating5]]/100</f>
        <v>7.923428358056352</v>
      </c>
      <c r="IT14" s="1">
        <f>Table15678911121314[[#This Row],[Total_Cost_MUSD]]*1000000*Table15678911121314[[#This Row],[prob100-failure_rating6]]/100</f>
        <v>2.0374530063573477</v>
      </c>
      <c r="IU14" s="1">
        <f>Table15678911121314[[#This Row],[Total_Cost_MUSD]]*1000000*Table15678911121314[[#This Row],[prob100-failure_rating7]]/100</f>
        <v>2.0374530063573477</v>
      </c>
      <c r="IV14" s="1">
        <f>Table15678911121314[[#This Row],[Total_Cost_MUSD]]*1000000*Table15678911121314[[#This Row],[prob100-failure_rating8]]/100</f>
        <v>4.5276733474607721E-2</v>
      </c>
      <c r="IW14" s="1">
        <f>Table15678911121314[[#This Row],[Total_Cost_MUSD]]*1000000*Table15678911121314[[#This Row],[prob100-failure_rating9]]/100</f>
        <v>2.8297958421629826E-2</v>
      </c>
      <c r="IX14" s="1">
        <f>Table15678911121314[[#This Row],[Total_Cost_MUSD]]*1000000*Table15678911121314[[#This Row],[prob50-failure_rating1]]/50</f>
        <v>9055.3466949215453</v>
      </c>
      <c r="IY14" s="1">
        <f>Table15678911121314[[#This Row],[Total_Cost_MUSD]]*1000000*Table15678911121314[[#This Row],[prob50-failure_rating2]]/50</f>
        <v>754.6122245767956</v>
      </c>
      <c r="IZ14" s="1">
        <f>Table15678911121314[[#This Row],[Total_Cost_MUSD]]*1000000*Table15678911121314[[#This Row],[prob50-failure_rating3]]/50</f>
        <v>166.014689406895</v>
      </c>
      <c r="JA14" s="1">
        <f>Table15678911121314[[#This Row],[Total_Cost_MUSD]]*1000000*Table15678911121314[[#This Row],[prob50-failure_rating4]]/50</f>
        <v>60.368977966143639</v>
      </c>
      <c r="JB14" s="1">
        <f>Table15678911121314[[#This Row],[Total_Cost_MUSD]]*1000000*Table15678911121314[[#This Row],[prob50-failure_rating5]]/50</f>
        <v>10.564571144075137</v>
      </c>
      <c r="JC14" s="1">
        <f>Table15678911121314[[#This Row],[Total_Cost_MUSD]]*1000000*Table15678911121314[[#This Row],[prob50-failure_rating6]]/50</f>
        <v>2.7166040084764638</v>
      </c>
      <c r="JD14" s="1">
        <f>Table15678911121314[[#This Row],[Total_Cost_MUSD]]*1000000*Table15678911121314[[#This Row],[prob50-failure_rating7]]/50</f>
        <v>2.7166040084764638</v>
      </c>
      <c r="JE14" s="1">
        <f>Table15678911121314[[#This Row],[Total_Cost_MUSD]]*1000000*Table15678911121314[[#This Row],[prob50-failure_rating8]]/50</f>
        <v>6.0368977966143635E-2</v>
      </c>
      <c r="JF14" s="1">
        <f>Table15678911121314[[#This Row],[Total_Cost_MUSD]]*1000000*Table15678911121314[[#This Row],[prob50-failure_rating9]]/50</f>
        <v>3.7730611228839771E-2</v>
      </c>
      <c r="JG14" s="1">
        <f>Table15678911121314[[#This Row],[Total_Cost_MUSD]]*1000000*Table15678911121314[[#This Row],[prob10-failure_rating1]]/10</f>
        <v>45276.733474607732</v>
      </c>
      <c r="JH14" s="1">
        <f>Table15678911121314[[#This Row],[Total_Cost_MUSD]]*1000000*Table15678911121314[[#This Row],[prob10-failure_rating2]]/10</f>
        <v>2263.8366737303868</v>
      </c>
      <c r="JI14" s="1">
        <f>Table15678911121314[[#This Row],[Total_Cost_MUSD]]*1000000*Table15678911121314[[#This Row],[prob10-failure_rating3]]/10</f>
        <v>498.04406822068506</v>
      </c>
      <c r="JJ14" s="1">
        <f>Table15678911121314[[#This Row],[Total_Cost_MUSD]]*1000000*Table15678911121314[[#This Row],[prob10-failure_rating4]]/10</f>
        <v>181.10693389843092</v>
      </c>
      <c r="JK14" s="1">
        <f>Table15678911121314[[#This Row],[Total_Cost_MUSD]]*1000000*Table15678911121314[[#This Row],[prob10-failure_rating5]]/10</f>
        <v>31.693713432225405</v>
      </c>
      <c r="JL14" s="1">
        <f>Table15678911121314[[#This Row],[Total_Cost_MUSD]]*1000000*Table15678911121314[[#This Row],[prob10-failure_rating6]]/10</f>
        <v>8.1498120254293926</v>
      </c>
      <c r="JM14" s="1">
        <f>Table15678911121314[[#This Row],[Total_Cost_MUSD]]*1000000*Table15678911121314[[#This Row],[prob10-failure_rating7]]/10</f>
        <v>8.1498120254293926</v>
      </c>
      <c r="JN14" s="1">
        <f>Table15678911121314[[#This Row],[Total_Cost_MUSD]]*1000000*Table15678911121314[[#This Row],[prob10-failure_rating8]]/10</f>
        <v>0.18110693389843091</v>
      </c>
      <c r="JO14" s="1">
        <f>Table15678911121314[[#This Row],[Total_Cost_MUSD]]*1000000*Table15678911121314[[#This Row],[prob10-failure_rating9]]/10</f>
        <v>0.11319183368651931</v>
      </c>
      <c r="JP14" s="1">
        <f>Table15678911121314[[#This Row],[FailureCost_Rating1]]</f>
        <v>4037.1754014858561</v>
      </c>
      <c r="JQ14" s="1">
        <f>Table15678911121314[[#This Row],[FailureCost_Rating2]]</f>
        <v>4037.1754014858561</v>
      </c>
      <c r="JR14" s="1">
        <f>(Table15678911121314[[#This Row],[failurecost500_rating2]]+Table15678911121314[[#This Row],[failurecost100_rating2]]+Table15678911121314[[#This Row],[failurecost50_rating2]]+Table15678911121314[[#This Row],[failurecost10_rating2]])</f>
        <v>4037.1754014858561</v>
      </c>
      <c r="JS14" s="1">
        <f>(Table15678911121314[[#This Row],[failurecost500_rating3]]+Table15678911121314[[#This Row],[failurecost100_rating3]]+Table15678911121314[[#This Row],[failurecost50_rating3]]+Table15678911121314[[#This Row],[failurecost10_rating3]])</f>
        <v>888.1785883268883</v>
      </c>
      <c r="JT14" s="1">
        <f>(Table15678911121314[[#This Row],[failurecost500_rating4]]+Table15678911121314[[#This Row],[failurecost100_rating4]]+Table15678911121314[[#This Row],[failurecost50_rating4]]+Table15678911121314[[#This Row],[failurecost10_rating4]])</f>
        <v>322.97403211886848</v>
      </c>
      <c r="JU14" s="1">
        <f>(Table15678911121314[[#This Row],[failurecost500_rating5]]+Table15678911121314[[#This Row],[failurecost100_rating5]]+Table15678911121314[[#This Row],[failurecost50_rating5]]+Table15678911121314[[#This Row],[failurecost10_rating5]])</f>
        <v>56.520455620801975</v>
      </c>
      <c r="JV14" s="1">
        <f>(Table15678911121314[[#This Row],[failurecost500_rating6]]+Table15678911121314[[#This Row],[failurecost100_rating6]]+Table15678911121314[[#This Row],[failurecost50_rating6]]+Table15678911121314[[#This Row],[failurecost10_rating6]])</f>
        <v>14.533831445349083</v>
      </c>
      <c r="JW14" s="1">
        <f>(Table15678911121314[[#This Row],[failurecost500_rating7]]+Table15678911121314[[#This Row],[failurecost100_rating7]]+Table15678911121314[[#This Row],[failurecost50_rating7]]+Table15678911121314[[#This Row],[failurecost10_rating7]])</f>
        <v>14.533831445349083</v>
      </c>
      <c r="JX14" s="1">
        <f>(Table15678911121314[[#This Row],[failurecost500_rating8]]+Table15678911121314[[#This Row],[failurecost100_rating8]]+Table15678911121314[[#This Row],[failurecost50_rating8]]+Table15678911121314[[#This Row],[failurecost10_rating8]])</f>
        <v>0.32297403211886844</v>
      </c>
      <c r="JY14" s="1">
        <f>(Table15678911121314[[#This Row],[failurecost500_rating9]]+Table15678911121314[[#This Row],[failurecost100_rating9]]+Table15678911121314[[#This Row],[failurecost50_rating9]]+Table15678911121314[[#This Row],[failurecost10_rating9]])</f>
        <v>0.20185877007429276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9589.4503766877388</v>
      </c>
      <c r="AR15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10089.839206196759</v>
      </c>
      <c r="AS15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10312.30726316059</v>
      </c>
      <c r="AT15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0.66</v>
      </c>
      <c r="GF15" s="1">
        <v>42.337773787369436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37633.576699883946</v>
      </c>
      <c r="GM15" s="1">
        <f>Sheet4!R45*$GF15*1000000</f>
        <v>21168.886893684714</v>
      </c>
      <c r="GN15" s="1">
        <f>Sheet4!S45*$GF15*1000000</f>
        <v>13548.087611958221</v>
      </c>
      <c r="GO15" s="1">
        <f>Sheet4!T45*$GF15*1000000</f>
        <v>9408.3941749709866</v>
      </c>
      <c r="GP15" s="1">
        <f>Sheet4!U45*$GF15*1000000</f>
        <v>6912.2895979378673</v>
      </c>
      <c r="GQ15" s="1">
        <f>Sheet4!V45*$GF15*1000000</f>
        <v>5292.2217234211785</v>
      </c>
      <c r="GR15" s="1">
        <f>Sheet4!W45*$GF15*1000000</f>
        <v>4181.5085222093267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0.01</v>
      </c>
      <c r="HF15" s="1">
        <v>1.25E-3</v>
      </c>
      <c r="HG15" s="1">
        <v>2.7500000000000002E-4</v>
      </c>
      <c r="HH15" s="1">
        <v>1E-4</v>
      </c>
      <c r="HI15" s="1">
        <v>1.7499999999999998E-5</v>
      </c>
      <c r="HJ15" s="1">
        <v>4.5000000000000001E-6</v>
      </c>
      <c r="HK15" s="1">
        <v>4.5000000000000001E-6</v>
      </c>
      <c r="HL15" s="1">
        <v>9.9999999999999995E-8</v>
      </c>
      <c r="HM15" s="1">
        <v>6.2499999999999997E-8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Table15678911121314[[#This Row],[Total_Cost_MUSD]]*1000000*Table15678911121314[[#This Row],[prob500-failure_rating1]]/500</f>
        <v>846.7554757473888</v>
      </c>
      <c r="IG15" s="1">
        <f>Table15678911121314[[#This Row],[Total_Cost_MUSD]]*1000000*Table15678911121314[[#This Row],[prob500-failure_rating2]]/500</f>
        <v>423.3777378736944</v>
      </c>
      <c r="IH15" s="1">
        <f>Table15678911121314[[#This Row],[Total_Cost_MUSD]]*1000000*Table15678911121314[[#This Row],[prob500-failure_rating3]]/500</f>
        <v>93.143102332212777</v>
      </c>
      <c r="II15" s="1">
        <f>Table15678911121314[[#This Row],[Total_Cost_MUSD]]*1000000*Table15678911121314[[#This Row],[prob500-failure_rating4]]/500</f>
        <v>33.870219029895551</v>
      </c>
      <c r="IJ15" s="1">
        <f>Table15678911121314[[#This Row],[Total_Cost_MUSD]]*1000000*Table15678911121314[[#This Row],[prob500-failure_rating5]]/500</f>
        <v>5.9272883302317201</v>
      </c>
      <c r="IK15" s="1">
        <f>Table15678911121314[[#This Row],[Total_Cost_MUSD]]*1000000*Table15678911121314[[#This Row],[prob500-failure_rating6]]/500</f>
        <v>1.5241598563452998</v>
      </c>
      <c r="IL15" s="1">
        <f>Table15678911121314[[#This Row],[Total_Cost_MUSD]]*1000000*Table15678911121314[[#This Row],[prob500-failure_rating7]]/500</f>
        <v>1.5241598563452998</v>
      </c>
      <c r="IM15" s="1">
        <f>Table15678911121314[[#This Row],[Total_Cost_MUSD]]*1000000*Table15678911121314[[#This Row],[prob500-failure_rating8]]/500</f>
        <v>3.3870219029895551E-2</v>
      </c>
      <c r="IN15" s="1">
        <f>Table15678911121314[[#This Row],[Total_Cost_MUSD]]*1000000*Table15678911121314[[#This Row],[prob500-failure_rating9]]/500</f>
        <v>2.1168886893684718E-2</v>
      </c>
      <c r="IO15" s="1">
        <f>Table15678911121314[[#This Row],[Total_Cost_MUSD]]*1000000*Table15678911121314[[#This Row],[prob100-failure_rating1]]/100</f>
        <v>4233.7773787369442</v>
      </c>
      <c r="IP15" s="1">
        <f>Table15678911121314[[#This Row],[Total_Cost_MUSD]]*1000000*Table15678911121314[[#This Row],[prob100-failure_rating2]]/100</f>
        <v>529.22217234211803</v>
      </c>
      <c r="IQ15" s="1">
        <f>Table15678911121314[[#This Row],[Total_Cost_MUSD]]*1000000*Table15678911121314[[#This Row],[prob100-failure_rating3]]/100</f>
        <v>116.42887791526597</v>
      </c>
      <c r="IR15" s="1">
        <f>Table15678911121314[[#This Row],[Total_Cost_MUSD]]*1000000*Table15678911121314[[#This Row],[prob100-failure_rating4]]/100</f>
        <v>42.337773787369443</v>
      </c>
      <c r="IS15" s="1">
        <f>Table15678911121314[[#This Row],[Total_Cost_MUSD]]*1000000*Table15678911121314[[#This Row],[prob100-failure_rating5]]/100</f>
        <v>7.4091104127896505</v>
      </c>
      <c r="IT15" s="1">
        <f>Table15678911121314[[#This Row],[Total_Cost_MUSD]]*1000000*Table15678911121314[[#This Row],[prob100-failure_rating6]]/100</f>
        <v>1.9051998204316249</v>
      </c>
      <c r="IU15" s="1">
        <f>Table15678911121314[[#This Row],[Total_Cost_MUSD]]*1000000*Table15678911121314[[#This Row],[prob100-failure_rating7]]/100</f>
        <v>1.9051998204316249</v>
      </c>
      <c r="IV15" s="1">
        <f>Table15678911121314[[#This Row],[Total_Cost_MUSD]]*1000000*Table15678911121314[[#This Row],[prob100-failure_rating8]]/100</f>
        <v>4.2337773787369443E-2</v>
      </c>
      <c r="IW15" s="1">
        <f>Table15678911121314[[#This Row],[Total_Cost_MUSD]]*1000000*Table15678911121314[[#This Row],[prob100-failure_rating9]]/100</f>
        <v>2.6461108617105898E-2</v>
      </c>
      <c r="IX15" s="1">
        <f>Table15678911121314[[#This Row],[Total_Cost_MUSD]]*1000000*Table15678911121314[[#This Row],[prob50-failure_rating1]]/50</f>
        <v>8467.5547574738885</v>
      </c>
      <c r="IY15" s="1">
        <f>Table15678911121314[[#This Row],[Total_Cost_MUSD]]*1000000*Table15678911121314[[#This Row],[prob50-failure_rating2]]/50</f>
        <v>705.62956312282404</v>
      </c>
      <c r="IZ15" s="1">
        <f>Table15678911121314[[#This Row],[Total_Cost_MUSD]]*1000000*Table15678911121314[[#This Row],[prob50-failure_rating3]]/50</f>
        <v>155.23850388702127</v>
      </c>
      <c r="JA15" s="1">
        <f>Table15678911121314[[#This Row],[Total_Cost_MUSD]]*1000000*Table15678911121314[[#This Row],[prob50-failure_rating4]]/50</f>
        <v>56.450365049825926</v>
      </c>
      <c r="JB15" s="1">
        <f>Table15678911121314[[#This Row],[Total_Cost_MUSD]]*1000000*Table15678911121314[[#This Row],[prob50-failure_rating5]]/50</f>
        <v>9.8788138837195341</v>
      </c>
      <c r="JC15" s="1">
        <f>Table15678911121314[[#This Row],[Total_Cost_MUSD]]*1000000*Table15678911121314[[#This Row],[prob50-failure_rating6]]/50</f>
        <v>2.5402664272421664</v>
      </c>
      <c r="JD15" s="1">
        <f>Table15678911121314[[#This Row],[Total_Cost_MUSD]]*1000000*Table15678911121314[[#This Row],[prob50-failure_rating7]]/50</f>
        <v>2.5402664272421664</v>
      </c>
      <c r="JE15" s="1">
        <f>Table15678911121314[[#This Row],[Total_Cost_MUSD]]*1000000*Table15678911121314[[#This Row],[prob50-failure_rating8]]/50</f>
        <v>5.6450365049825917E-2</v>
      </c>
      <c r="JF15" s="1">
        <f>Table15678911121314[[#This Row],[Total_Cost_MUSD]]*1000000*Table15678911121314[[#This Row],[prob50-failure_rating9]]/50</f>
        <v>3.5281478156141195E-2</v>
      </c>
      <c r="JG15" s="1">
        <f>Table15678911121314[[#This Row],[Total_Cost_MUSD]]*1000000*Table15678911121314[[#This Row],[prob10-failure_rating1]]/10</f>
        <v>42337.773787369442</v>
      </c>
      <c r="JH15" s="1">
        <f>Table15678911121314[[#This Row],[Total_Cost_MUSD]]*1000000*Table15678911121314[[#This Row],[prob10-failure_rating2]]/10</f>
        <v>2116.8886893684717</v>
      </c>
      <c r="JI15" s="1">
        <f>Table15678911121314[[#This Row],[Total_Cost_MUSD]]*1000000*Table15678911121314[[#This Row],[prob10-failure_rating3]]/10</f>
        <v>465.71551166106383</v>
      </c>
      <c r="JJ15" s="1">
        <f>Table15678911121314[[#This Row],[Total_Cost_MUSD]]*1000000*Table15678911121314[[#This Row],[prob10-failure_rating4]]/10</f>
        <v>169.35109514947777</v>
      </c>
      <c r="JK15" s="1">
        <f>Table15678911121314[[#This Row],[Total_Cost_MUSD]]*1000000*Table15678911121314[[#This Row],[prob10-failure_rating5]]/10</f>
        <v>29.636441651158599</v>
      </c>
      <c r="JL15" s="1">
        <f>Table15678911121314[[#This Row],[Total_Cost_MUSD]]*1000000*Table15678911121314[[#This Row],[prob10-failure_rating6]]/10</f>
        <v>7.6207992817264998</v>
      </c>
      <c r="JM15" s="1">
        <f>Table15678911121314[[#This Row],[Total_Cost_MUSD]]*1000000*Table15678911121314[[#This Row],[prob10-failure_rating7]]/10</f>
        <v>7.6207992817264998</v>
      </c>
      <c r="JN15" s="1">
        <f>Table15678911121314[[#This Row],[Total_Cost_MUSD]]*1000000*Table15678911121314[[#This Row],[prob10-failure_rating8]]/10</f>
        <v>0.16935109514947774</v>
      </c>
      <c r="JO15" s="1">
        <f>Table15678911121314[[#This Row],[Total_Cost_MUSD]]*1000000*Table15678911121314[[#This Row],[prob10-failure_rating9]]/10</f>
        <v>0.10584443446842359</v>
      </c>
      <c r="JP15" s="1">
        <f>Table15678911121314[[#This Row],[FailureCost_Rating1]]</f>
        <v>3775.1181627071082</v>
      </c>
      <c r="JQ15" s="1">
        <f>Table15678911121314[[#This Row],[FailureCost_Rating2]]</f>
        <v>3775.1181627071082</v>
      </c>
      <c r="JR15" s="1">
        <f>(Table15678911121314[[#This Row],[failurecost500_rating2]]+Table15678911121314[[#This Row],[failurecost100_rating2]]+Table15678911121314[[#This Row],[failurecost50_rating2]]+Table15678911121314[[#This Row],[failurecost10_rating2]])</f>
        <v>3775.1181627071082</v>
      </c>
      <c r="JS15" s="1">
        <f>(Table15678911121314[[#This Row],[failurecost500_rating3]]+Table15678911121314[[#This Row],[failurecost100_rating3]]+Table15678911121314[[#This Row],[failurecost50_rating3]]+Table15678911121314[[#This Row],[failurecost10_rating3]])</f>
        <v>830.52599579556386</v>
      </c>
      <c r="JT15" s="1">
        <f>(Table15678911121314[[#This Row],[failurecost500_rating4]]+Table15678911121314[[#This Row],[failurecost100_rating4]]+Table15678911121314[[#This Row],[failurecost50_rating4]]+Table15678911121314[[#This Row],[failurecost10_rating4]])</f>
        <v>302.00945301656873</v>
      </c>
      <c r="JU15" s="1">
        <f>(Table15678911121314[[#This Row],[failurecost500_rating5]]+Table15678911121314[[#This Row],[failurecost100_rating5]]+Table15678911121314[[#This Row],[failurecost50_rating5]]+Table15678911121314[[#This Row],[failurecost10_rating5]])</f>
        <v>52.851654277899499</v>
      </c>
      <c r="JV15" s="1">
        <f>(Table15678911121314[[#This Row],[failurecost500_rating6]]+Table15678911121314[[#This Row],[failurecost100_rating6]]+Table15678911121314[[#This Row],[failurecost50_rating6]]+Table15678911121314[[#This Row],[failurecost10_rating6]])</f>
        <v>13.590425385745592</v>
      </c>
      <c r="JW15" s="1">
        <f>(Table15678911121314[[#This Row],[failurecost500_rating7]]+Table15678911121314[[#This Row],[failurecost100_rating7]]+Table15678911121314[[#This Row],[failurecost50_rating7]]+Table15678911121314[[#This Row],[failurecost10_rating7]])</f>
        <v>13.590425385745592</v>
      </c>
      <c r="JX15" s="1">
        <f>(Table15678911121314[[#This Row],[failurecost500_rating8]]+Table15678911121314[[#This Row],[failurecost100_rating8]]+Table15678911121314[[#This Row],[failurecost50_rating8]]+Table15678911121314[[#This Row],[failurecost10_rating8]])</f>
        <v>0.30200945301656867</v>
      </c>
      <c r="JY15" s="1">
        <f>(Table15678911121314[[#This Row],[failurecost500_rating9]]+Table15678911121314[[#This Row],[failurecost100_rating9]]+Table15678911121314[[#This Row],[failurecost50_rating9]]+Table15678911121314[[#This Row],[failurecost10_rating9]])</f>
        <v>0.18875590813535539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6758.7093437956364</v>
      </c>
      <c r="AR16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7157.860599196707</v>
      </c>
      <c r="AS16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7335.7235370312192</v>
      </c>
      <c r="AT16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0.66</v>
      </c>
      <c r="GF16" s="1">
        <v>36.955333244425312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32849.185106155834</v>
      </c>
      <c r="GM16" s="1">
        <f>Sheet4!R46*$GF16*1000000</f>
        <v>18477.666622212651</v>
      </c>
      <c r="GN16" s="1">
        <f>Sheet4!S46*$GF16*1000000</f>
        <v>11825.706638216097</v>
      </c>
      <c r="GO16" s="1">
        <f>Sheet4!T46*$GF16*1000000</f>
        <v>8212.2962765389584</v>
      </c>
      <c r="GP16" s="1">
        <f>Sheet4!U46*$GF16*1000000</f>
        <v>6033.5237950082146</v>
      </c>
      <c r="GQ16" s="1">
        <f>Sheet4!V46*$GF16*1000000</f>
        <v>4619.4166555531629</v>
      </c>
      <c r="GR16" s="1">
        <f>Sheet4!W46*$GF16*1000000</f>
        <v>3649.9094562395367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0.01</v>
      </c>
      <c r="HF16" s="1">
        <v>1.25E-3</v>
      </c>
      <c r="HG16" s="1">
        <v>2.7500000000000002E-4</v>
      </c>
      <c r="HH16" s="1">
        <v>1E-4</v>
      </c>
      <c r="HI16" s="1">
        <v>1.7499999999999998E-5</v>
      </c>
      <c r="HJ16" s="1">
        <v>4.5000000000000001E-6</v>
      </c>
      <c r="HK16" s="1">
        <v>4.5000000000000001E-6</v>
      </c>
      <c r="HL16" s="1">
        <v>9.9999999999999995E-8</v>
      </c>
      <c r="HM16" s="1">
        <v>6.2499999999999997E-8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Table15678911121314[[#This Row],[Total_Cost_MUSD]]*1000000*Table15678911121314[[#This Row],[prob500-failure_rating1]]/500</f>
        <v>739.10666488850632</v>
      </c>
      <c r="IG16" s="1">
        <f>Table15678911121314[[#This Row],[Total_Cost_MUSD]]*1000000*Table15678911121314[[#This Row],[prob500-failure_rating2]]/500</f>
        <v>369.55333244425316</v>
      </c>
      <c r="IH16" s="1">
        <f>Table15678911121314[[#This Row],[Total_Cost_MUSD]]*1000000*Table15678911121314[[#This Row],[prob500-failure_rating3]]/500</f>
        <v>81.301733137735695</v>
      </c>
      <c r="II16" s="1">
        <f>Table15678911121314[[#This Row],[Total_Cost_MUSD]]*1000000*Table15678911121314[[#This Row],[prob500-failure_rating4]]/500</f>
        <v>29.564266595540253</v>
      </c>
      <c r="IJ16" s="1">
        <f>Table15678911121314[[#This Row],[Total_Cost_MUSD]]*1000000*Table15678911121314[[#This Row],[prob500-failure_rating5]]/500</f>
        <v>5.1737466542195438</v>
      </c>
      <c r="IK16" s="1">
        <f>Table15678911121314[[#This Row],[Total_Cost_MUSD]]*1000000*Table15678911121314[[#This Row],[prob500-failure_rating6]]/500</f>
        <v>1.3303919967993112</v>
      </c>
      <c r="IL16" s="1">
        <f>Table15678911121314[[#This Row],[Total_Cost_MUSD]]*1000000*Table15678911121314[[#This Row],[prob500-failure_rating7]]/500</f>
        <v>1.3303919967993112</v>
      </c>
      <c r="IM16" s="1">
        <f>Table15678911121314[[#This Row],[Total_Cost_MUSD]]*1000000*Table15678911121314[[#This Row],[prob500-failure_rating8]]/500</f>
        <v>2.9564266595540248E-2</v>
      </c>
      <c r="IN16" s="1">
        <f>Table15678911121314[[#This Row],[Total_Cost_MUSD]]*1000000*Table15678911121314[[#This Row],[prob500-failure_rating9]]/500</f>
        <v>1.8477666622212657E-2</v>
      </c>
      <c r="IO16" s="1">
        <f>Table15678911121314[[#This Row],[Total_Cost_MUSD]]*1000000*Table15678911121314[[#This Row],[prob100-failure_rating1]]/100</f>
        <v>3695.5333244425315</v>
      </c>
      <c r="IP16" s="1">
        <f>Table15678911121314[[#This Row],[Total_Cost_MUSD]]*1000000*Table15678911121314[[#This Row],[prob100-failure_rating2]]/100</f>
        <v>461.94166555531643</v>
      </c>
      <c r="IQ16" s="1">
        <f>Table15678911121314[[#This Row],[Total_Cost_MUSD]]*1000000*Table15678911121314[[#This Row],[prob100-failure_rating3]]/100</f>
        <v>101.62716642216961</v>
      </c>
      <c r="IR16" s="1">
        <f>Table15678911121314[[#This Row],[Total_Cost_MUSD]]*1000000*Table15678911121314[[#This Row],[prob100-failure_rating4]]/100</f>
        <v>36.955333244425312</v>
      </c>
      <c r="IS16" s="1">
        <f>Table15678911121314[[#This Row],[Total_Cost_MUSD]]*1000000*Table15678911121314[[#This Row],[prob100-failure_rating5]]/100</f>
        <v>6.4671833177744293</v>
      </c>
      <c r="IT16" s="1">
        <f>Table15678911121314[[#This Row],[Total_Cost_MUSD]]*1000000*Table15678911121314[[#This Row],[prob100-failure_rating6]]/100</f>
        <v>1.6629899959991392</v>
      </c>
      <c r="IU16" s="1">
        <f>Table15678911121314[[#This Row],[Total_Cost_MUSD]]*1000000*Table15678911121314[[#This Row],[prob100-failure_rating7]]/100</f>
        <v>1.6629899959991392</v>
      </c>
      <c r="IV16" s="1">
        <f>Table15678911121314[[#This Row],[Total_Cost_MUSD]]*1000000*Table15678911121314[[#This Row],[prob100-failure_rating8]]/100</f>
        <v>3.6955333244425306E-2</v>
      </c>
      <c r="IW16" s="1">
        <f>Table15678911121314[[#This Row],[Total_Cost_MUSD]]*1000000*Table15678911121314[[#This Row],[prob100-failure_rating9]]/100</f>
        <v>2.3097083277765818E-2</v>
      </c>
      <c r="IX16" s="1">
        <f>Table15678911121314[[#This Row],[Total_Cost_MUSD]]*1000000*Table15678911121314[[#This Row],[prob50-failure_rating1]]/50</f>
        <v>7391.0666488850629</v>
      </c>
      <c r="IY16" s="1">
        <f>Table15678911121314[[#This Row],[Total_Cost_MUSD]]*1000000*Table15678911121314[[#This Row],[prob50-failure_rating2]]/50</f>
        <v>615.92222074042195</v>
      </c>
      <c r="IZ16" s="1">
        <f>Table15678911121314[[#This Row],[Total_Cost_MUSD]]*1000000*Table15678911121314[[#This Row],[prob50-failure_rating3]]/50</f>
        <v>135.50288856289279</v>
      </c>
      <c r="JA16" s="1">
        <f>Table15678911121314[[#This Row],[Total_Cost_MUSD]]*1000000*Table15678911121314[[#This Row],[prob50-failure_rating4]]/50</f>
        <v>49.273777659233744</v>
      </c>
      <c r="JB16" s="1">
        <f>Table15678911121314[[#This Row],[Total_Cost_MUSD]]*1000000*Table15678911121314[[#This Row],[prob50-failure_rating5]]/50</f>
        <v>8.6229110903659052</v>
      </c>
      <c r="JC16" s="1">
        <f>Table15678911121314[[#This Row],[Total_Cost_MUSD]]*1000000*Table15678911121314[[#This Row],[prob50-failure_rating6]]/50</f>
        <v>2.2173199946655187</v>
      </c>
      <c r="JD16" s="1">
        <f>Table15678911121314[[#This Row],[Total_Cost_MUSD]]*1000000*Table15678911121314[[#This Row],[prob50-failure_rating7]]/50</f>
        <v>2.2173199946655187</v>
      </c>
      <c r="JE16" s="1">
        <f>Table15678911121314[[#This Row],[Total_Cost_MUSD]]*1000000*Table15678911121314[[#This Row],[prob50-failure_rating8]]/50</f>
        <v>4.9273777659233756E-2</v>
      </c>
      <c r="JF16" s="1">
        <f>Table15678911121314[[#This Row],[Total_Cost_MUSD]]*1000000*Table15678911121314[[#This Row],[prob50-failure_rating9]]/50</f>
        <v>3.0796111037021089E-2</v>
      </c>
      <c r="JG16" s="1">
        <f>Table15678911121314[[#This Row],[Total_Cost_MUSD]]*1000000*Table15678911121314[[#This Row],[prob10-failure_rating1]]/10</f>
        <v>36955.333244425317</v>
      </c>
      <c r="JH16" s="1">
        <f>Table15678911121314[[#This Row],[Total_Cost_MUSD]]*1000000*Table15678911121314[[#This Row],[prob10-failure_rating2]]/10</f>
        <v>1847.7666622212655</v>
      </c>
      <c r="JI16" s="1">
        <f>Table15678911121314[[#This Row],[Total_Cost_MUSD]]*1000000*Table15678911121314[[#This Row],[prob10-failure_rating3]]/10</f>
        <v>406.50866568867843</v>
      </c>
      <c r="JJ16" s="1">
        <f>Table15678911121314[[#This Row],[Total_Cost_MUSD]]*1000000*Table15678911121314[[#This Row],[prob10-failure_rating4]]/10</f>
        <v>147.82133297770127</v>
      </c>
      <c r="JK16" s="1">
        <f>Table15678911121314[[#This Row],[Total_Cost_MUSD]]*1000000*Table15678911121314[[#This Row],[prob10-failure_rating5]]/10</f>
        <v>25.868733271097717</v>
      </c>
      <c r="JL16" s="1">
        <f>Table15678911121314[[#This Row],[Total_Cost_MUSD]]*1000000*Table15678911121314[[#This Row],[prob10-failure_rating6]]/10</f>
        <v>6.6519599839965569</v>
      </c>
      <c r="JM16" s="1">
        <f>Table15678911121314[[#This Row],[Total_Cost_MUSD]]*1000000*Table15678911121314[[#This Row],[prob10-failure_rating7]]/10</f>
        <v>6.6519599839965569</v>
      </c>
      <c r="JN16" s="1">
        <f>Table15678911121314[[#This Row],[Total_Cost_MUSD]]*1000000*Table15678911121314[[#This Row],[prob10-failure_rating8]]/10</f>
        <v>0.14782133297770125</v>
      </c>
      <c r="JO16" s="1">
        <f>Table15678911121314[[#This Row],[Total_Cost_MUSD]]*1000000*Table15678911121314[[#This Row],[prob10-failure_rating9]]/10</f>
        <v>9.2388333111063273E-2</v>
      </c>
      <c r="JP16" s="1">
        <f>Table15678911121314[[#This Row],[FailureCost_Rating1]]</f>
        <v>3295.1838809612573</v>
      </c>
      <c r="JQ16" s="1">
        <f>Table15678911121314[[#This Row],[FailureCost_Rating2]]</f>
        <v>3295.1838809612573</v>
      </c>
      <c r="JR16" s="1">
        <f>(Table15678911121314[[#This Row],[failurecost500_rating2]]+Table15678911121314[[#This Row],[failurecost100_rating2]]+Table15678911121314[[#This Row],[failurecost50_rating2]]+Table15678911121314[[#This Row],[failurecost10_rating2]])</f>
        <v>3295.1838809612573</v>
      </c>
      <c r="JS16" s="1">
        <f>(Table15678911121314[[#This Row],[failurecost500_rating3]]+Table15678911121314[[#This Row],[failurecost100_rating3]]+Table15678911121314[[#This Row],[failurecost50_rating3]]+Table15678911121314[[#This Row],[failurecost10_rating3]])</f>
        <v>724.94045381147657</v>
      </c>
      <c r="JT16" s="1">
        <f>(Table15678911121314[[#This Row],[failurecost500_rating4]]+Table15678911121314[[#This Row],[failurecost100_rating4]]+Table15678911121314[[#This Row],[failurecost50_rating4]]+Table15678911121314[[#This Row],[failurecost10_rating4]])</f>
        <v>263.6147104769006</v>
      </c>
      <c r="JU16" s="1">
        <f>(Table15678911121314[[#This Row],[failurecost500_rating5]]+Table15678911121314[[#This Row],[failurecost100_rating5]]+Table15678911121314[[#This Row],[failurecost50_rating5]]+Table15678911121314[[#This Row],[failurecost10_rating5]])</f>
        <v>46.132574333457598</v>
      </c>
      <c r="JV16" s="1">
        <f>(Table15678911121314[[#This Row],[failurecost500_rating6]]+Table15678911121314[[#This Row],[failurecost100_rating6]]+Table15678911121314[[#This Row],[failurecost50_rating6]]+Table15678911121314[[#This Row],[failurecost10_rating6]])</f>
        <v>11.862661971460525</v>
      </c>
      <c r="JW16" s="1">
        <f>(Table15678911121314[[#This Row],[failurecost500_rating7]]+Table15678911121314[[#This Row],[failurecost100_rating7]]+Table15678911121314[[#This Row],[failurecost50_rating7]]+Table15678911121314[[#This Row],[failurecost10_rating7]])</f>
        <v>11.862661971460525</v>
      </c>
      <c r="JX16" s="1">
        <f>(Table15678911121314[[#This Row],[failurecost500_rating8]]+Table15678911121314[[#This Row],[failurecost100_rating8]]+Table15678911121314[[#This Row],[failurecost50_rating8]]+Table15678911121314[[#This Row],[failurecost10_rating8]])</f>
        <v>0.26361471047690055</v>
      </c>
      <c r="JY16" s="1">
        <f>(Table15678911121314[[#This Row],[failurecost500_rating9]]+Table15678911121314[[#This Row],[failurecost100_rating9]]+Table15678911121314[[#This Row],[failurecost50_rating9]]+Table15678911121314[[#This Row],[failurecost10_rating9]])</f>
        <v>0.16475919404806283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0</v>
      </c>
      <c r="AR17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73.925295948361111</v>
      </c>
      <c r="AS17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101.29876563204503</v>
      </c>
      <c r="AT17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0.22800000000000001</v>
      </c>
      <c r="GF17" s="1">
        <v>20.206536857636227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17961.366095676643</v>
      </c>
      <c r="GM17" s="1">
        <f>Sheet4!R47*$GF17*1000000</f>
        <v>10103.268428818115</v>
      </c>
      <c r="GN17" s="1">
        <f>Sheet4!S47*$GF17*1000000</f>
        <v>6466.0917944435923</v>
      </c>
      <c r="GO17" s="1">
        <f>Sheet4!T47*$GF17*1000000</f>
        <v>4490.3415239191609</v>
      </c>
      <c r="GP17" s="1">
        <f>Sheet4!U47*$GF17*1000000</f>
        <v>3299.026425736527</v>
      </c>
      <c r="GQ17" s="1">
        <f>Sheet4!V47*$GF17*1000000</f>
        <v>2525.8171072045288</v>
      </c>
      <c r="GR17" s="1">
        <f>Sheet4!W47*$GF17*1000000</f>
        <v>1995.7073439640719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0.01</v>
      </c>
      <c r="HF17" s="1">
        <v>1.25E-3</v>
      </c>
      <c r="HG17" s="1">
        <v>2.7500000000000002E-4</v>
      </c>
      <c r="HH17" s="1">
        <v>1E-4</v>
      </c>
      <c r="HI17" s="1">
        <v>1.7499999999999998E-5</v>
      </c>
      <c r="HJ17" s="1">
        <v>4.5000000000000001E-6</v>
      </c>
      <c r="HK17" s="1">
        <v>4.5000000000000001E-6</v>
      </c>
      <c r="HL17" s="1">
        <v>9.9999999999999995E-8</v>
      </c>
      <c r="HM17" s="1">
        <v>6.2499999999999997E-8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Table15678911121314[[#This Row],[Total_Cost_MUSD]]*1000000*Table15678911121314[[#This Row],[prob500-failure_rating1]]/500</f>
        <v>404.13073715272458</v>
      </c>
      <c r="IG17" s="1">
        <f>Table15678911121314[[#This Row],[Total_Cost_MUSD]]*1000000*Table15678911121314[[#This Row],[prob500-failure_rating2]]/500</f>
        <v>202.06536857636229</v>
      </c>
      <c r="IH17" s="1">
        <f>Table15678911121314[[#This Row],[Total_Cost_MUSD]]*1000000*Table15678911121314[[#This Row],[prob500-failure_rating3]]/500</f>
        <v>44.4543810867997</v>
      </c>
      <c r="II17" s="1">
        <f>Table15678911121314[[#This Row],[Total_Cost_MUSD]]*1000000*Table15678911121314[[#This Row],[prob500-failure_rating4]]/500</f>
        <v>16.165229486108984</v>
      </c>
      <c r="IJ17" s="1">
        <f>Table15678911121314[[#This Row],[Total_Cost_MUSD]]*1000000*Table15678911121314[[#This Row],[prob500-failure_rating5]]/500</f>
        <v>2.8289151600690716</v>
      </c>
      <c r="IK17" s="1">
        <f>Table15678911121314[[#This Row],[Total_Cost_MUSD]]*1000000*Table15678911121314[[#This Row],[prob500-failure_rating6]]/500</f>
        <v>0.72743532687490431</v>
      </c>
      <c r="IL17" s="1">
        <f>Table15678911121314[[#This Row],[Total_Cost_MUSD]]*1000000*Table15678911121314[[#This Row],[prob500-failure_rating7]]/500</f>
        <v>0.72743532687490431</v>
      </c>
      <c r="IM17" s="1">
        <f>Table15678911121314[[#This Row],[Total_Cost_MUSD]]*1000000*Table15678911121314[[#This Row],[prob500-failure_rating8]]/500</f>
        <v>1.6165229486108979E-2</v>
      </c>
      <c r="IN17" s="1">
        <f>Table15678911121314[[#This Row],[Total_Cost_MUSD]]*1000000*Table15678911121314[[#This Row],[prob500-failure_rating9]]/500</f>
        <v>1.0103268428818113E-2</v>
      </c>
      <c r="IO17" s="1">
        <f>Table15678911121314[[#This Row],[Total_Cost_MUSD]]*1000000*Table15678911121314[[#This Row],[prob100-failure_rating1]]/100</f>
        <v>2020.6536857636229</v>
      </c>
      <c r="IP17" s="1">
        <f>Table15678911121314[[#This Row],[Total_Cost_MUSD]]*1000000*Table15678911121314[[#This Row],[prob100-failure_rating2]]/100</f>
        <v>252.58171072045286</v>
      </c>
      <c r="IQ17" s="1">
        <f>Table15678911121314[[#This Row],[Total_Cost_MUSD]]*1000000*Table15678911121314[[#This Row],[prob100-failure_rating3]]/100</f>
        <v>55.567976358499628</v>
      </c>
      <c r="IR17" s="1">
        <f>Table15678911121314[[#This Row],[Total_Cost_MUSD]]*1000000*Table15678911121314[[#This Row],[prob100-failure_rating4]]/100</f>
        <v>20.20653685763623</v>
      </c>
      <c r="IS17" s="1">
        <f>Table15678911121314[[#This Row],[Total_Cost_MUSD]]*1000000*Table15678911121314[[#This Row],[prob100-failure_rating5]]/100</f>
        <v>3.5361439500863394</v>
      </c>
      <c r="IT17" s="1">
        <f>Table15678911121314[[#This Row],[Total_Cost_MUSD]]*1000000*Table15678911121314[[#This Row],[prob100-failure_rating6]]/100</f>
        <v>0.90929415859363028</v>
      </c>
      <c r="IU17" s="1">
        <f>Table15678911121314[[#This Row],[Total_Cost_MUSD]]*1000000*Table15678911121314[[#This Row],[prob100-failure_rating7]]/100</f>
        <v>0.90929415859363028</v>
      </c>
      <c r="IV17" s="1">
        <f>Table15678911121314[[#This Row],[Total_Cost_MUSD]]*1000000*Table15678911121314[[#This Row],[prob100-failure_rating8]]/100</f>
        <v>2.0206536857636227E-2</v>
      </c>
      <c r="IW17" s="1">
        <f>Table15678911121314[[#This Row],[Total_Cost_MUSD]]*1000000*Table15678911121314[[#This Row],[prob100-failure_rating9]]/100</f>
        <v>1.2629085536022641E-2</v>
      </c>
      <c r="IX17" s="1">
        <f>Table15678911121314[[#This Row],[Total_Cost_MUSD]]*1000000*Table15678911121314[[#This Row],[prob50-failure_rating1]]/50</f>
        <v>4041.3073715272458</v>
      </c>
      <c r="IY17" s="1">
        <f>Table15678911121314[[#This Row],[Total_Cost_MUSD]]*1000000*Table15678911121314[[#This Row],[prob50-failure_rating2]]/50</f>
        <v>336.77561429393717</v>
      </c>
      <c r="IZ17" s="1">
        <f>Table15678911121314[[#This Row],[Total_Cost_MUSD]]*1000000*Table15678911121314[[#This Row],[prob50-failure_rating3]]/50</f>
        <v>74.090635144666166</v>
      </c>
      <c r="JA17" s="1">
        <f>Table15678911121314[[#This Row],[Total_Cost_MUSD]]*1000000*Table15678911121314[[#This Row],[prob50-failure_rating4]]/50</f>
        <v>26.942049143514975</v>
      </c>
      <c r="JB17" s="1">
        <f>Table15678911121314[[#This Row],[Total_Cost_MUSD]]*1000000*Table15678911121314[[#This Row],[prob50-failure_rating5]]/50</f>
        <v>4.7148586001151198</v>
      </c>
      <c r="JC17" s="1">
        <f>Table15678911121314[[#This Row],[Total_Cost_MUSD]]*1000000*Table15678911121314[[#This Row],[prob50-failure_rating6]]/50</f>
        <v>1.2123922114581738</v>
      </c>
      <c r="JD17" s="1">
        <f>Table15678911121314[[#This Row],[Total_Cost_MUSD]]*1000000*Table15678911121314[[#This Row],[prob50-failure_rating7]]/50</f>
        <v>1.2123922114581738</v>
      </c>
      <c r="JE17" s="1">
        <f>Table15678911121314[[#This Row],[Total_Cost_MUSD]]*1000000*Table15678911121314[[#This Row],[prob50-failure_rating8]]/50</f>
        <v>2.6942049143514973E-2</v>
      </c>
      <c r="JF17" s="1">
        <f>Table15678911121314[[#This Row],[Total_Cost_MUSD]]*1000000*Table15678911121314[[#This Row],[prob50-failure_rating9]]/50</f>
        <v>1.6838780714696855E-2</v>
      </c>
      <c r="JG17" s="1">
        <f>Table15678911121314[[#This Row],[Total_Cost_MUSD]]*1000000*Table15678911121314[[#This Row],[prob10-failure_rating1]]/10</f>
        <v>20206.536857636231</v>
      </c>
      <c r="JH17" s="1">
        <f>Table15678911121314[[#This Row],[Total_Cost_MUSD]]*1000000*Table15678911121314[[#This Row],[prob10-failure_rating2]]/10</f>
        <v>1010.3268428818113</v>
      </c>
      <c r="JI17" s="1">
        <f>Table15678911121314[[#This Row],[Total_Cost_MUSD]]*1000000*Table15678911121314[[#This Row],[prob10-failure_rating3]]/10</f>
        <v>222.27190543399851</v>
      </c>
      <c r="JJ17" s="1">
        <f>Table15678911121314[[#This Row],[Total_Cost_MUSD]]*1000000*Table15678911121314[[#This Row],[prob10-failure_rating4]]/10</f>
        <v>80.826147430544921</v>
      </c>
      <c r="JK17" s="1">
        <f>Table15678911121314[[#This Row],[Total_Cost_MUSD]]*1000000*Table15678911121314[[#This Row],[prob10-failure_rating5]]/10</f>
        <v>14.144575800345359</v>
      </c>
      <c r="JL17" s="1">
        <f>Table15678911121314[[#This Row],[Total_Cost_MUSD]]*1000000*Table15678911121314[[#This Row],[prob10-failure_rating6]]/10</f>
        <v>3.6371766343745215</v>
      </c>
      <c r="JM17" s="1">
        <f>Table15678911121314[[#This Row],[Total_Cost_MUSD]]*1000000*Table15678911121314[[#This Row],[prob10-failure_rating7]]/10</f>
        <v>3.6371766343745215</v>
      </c>
      <c r="JN17" s="1">
        <f>Table15678911121314[[#This Row],[Total_Cost_MUSD]]*1000000*Table15678911121314[[#This Row],[prob10-failure_rating8]]/10</f>
        <v>8.082614743054492E-2</v>
      </c>
      <c r="JO17" s="1">
        <f>Table15678911121314[[#This Row],[Total_Cost_MUSD]]*1000000*Table15678911121314[[#This Row],[prob10-failure_rating9]]/10</f>
        <v>5.0516342144090565E-2</v>
      </c>
      <c r="JP17" s="1">
        <f>Table15678911121314[[#This Row],[FailureCost_Rating1]]</f>
        <v>1801.7495364725637</v>
      </c>
      <c r="JQ17" s="1">
        <f>Table15678911121314[[#This Row],[FailureCost_Rating2]]</f>
        <v>1801.7495364725637</v>
      </c>
      <c r="JR17" s="1">
        <f>(Table15678911121314[[#This Row],[failurecost500_rating2]]+Table15678911121314[[#This Row],[failurecost100_rating2]]+Table15678911121314[[#This Row],[failurecost50_rating2]]+Table15678911121314[[#This Row],[failurecost10_rating2]])</f>
        <v>1801.7495364725637</v>
      </c>
      <c r="JS17" s="1">
        <f>(Table15678911121314[[#This Row],[failurecost500_rating3]]+Table15678911121314[[#This Row],[failurecost100_rating3]]+Table15678911121314[[#This Row],[failurecost50_rating3]]+Table15678911121314[[#This Row],[failurecost10_rating3]])</f>
        <v>396.38489802396396</v>
      </c>
      <c r="JT17" s="1">
        <f>(Table15678911121314[[#This Row],[failurecost500_rating4]]+Table15678911121314[[#This Row],[failurecost100_rating4]]+Table15678911121314[[#This Row],[failurecost50_rating4]]+Table15678911121314[[#This Row],[failurecost10_rating4]])</f>
        <v>144.13996291780512</v>
      </c>
      <c r="JU17" s="1">
        <f>(Table15678911121314[[#This Row],[failurecost500_rating5]]+Table15678911121314[[#This Row],[failurecost100_rating5]]+Table15678911121314[[#This Row],[failurecost50_rating5]]+Table15678911121314[[#This Row],[failurecost10_rating5]])</f>
        <v>25.22449351061589</v>
      </c>
      <c r="JV17" s="1">
        <f>(Table15678911121314[[#This Row],[failurecost500_rating6]]+Table15678911121314[[#This Row],[failurecost100_rating6]]+Table15678911121314[[#This Row],[failurecost50_rating6]]+Table15678911121314[[#This Row],[failurecost10_rating6]])</f>
        <v>6.4862983313012297</v>
      </c>
      <c r="JW17" s="1">
        <f>(Table15678911121314[[#This Row],[failurecost500_rating7]]+Table15678911121314[[#This Row],[failurecost100_rating7]]+Table15678911121314[[#This Row],[failurecost50_rating7]]+Table15678911121314[[#This Row],[failurecost10_rating7]])</f>
        <v>6.4862983313012297</v>
      </c>
      <c r="JX17" s="1">
        <f>(Table15678911121314[[#This Row],[failurecost500_rating8]]+Table15678911121314[[#This Row],[failurecost100_rating8]]+Table15678911121314[[#This Row],[failurecost50_rating8]]+Table15678911121314[[#This Row],[failurecost10_rating8]])</f>
        <v>0.14413996291780509</v>
      </c>
      <c r="JY17" s="1">
        <f>(Table15678911121314[[#This Row],[failurecost500_rating9]]+Table15678911121314[[#This Row],[failurecost100_rating9]]+Table15678911121314[[#This Row],[failurecost50_rating9]]+Table15678911121314[[#This Row],[failurecost10_rating9]])</f>
        <v>9.0087476823628165E-2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15354.595084739485</v>
      </c>
      <c r="AR18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13414.428771618834</v>
      </c>
      <c r="AS18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13976.739331979787</v>
      </c>
      <c r="AT18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0.52800000000000002</v>
      </c>
      <c r="GF18" s="1">
        <v>15.288250485735549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13589.555987320487</v>
      </c>
      <c r="GM18" s="1">
        <f>Sheet4!R48*$GF18*1000000</f>
        <v>7644.1252428677744</v>
      </c>
      <c r="GN18" s="1">
        <f>Sheet4!S48*$GF18*1000000</f>
        <v>4892.2401554353773</v>
      </c>
      <c r="GO18" s="1">
        <f>Sheet4!T48*$GF18*1000000</f>
        <v>3397.3889968301219</v>
      </c>
      <c r="GP18" s="1">
        <f>Sheet4!U48*$GF18*1000000</f>
        <v>2496.0408956302936</v>
      </c>
      <c r="GQ18" s="1">
        <f>Sheet4!V48*$GF18*1000000</f>
        <v>1911.0313107169436</v>
      </c>
      <c r="GR18" s="1">
        <f>Sheet4!W48*$GF18*1000000</f>
        <v>1509.950665257832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0.01</v>
      </c>
      <c r="HF18" s="1">
        <v>1.25E-3</v>
      </c>
      <c r="HG18" s="1">
        <v>2.7500000000000002E-4</v>
      </c>
      <c r="HH18" s="1">
        <v>1E-4</v>
      </c>
      <c r="HI18" s="1">
        <v>1.7499999999999998E-5</v>
      </c>
      <c r="HJ18" s="1">
        <v>4.5000000000000001E-6</v>
      </c>
      <c r="HK18" s="1">
        <v>4.5000000000000001E-6</v>
      </c>
      <c r="HL18" s="1">
        <v>9.9999999999999995E-8</v>
      </c>
      <c r="HM18" s="1">
        <v>6.2499999999999997E-8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Table15678911121314[[#This Row],[Total_Cost_MUSD]]*1000000*Table15678911121314[[#This Row],[prob500-failure_rating1]]/500</f>
        <v>305.76500971471097</v>
      </c>
      <c r="IG18" s="1">
        <f>Table15678911121314[[#This Row],[Total_Cost_MUSD]]*1000000*Table15678911121314[[#This Row],[prob500-failure_rating2]]/500</f>
        <v>152.88250485735549</v>
      </c>
      <c r="IH18" s="1">
        <f>Table15678911121314[[#This Row],[Total_Cost_MUSD]]*1000000*Table15678911121314[[#This Row],[prob500-failure_rating3]]/500</f>
        <v>33.634151068618209</v>
      </c>
      <c r="II18" s="1">
        <f>Table15678911121314[[#This Row],[Total_Cost_MUSD]]*1000000*Table15678911121314[[#This Row],[prob500-failure_rating4]]/500</f>
        <v>12.23060038858844</v>
      </c>
      <c r="IJ18" s="1">
        <f>Table15678911121314[[#This Row],[Total_Cost_MUSD]]*1000000*Table15678911121314[[#This Row],[prob500-failure_rating5]]/500</f>
        <v>2.1403550680029766</v>
      </c>
      <c r="IK18" s="1">
        <f>Table15678911121314[[#This Row],[Total_Cost_MUSD]]*1000000*Table15678911121314[[#This Row],[prob500-failure_rating6]]/500</f>
        <v>0.55037701748647971</v>
      </c>
      <c r="IL18" s="1">
        <f>Table15678911121314[[#This Row],[Total_Cost_MUSD]]*1000000*Table15678911121314[[#This Row],[prob500-failure_rating7]]/500</f>
        <v>0.55037701748647971</v>
      </c>
      <c r="IM18" s="1">
        <f>Table15678911121314[[#This Row],[Total_Cost_MUSD]]*1000000*Table15678911121314[[#This Row],[prob500-failure_rating8]]/500</f>
        <v>1.2230600388588439E-2</v>
      </c>
      <c r="IN18" s="1">
        <f>Table15678911121314[[#This Row],[Total_Cost_MUSD]]*1000000*Table15678911121314[[#This Row],[prob500-failure_rating9]]/500</f>
        <v>7.6441252428677735E-3</v>
      </c>
      <c r="IO18" s="1">
        <f>Table15678911121314[[#This Row],[Total_Cost_MUSD]]*1000000*Table15678911121314[[#This Row],[prob100-failure_rating1]]/100</f>
        <v>1528.825048573555</v>
      </c>
      <c r="IP18" s="1">
        <f>Table15678911121314[[#This Row],[Total_Cost_MUSD]]*1000000*Table15678911121314[[#This Row],[prob100-failure_rating2]]/100</f>
        <v>191.10313107169438</v>
      </c>
      <c r="IQ18" s="1">
        <f>Table15678911121314[[#This Row],[Total_Cost_MUSD]]*1000000*Table15678911121314[[#This Row],[prob100-failure_rating3]]/100</f>
        <v>42.042688835772758</v>
      </c>
      <c r="IR18" s="1">
        <f>Table15678911121314[[#This Row],[Total_Cost_MUSD]]*1000000*Table15678911121314[[#This Row],[prob100-failure_rating4]]/100</f>
        <v>15.288250485735551</v>
      </c>
      <c r="IS18" s="1">
        <f>Table15678911121314[[#This Row],[Total_Cost_MUSD]]*1000000*Table15678911121314[[#This Row],[prob100-failure_rating5]]/100</f>
        <v>2.6754438350037208</v>
      </c>
      <c r="IT18" s="1">
        <f>Table15678911121314[[#This Row],[Total_Cost_MUSD]]*1000000*Table15678911121314[[#This Row],[prob100-failure_rating6]]/100</f>
        <v>0.6879712718580997</v>
      </c>
      <c r="IU18" s="1">
        <f>Table15678911121314[[#This Row],[Total_Cost_MUSD]]*1000000*Table15678911121314[[#This Row],[prob100-failure_rating7]]/100</f>
        <v>0.6879712718580997</v>
      </c>
      <c r="IV18" s="1">
        <f>Table15678911121314[[#This Row],[Total_Cost_MUSD]]*1000000*Table15678911121314[[#This Row],[prob100-failure_rating8]]/100</f>
        <v>1.5288250485735549E-2</v>
      </c>
      <c r="IW18" s="1">
        <f>Table15678911121314[[#This Row],[Total_Cost_MUSD]]*1000000*Table15678911121314[[#This Row],[prob100-failure_rating9]]/100</f>
        <v>9.5551565535847167E-3</v>
      </c>
      <c r="IX18" s="1">
        <f>Table15678911121314[[#This Row],[Total_Cost_MUSD]]*1000000*Table15678911121314[[#This Row],[prob50-failure_rating1]]/50</f>
        <v>3057.65009714711</v>
      </c>
      <c r="IY18" s="1">
        <f>Table15678911121314[[#This Row],[Total_Cost_MUSD]]*1000000*Table15678911121314[[#This Row],[prob50-failure_rating2]]/50</f>
        <v>254.80417476225918</v>
      </c>
      <c r="IZ18" s="1">
        <f>Table15678911121314[[#This Row],[Total_Cost_MUSD]]*1000000*Table15678911121314[[#This Row],[prob50-failure_rating3]]/50</f>
        <v>56.056918447697015</v>
      </c>
      <c r="JA18" s="1">
        <f>Table15678911121314[[#This Row],[Total_Cost_MUSD]]*1000000*Table15678911121314[[#This Row],[prob50-failure_rating4]]/50</f>
        <v>20.384333980980731</v>
      </c>
      <c r="JB18" s="1">
        <f>Table15678911121314[[#This Row],[Total_Cost_MUSD]]*1000000*Table15678911121314[[#This Row],[prob50-failure_rating5]]/50</f>
        <v>3.5672584466716279</v>
      </c>
      <c r="JC18" s="1">
        <f>Table15678911121314[[#This Row],[Total_Cost_MUSD]]*1000000*Table15678911121314[[#This Row],[prob50-failure_rating6]]/50</f>
        <v>0.91729502914413286</v>
      </c>
      <c r="JD18" s="1">
        <f>Table15678911121314[[#This Row],[Total_Cost_MUSD]]*1000000*Table15678911121314[[#This Row],[prob50-failure_rating7]]/50</f>
        <v>0.91729502914413286</v>
      </c>
      <c r="JE18" s="1">
        <f>Table15678911121314[[#This Row],[Total_Cost_MUSD]]*1000000*Table15678911121314[[#This Row],[prob50-failure_rating8]]/50</f>
        <v>2.0384333980980732E-2</v>
      </c>
      <c r="JF18" s="1">
        <f>Table15678911121314[[#This Row],[Total_Cost_MUSD]]*1000000*Table15678911121314[[#This Row],[prob50-failure_rating9]]/50</f>
        <v>1.2740208738112957E-2</v>
      </c>
      <c r="JG18" s="1">
        <f>Table15678911121314[[#This Row],[Total_Cost_MUSD]]*1000000*Table15678911121314[[#This Row],[prob10-failure_rating1]]/10</f>
        <v>15288.250485735549</v>
      </c>
      <c r="JH18" s="1">
        <f>Table15678911121314[[#This Row],[Total_Cost_MUSD]]*1000000*Table15678911121314[[#This Row],[prob10-failure_rating2]]/10</f>
        <v>764.4125242867774</v>
      </c>
      <c r="JI18" s="1">
        <f>Table15678911121314[[#This Row],[Total_Cost_MUSD]]*1000000*Table15678911121314[[#This Row],[prob10-failure_rating3]]/10</f>
        <v>168.17075534309103</v>
      </c>
      <c r="JJ18" s="1">
        <f>Table15678911121314[[#This Row],[Total_Cost_MUSD]]*1000000*Table15678911121314[[#This Row],[prob10-failure_rating4]]/10</f>
        <v>61.153001942942197</v>
      </c>
      <c r="JK18" s="1">
        <f>Table15678911121314[[#This Row],[Total_Cost_MUSD]]*1000000*Table15678911121314[[#This Row],[prob10-failure_rating5]]/10</f>
        <v>10.701775340014882</v>
      </c>
      <c r="JL18" s="1">
        <f>Table15678911121314[[#This Row],[Total_Cost_MUSD]]*1000000*Table15678911121314[[#This Row],[prob10-failure_rating6]]/10</f>
        <v>2.7518850874323988</v>
      </c>
      <c r="JM18" s="1">
        <f>Table15678911121314[[#This Row],[Total_Cost_MUSD]]*1000000*Table15678911121314[[#This Row],[prob10-failure_rating7]]/10</f>
        <v>2.7518850874323988</v>
      </c>
      <c r="JN18" s="1">
        <f>Table15678911121314[[#This Row],[Total_Cost_MUSD]]*1000000*Table15678911121314[[#This Row],[prob10-failure_rating8]]/10</f>
        <v>6.1153001942942195E-2</v>
      </c>
      <c r="JO18" s="1">
        <f>Table15678911121314[[#This Row],[Total_Cost_MUSD]]*1000000*Table15678911121314[[#This Row],[prob10-failure_rating9]]/10</f>
        <v>3.8220626214338874E-2</v>
      </c>
      <c r="JP18" s="1">
        <f>Table15678911121314[[#This Row],[FailureCost_Rating1]]</f>
        <v>1363.2023349780866</v>
      </c>
      <c r="JQ18" s="1">
        <f>Table15678911121314[[#This Row],[FailureCost_Rating2]]</f>
        <v>1363.2023349780866</v>
      </c>
      <c r="JR18" s="1">
        <f>(Table15678911121314[[#This Row],[failurecost500_rating2]]+Table15678911121314[[#This Row],[failurecost100_rating2]]+Table15678911121314[[#This Row],[failurecost50_rating2]]+Table15678911121314[[#This Row],[failurecost10_rating2]])</f>
        <v>1363.2023349780866</v>
      </c>
      <c r="JS18" s="1">
        <f>(Table15678911121314[[#This Row],[failurecost500_rating3]]+Table15678911121314[[#This Row],[failurecost100_rating3]]+Table15678911121314[[#This Row],[failurecost50_rating3]]+Table15678911121314[[#This Row],[failurecost10_rating3]])</f>
        <v>299.90451369517905</v>
      </c>
      <c r="JT18" s="1">
        <f>(Table15678911121314[[#This Row],[failurecost500_rating4]]+Table15678911121314[[#This Row],[failurecost100_rating4]]+Table15678911121314[[#This Row],[failurecost50_rating4]]+Table15678911121314[[#This Row],[failurecost10_rating4]])</f>
        <v>109.05618679824693</v>
      </c>
      <c r="JU18" s="1">
        <f>(Table15678911121314[[#This Row],[failurecost500_rating5]]+Table15678911121314[[#This Row],[failurecost100_rating5]]+Table15678911121314[[#This Row],[failurecost50_rating5]]+Table15678911121314[[#This Row],[failurecost10_rating5]])</f>
        <v>19.084832689693208</v>
      </c>
      <c r="JV18" s="1">
        <f>(Table15678911121314[[#This Row],[failurecost500_rating6]]+Table15678911121314[[#This Row],[failurecost100_rating6]]+Table15678911121314[[#This Row],[failurecost50_rating6]]+Table15678911121314[[#This Row],[failurecost10_rating6]])</f>
        <v>4.9075284059211111</v>
      </c>
      <c r="JW18" s="1">
        <f>(Table15678911121314[[#This Row],[failurecost500_rating7]]+Table15678911121314[[#This Row],[failurecost100_rating7]]+Table15678911121314[[#This Row],[failurecost50_rating7]]+Table15678911121314[[#This Row],[failurecost10_rating7]])</f>
        <v>4.9075284059211111</v>
      </c>
      <c r="JX18" s="1">
        <f>(Table15678911121314[[#This Row],[failurecost500_rating8]]+Table15678911121314[[#This Row],[failurecost100_rating8]]+Table15678911121314[[#This Row],[failurecost50_rating8]]+Table15678911121314[[#This Row],[failurecost10_rating8]])</f>
        <v>0.10905618679824691</v>
      </c>
      <c r="JY18" s="1">
        <f>(Table15678911121314[[#This Row],[failurecost500_rating9]]+Table15678911121314[[#This Row],[failurecost100_rating9]]+Table15678911121314[[#This Row],[failurecost50_rating9]]+Table15678911121314[[#This Row],[failurecost10_rating9]])</f>
        <v>6.816011674890432E-2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10223.699035708925</v>
      </c>
      <c r="AR19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11295.880242844603</v>
      </c>
      <c r="AS19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11757.366155411924</v>
      </c>
      <c r="AT19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0.79200000000000004</v>
      </c>
      <c r="GF19" s="1">
        <v>27.579280446009808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24514.91595200872</v>
      </c>
      <c r="GM19" s="1">
        <f>Sheet4!R49*$GF19*1000000</f>
        <v>13789.640223004903</v>
      </c>
      <c r="GN19" s="1">
        <f>Sheet4!S49*$GF19*1000000</f>
        <v>8825.36974272314</v>
      </c>
      <c r="GO19" s="1">
        <f>Sheet4!T49*$GF19*1000000</f>
        <v>6128.7289880021799</v>
      </c>
      <c r="GP19" s="1">
        <f>Sheet4!U49*$GF19*1000000</f>
        <v>4502.7396646546622</v>
      </c>
      <c r="GQ19" s="1">
        <f>Sheet4!V49*$GF19*1000000</f>
        <v>3447.4100557512256</v>
      </c>
      <c r="GR19" s="1">
        <f>Sheet4!W49*$GF19*1000000</f>
        <v>2723.8795502231906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0.01</v>
      </c>
      <c r="HF19" s="1">
        <v>1.25E-3</v>
      </c>
      <c r="HG19" s="1">
        <v>2.7500000000000002E-4</v>
      </c>
      <c r="HH19" s="1">
        <v>1E-4</v>
      </c>
      <c r="HI19" s="1">
        <v>1.7499999999999998E-5</v>
      </c>
      <c r="HJ19" s="1">
        <v>4.5000000000000001E-6</v>
      </c>
      <c r="HK19" s="1">
        <v>4.5000000000000001E-6</v>
      </c>
      <c r="HL19" s="1">
        <v>9.9999999999999995E-8</v>
      </c>
      <c r="HM19" s="1">
        <v>6.2499999999999997E-8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Table15678911121314[[#This Row],[Total_Cost_MUSD]]*1000000*Table15678911121314[[#This Row],[prob500-failure_rating1]]/500</f>
        <v>551.58560892019614</v>
      </c>
      <c r="IG19" s="1">
        <f>Table15678911121314[[#This Row],[Total_Cost_MUSD]]*1000000*Table15678911121314[[#This Row],[prob500-failure_rating2]]/500</f>
        <v>275.79280446009807</v>
      </c>
      <c r="IH19" s="1">
        <f>Table15678911121314[[#This Row],[Total_Cost_MUSD]]*1000000*Table15678911121314[[#This Row],[prob500-failure_rating3]]/500</f>
        <v>60.674416981221576</v>
      </c>
      <c r="II19" s="1">
        <f>Table15678911121314[[#This Row],[Total_Cost_MUSD]]*1000000*Table15678911121314[[#This Row],[prob500-failure_rating4]]/500</f>
        <v>22.063424356807847</v>
      </c>
      <c r="IJ19" s="1">
        <f>Table15678911121314[[#This Row],[Total_Cost_MUSD]]*1000000*Table15678911121314[[#This Row],[prob500-failure_rating5]]/500</f>
        <v>3.8610992624413725</v>
      </c>
      <c r="IK19" s="1">
        <f>Table15678911121314[[#This Row],[Total_Cost_MUSD]]*1000000*Table15678911121314[[#This Row],[prob500-failure_rating6]]/500</f>
        <v>0.99285409605635311</v>
      </c>
      <c r="IL19" s="1">
        <f>Table15678911121314[[#This Row],[Total_Cost_MUSD]]*1000000*Table15678911121314[[#This Row],[prob500-failure_rating7]]/500</f>
        <v>0.99285409605635311</v>
      </c>
      <c r="IM19" s="1">
        <f>Table15678911121314[[#This Row],[Total_Cost_MUSD]]*1000000*Table15678911121314[[#This Row],[prob500-failure_rating8]]/500</f>
        <v>2.2063424356807842E-2</v>
      </c>
      <c r="IN19" s="1">
        <f>Table15678911121314[[#This Row],[Total_Cost_MUSD]]*1000000*Table15678911121314[[#This Row],[prob500-failure_rating9]]/500</f>
        <v>1.3789640223004903E-2</v>
      </c>
      <c r="IO19" s="1">
        <f>Table15678911121314[[#This Row],[Total_Cost_MUSD]]*1000000*Table15678911121314[[#This Row],[prob100-failure_rating1]]/100</f>
        <v>2757.9280446009811</v>
      </c>
      <c r="IP19" s="1">
        <f>Table15678911121314[[#This Row],[Total_Cost_MUSD]]*1000000*Table15678911121314[[#This Row],[prob100-failure_rating2]]/100</f>
        <v>344.74100557512264</v>
      </c>
      <c r="IQ19" s="1">
        <f>Table15678911121314[[#This Row],[Total_Cost_MUSD]]*1000000*Table15678911121314[[#This Row],[prob100-failure_rating3]]/100</f>
        <v>75.843021226526972</v>
      </c>
      <c r="IR19" s="1">
        <f>Table15678911121314[[#This Row],[Total_Cost_MUSD]]*1000000*Table15678911121314[[#This Row],[prob100-failure_rating4]]/100</f>
        <v>27.579280446009808</v>
      </c>
      <c r="IS19" s="1">
        <f>Table15678911121314[[#This Row],[Total_Cost_MUSD]]*1000000*Table15678911121314[[#This Row],[prob100-failure_rating5]]/100</f>
        <v>4.8263740780517157</v>
      </c>
      <c r="IT19" s="1">
        <f>Table15678911121314[[#This Row],[Total_Cost_MUSD]]*1000000*Table15678911121314[[#This Row],[prob100-failure_rating6]]/100</f>
        <v>1.2410676200704414</v>
      </c>
      <c r="IU19" s="1">
        <f>Table15678911121314[[#This Row],[Total_Cost_MUSD]]*1000000*Table15678911121314[[#This Row],[prob100-failure_rating7]]/100</f>
        <v>1.2410676200704414</v>
      </c>
      <c r="IV19" s="1">
        <f>Table15678911121314[[#This Row],[Total_Cost_MUSD]]*1000000*Table15678911121314[[#This Row],[prob100-failure_rating8]]/100</f>
        <v>2.7579280446009803E-2</v>
      </c>
      <c r="IW19" s="1">
        <f>Table15678911121314[[#This Row],[Total_Cost_MUSD]]*1000000*Table15678911121314[[#This Row],[prob100-failure_rating9]]/100</f>
        <v>1.723705027875613E-2</v>
      </c>
      <c r="IX19" s="1">
        <f>Table15678911121314[[#This Row],[Total_Cost_MUSD]]*1000000*Table15678911121314[[#This Row],[prob50-failure_rating1]]/50</f>
        <v>5515.8560892019623</v>
      </c>
      <c r="IY19" s="1">
        <f>Table15678911121314[[#This Row],[Total_Cost_MUSD]]*1000000*Table15678911121314[[#This Row],[prob50-failure_rating2]]/50</f>
        <v>459.65467410016345</v>
      </c>
      <c r="IZ19" s="1">
        <f>Table15678911121314[[#This Row],[Total_Cost_MUSD]]*1000000*Table15678911121314[[#This Row],[prob50-failure_rating3]]/50</f>
        <v>101.12402830203597</v>
      </c>
      <c r="JA19" s="1">
        <f>Table15678911121314[[#This Row],[Total_Cost_MUSD]]*1000000*Table15678911121314[[#This Row],[prob50-failure_rating4]]/50</f>
        <v>36.772373928013081</v>
      </c>
      <c r="JB19" s="1">
        <f>Table15678911121314[[#This Row],[Total_Cost_MUSD]]*1000000*Table15678911121314[[#This Row],[prob50-failure_rating5]]/50</f>
        <v>6.4351654374022882</v>
      </c>
      <c r="JC19" s="1">
        <f>Table15678911121314[[#This Row],[Total_Cost_MUSD]]*1000000*Table15678911121314[[#This Row],[prob50-failure_rating6]]/50</f>
        <v>1.6547568267605886</v>
      </c>
      <c r="JD19" s="1">
        <f>Table15678911121314[[#This Row],[Total_Cost_MUSD]]*1000000*Table15678911121314[[#This Row],[prob50-failure_rating7]]/50</f>
        <v>1.6547568267605886</v>
      </c>
      <c r="JE19" s="1">
        <f>Table15678911121314[[#This Row],[Total_Cost_MUSD]]*1000000*Table15678911121314[[#This Row],[prob50-failure_rating8]]/50</f>
        <v>3.677237392801308E-2</v>
      </c>
      <c r="JF19" s="1">
        <f>Table15678911121314[[#This Row],[Total_Cost_MUSD]]*1000000*Table15678911121314[[#This Row],[prob50-failure_rating9]]/50</f>
        <v>2.2982733705008172E-2</v>
      </c>
      <c r="JG19" s="1">
        <f>Table15678911121314[[#This Row],[Total_Cost_MUSD]]*1000000*Table15678911121314[[#This Row],[prob10-failure_rating1]]/10</f>
        <v>27579.280446009809</v>
      </c>
      <c r="JH19" s="1">
        <f>Table15678911121314[[#This Row],[Total_Cost_MUSD]]*1000000*Table15678911121314[[#This Row],[prob10-failure_rating2]]/10</f>
        <v>1378.9640223004903</v>
      </c>
      <c r="JI19" s="1">
        <f>Table15678911121314[[#This Row],[Total_Cost_MUSD]]*1000000*Table15678911121314[[#This Row],[prob10-failure_rating3]]/10</f>
        <v>303.37208490610789</v>
      </c>
      <c r="JJ19" s="1">
        <f>Table15678911121314[[#This Row],[Total_Cost_MUSD]]*1000000*Table15678911121314[[#This Row],[prob10-failure_rating4]]/10</f>
        <v>110.31712178403923</v>
      </c>
      <c r="JK19" s="1">
        <f>Table15678911121314[[#This Row],[Total_Cost_MUSD]]*1000000*Table15678911121314[[#This Row],[prob10-failure_rating5]]/10</f>
        <v>19.305496312206863</v>
      </c>
      <c r="JL19" s="1">
        <f>Table15678911121314[[#This Row],[Total_Cost_MUSD]]*1000000*Table15678911121314[[#This Row],[prob10-failure_rating6]]/10</f>
        <v>4.9642704802817654</v>
      </c>
      <c r="JM19" s="1">
        <f>Table15678911121314[[#This Row],[Total_Cost_MUSD]]*1000000*Table15678911121314[[#This Row],[prob10-failure_rating7]]/10</f>
        <v>4.9642704802817654</v>
      </c>
      <c r="JN19" s="1">
        <f>Table15678911121314[[#This Row],[Total_Cost_MUSD]]*1000000*Table15678911121314[[#This Row],[prob10-failure_rating8]]/10</f>
        <v>0.11031712178403923</v>
      </c>
      <c r="JO19" s="1">
        <f>Table15678911121314[[#This Row],[Total_Cost_MUSD]]*1000000*Table15678911121314[[#This Row],[prob10-failure_rating9]]/10</f>
        <v>6.8948201115024504E-2</v>
      </c>
      <c r="JP19" s="1">
        <f>Table15678911121314[[#This Row],[FailureCost_Rating1]]</f>
        <v>2459.1525064358748</v>
      </c>
      <c r="JQ19" s="1">
        <f>Table15678911121314[[#This Row],[FailureCost_Rating2]]</f>
        <v>2459.1525064358748</v>
      </c>
      <c r="JR19" s="1">
        <f>(Table15678911121314[[#This Row],[failurecost500_rating2]]+Table15678911121314[[#This Row],[failurecost100_rating2]]+Table15678911121314[[#This Row],[failurecost50_rating2]]+Table15678911121314[[#This Row],[failurecost10_rating2]])</f>
        <v>2459.1525064358748</v>
      </c>
      <c r="JS19" s="1">
        <f>(Table15678911121314[[#This Row],[failurecost500_rating3]]+Table15678911121314[[#This Row],[failurecost100_rating3]]+Table15678911121314[[#This Row],[failurecost50_rating3]]+Table15678911121314[[#This Row],[failurecost10_rating3]])</f>
        <v>541.01355141589238</v>
      </c>
      <c r="JT19" s="1">
        <f>(Table15678911121314[[#This Row],[failurecost500_rating4]]+Table15678911121314[[#This Row],[failurecost100_rating4]]+Table15678911121314[[#This Row],[failurecost50_rating4]]+Table15678911121314[[#This Row],[failurecost10_rating4]])</f>
        <v>196.73220051486999</v>
      </c>
      <c r="JU19" s="1">
        <f>(Table15678911121314[[#This Row],[failurecost500_rating5]]+Table15678911121314[[#This Row],[failurecost100_rating5]]+Table15678911121314[[#This Row],[failurecost50_rating5]]+Table15678911121314[[#This Row],[failurecost10_rating5]])</f>
        <v>34.428135090102238</v>
      </c>
      <c r="JV19" s="1">
        <f>(Table15678911121314[[#This Row],[failurecost500_rating6]]+Table15678911121314[[#This Row],[failurecost100_rating6]]+Table15678911121314[[#This Row],[failurecost50_rating6]]+Table15678911121314[[#This Row],[failurecost10_rating6]])</f>
        <v>8.852949023169149</v>
      </c>
      <c r="JW19" s="1">
        <f>(Table15678911121314[[#This Row],[failurecost500_rating7]]+Table15678911121314[[#This Row],[failurecost100_rating7]]+Table15678911121314[[#This Row],[failurecost50_rating7]]+Table15678911121314[[#This Row],[failurecost10_rating7]])</f>
        <v>8.852949023169149</v>
      </c>
      <c r="JX19" s="1">
        <f>(Table15678911121314[[#This Row],[failurecost500_rating8]]+Table15678911121314[[#This Row],[failurecost100_rating8]]+Table15678911121314[[#This Row],[failurecost50_rating8]]+Table15678911121314[[#This Row],[failurecost10_rating8]])</f>
        <v>0.19673220051486995</v>
      </c>
      <c r="JY19" s="1">
        <f>(Table15678911121314[[#This Row],[failurecost500_rating9]]+Table15678911121314[[#This Row],[failurecost100_rating9]]+Table15678911121314[[#This Row],[failurecost50_rating9]]+Table15678911121314[[#This Row],[failurecost10_rating9]])</f>
        <v>0.1229576253217937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Table15678911121314[[#This Row],[Depth10_Soil_vol]]*(9.353+9.027)+(Table15678911121314[[#This Row],[Depth10_Soil_vol]]/2.5)*20*1.053+(PI()*Table15678911121314[[#This Row],[Depth10_Scour]])*Table15678911121314[[#This Row],[DECK_WIDTH_MT_052]]*1.062</f>
        <v>13853.451944603266</v>
      </c>
      <c r="AR20" s="1">
        <f>Table15678911121314[[#This Row],[Depth50_Soil_vol]]*(9.353+9.027)+(Table15678911121314[[#This Row],[Depth50_Soil_vol]]/2.5)*20*1.053+(PI()*Table15678911121314[[#This Row],[Depth50_Scour]])*Table15678911121314[[#This Row],[DECK_WIDTH_MT_052]]*1.062</f>
        <v>14885.488907843239</v>
      </c>
      <c r="AS20" s="1">
        <f>Table15678911121314[[#This Row],[Depth100_Soil_vol]]*(9.353+9.027)+(Table15678911121314[[#This Row],[Depth100_Soil_vol]]/2.5)*20*1.053+(PI()*Table15678911121314[[#This Row],[Depth100_Scour]])*Table15678911121314[[#This Row],[DECK_WIDTH_MT_052]]*1.062</f>
        <v>15342.083437730904</v>
      </c>
      <c r="AT20" s="1">
        <f>Table15678911121314[[#This Row],[Depth500_Soil_vol]]*(9.353+9.027)+(Table15678911121314[[#This Row],[Depth500_Soil_vol]]/2.5)*20*1.053+(PI()*Table15678911121314[[#This Row],[Depth500_Scour]])*Table15678911121314[[#This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MAX(0,(Table15678911121314[[#This Row],[Current_rating]]-Table15678911121314[[#This Row],[Depth10_Rating]])/10+(Table15678911121314[[#This Row],[Current_rating]]-Table15678911121314[[#This Row],[Depth50_Rating]])/50+(Table15678911121314[[#This Row],[Current_rating]]-Table15678911121314[[#This Row],[Depth100_Rating]])/100+(Table15678911121314[[#This Row],[Current_rating]]-Table15678911121314[[#This Row],[Depth500_Rating]])/500)</f>
        <v>0.26400000000000001</v>
      </c>
      <c r="GF20" s="1">
        <v>20.976093565724195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18645.416502865952</v>
      </c>
      <c r="GM20" s="1">
        <f>Sheet4!R50*$GF20*1000000</f>
        <v>10488.046782862097</v>
      </c>
      <c r="GN20" s="1">
        <f>Sheet4!S50*$GF20*1000000</f>
        <v>6712.3499410317436</v>
      </c>
      <c r="GO20" s="1">
        <f>Sheet4!T50*$GF20*1000000</f>
        <v>4661.3541257164879</v>
      </c>
      <c r="GP20" s="1">
        <f>Sheet4!U50*$GF20*1000000</f>
        <v>3424.6683372610933</v>
      </c>
      <c r="GQ20" s="1">
        <f>Sheet4!V50*$GF20*1000000</f>
        <v>2622.0116957155242</v>
      </c>
      <c r="GR20" s="1">
        <f>Sheet4!W50*$GF20*1000000</f>
        <v>2071.7129447628831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0.01</v>
      </c>
      <c r="HF20" s="1">
        <v>1.25E-3</v>
      </c>
      <c r="HG20" s="1">
        <v>2.7500000000000002E-4</v>
      </c>
      <c r="HH20" s="1">
        <v>1E-4</v>
      </c>
      <c r="HI20" s="1">
        <v>1.7499999999999998E-5</v>
      </c>
      <c r="HJ20" s="1">
        <v>4.5000000000000001E-6</v>
      </c>
      <c r="HK20" s="1">
        <v>4.5000000000000001E-6</v>
      </c>
      <c r="HL20" s="1">
        <v>9.9999999999999995E-8</v>
      </c>
      <c r="HM20" s="1">
        <v>6.2499999999999997E-8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Table15678911121314[[#This Row],[Total_Cost_MUSD]]*1000000*Table15678911121314[[#This Row],[prob500-failure_rating1]]/500</f>
        <v>419.52187131448386</v>
      </c>
      <c r="IG20" s="1">
        <f>Table15678911121314[[#This Row],[Total_Cost_MUSD]]*1000000*Table15678911121314[[#This Row],[prob500-failure_rating2]]/500</f>
        <v>209.76093565724193</v>
      </c>
      <c r="IH20" s="1">
        <f>Table15678911121314[[#This Row],[Total_Cost_MUSD]]*1000000*Table15678911121314[[#This Row],[prob500-failure_rating3]]/500</f>
        <v>46.14740584459323</v>
      </c>
      <c r="II20" s="1">
        <f>Table15678911121314[[#This Row],[Total_Cost_MUSD]]*1000000*Table15678911121314[[#This Row],[prob500-failure_rating4]]/500</f>
        <v>16.780874852579355</v>
      </c>
      <c r="IJ20" s="1">
        <f>Table15678911121314[[#This Row],[Total_Cost_MUSD]]*1000000*Table15678911121314[[#This Row],[prob500-failure_rating5]]/500</f>
        <v>2.9366530992013868</v>
      </c>
      <c r="IK20" s="1">
        <f>Table15678911121314[[#This Row],[Total_Cost_MUSD]]*1000000*Table15678911121314[[#This Row],[prob500-failure_rating6]]/500</f>
        <v>0.75513936836607098</v>
      </c>
      <c r="IL20" s="1">
        <f>Table15678911121314[[#This Row],[Total_Cost_MUSD]]*1000000*Table15678911121314[[#This Row],[prob500-failure_rating7]]/500</f>
        <v>0.75513936836607098</v>
      </c>
      <c r="IM20" s="1">
        <f>Table15678911121314[[#This Row],[Total_Cost_MUSD]]*1000000*Table15678911121314[[#This Row],[prob500-failure_rating8]]/500</f>
        <v>1.6780874852579356E-2</v>
      </c>
      <c r="IN20" s="1">
        <f>Table15678911121314[[#This Row],[Total_Cost_MUSD]]*1000000*Table15678911121314[[#This Row],[prob500-failure_rating9]]/500</f>
        <v>1.0488046782862095E-2</v>
      </c>
      <c r="IO20" s="1">
        <f>Table15678911121314[[#This Row],[Total_Cost_MUSD]]*1000000*Table15678911121314[[#This Row],[prob100-failure_rating1]]/100</f>
        <v>2097.6093565724195</v>
      </c>
      <c r="IP20" s="1">
        <f>Table15678911121314[[#This Row],[Total_Cost_MUSD]]*1000000*Table15678911121314[[#This Row],[prob100-failure_rating2]]/100</f>
        <v>262.20116957155244</v>
      </c>
      <c r="IQ20" s="1">
        <f>Table15678911121314[[#This Row],[Total_Cost_MUSD]]*1000000*Table15678911121314[[#This Row],[prob100-failure_rating3]]/100</f>
        <v>57.684257305741539</v>
      </c>
      <c r="IR20" s="1">
        <f>Table15678911121314[[#This Row],[Total_Cost_MUSD]]*1000000*Table15678911121314[[#This Row],[prob100-failure_rating4]]/100</f>
        <v>20.976093565724195</v>
      </c>
      <c r="IS20" s="1">
        <f>Table15678911121314[[#This Row],[Total_Cost_MUSD]]*1000000*Table15678911121314[[#This Row],[prob100-failure_rating5]]/100</f>
        <v>3.6708163740017334</v>
      </c>
      <c r="IT20" s="1">
        <f>Table15678911121314[[#This Row],[Total_Cost_MUSD]]*1000000*Table15678911121314[[#This Row],[prob100-failure_rating6]]/100</f>
        <v>0.94392421045758879</v>
      </c>
      <c r="IU20" s="1">
        <f>Table15678911121314[[#This Row],[Total_Cost_MUSD]]*1000000*Table15678911121314[[#This Row],[prob100-failure_rating7]]/100</f>
        <v>0.94392421045758879</v>
      </c>
      <c r="IV20" s="1">
        <f>Table15678911121314[[#This Row],[Total_Cost_MUSD]]*1000000*Table15678911121314[[#This Row],[prob100-failure_rating8]]/100</f>
        <v>2.0976093565724194E-2</v>
      </c>
      <c r="IW20" s="1">
        <f>Table15678911121314[[#This Row],[Total_Cost_MUSD]]*1000000*Table15678911121314[[#This Row],[prob100-failure_rating9]]/100</f>
        <v>1.3110058478577619E-2</v>
      </c>
      <c r="IX20" s="1">
        <f>Table15678911121314[[#This Row],[Total_Cost_MUSD]]*1000000*Table15678911121314[[#This Row],[prob50-failure_rating1]]/50</f>
        <v>4195.2187131448391</v>
      </c>
      <c r="IY20" s="1">
        <f>Table15678911121314[[#This Row],[Total_Cost_MUSD]]*1000000*Table15678911121314[[#This Row],[prob50-failure_rating2]]/50</f>
        <v>349.60155942873661</v>
      </c>
      <c r="IZ20" s="1">
        <f>Table15678911121314[[#This Row],[Total_Cost_MUSD]]*1000000*Table15678911121314[[#This Row],[prob50-failure_rating3]]/50</f>
        <v>76.912343074322038</v>
      </c>
      <c r="JA20" s="1">
        <f>Table15678911121314[[#This Row],[Total_Cost_MUSD]]*1000000*Table15678911121314[[#This Row],[prob50-failure_rating4]]/50</f>
        <v>27.968124754298927</v>
      </c>
      <c r="JB20" s="1">
        <f>Table15678911121314[[#This Row],[Total_Cost_MUSD]]*1000000*Table15678911121314[[#This Row],[prob50-failure_rating5]]/50</f>
        <v>4.8944218320023118</v>
      </c>
      <c r="JC20" s="1">
        <f>Table15678911121314[[#This Row],[Total_Cost_MUSD]]*1000000*Table15678911121314[[#This Row],[prob50-failure_rating6]]/50</f>
        <v>1.2585656139434516</v>
      </c>
      <c r="JD20" s="1">
        <f>Table15678911121314[[#This Row],[Total_Cost_MUSD]]*1000000*Table15678911121314[[#This Row],[prob50-failure_rating7]]/50</f>
        <v>1.2585656139434516</v>
      </c>
      <c r="JE20" s="1">
        <f>Table15678911121314[[#This Row],[Total_Cost_MUSD]]*1000000*Table15678911121314[[#This Row],[prob50-failure_rating8]]/50</f>
        <v>2.7968124754298926E-2</v>
      </c>
      <c r="JF20" s="1">
        <f>Table15678911121314[[#This Row],[Total_Cost_MUSD]]*1000000*Table15678911121314[[#This Row],[prob50-failure_rating9]]/50</f>
        <v>1.7480077971436827E-2</v>
      </c>
      <c r="JG20" s="1">
        <f>Table15678911121314[[#This Row],[Total_Cost_MUSD]]*1000000*Table15678911121314[[#This Row],[prob10-failure_rating1]]/10</f>
        <v>20976.093565724193</v>
      </c>
      <c r="JH20" s="1">
        <f>Table15678911121314[[#This Row],[Total_Cost_MUSD]]*1000000*Table15678911121314[[#This Row],[prob10-failure_rating2]]/10</f>
        <v>1048.8046782862098</v>
      </c>
      <c r="JI20" s="1">
        <f>Table15678911121314[[#This Row],[Total_Cost_MUSD]]*1000000*Table15678911121314[[#This Row],[prob10-failure_rating3]]/10</f>
        <v>230.73702922296616</v>
      </c>
      <c r="JJ20" s="1">
        <f>Table15678911121314[[#This Row],[Total_Cost_MUSD]]*1000000*Table15678911121314[[#This Row],[prob10-failure_rating4]]/10</f>
        <v>83.904374262896781</v>
      </c>
      <c r="JK20" s="1">
        <f>Table15678911121314[[#This Row],[Total_Cost_MUSD]]*1000000*Table15678911121314[[#This Row],[prob10-failure_rating5]]/10</f>
        <v>14.683265496006934</v>
      </c>
      <c r="JL20" s="1">
        <f>Table15678911121314[[#This Row],[Total_Cost_MUSD]]*1000000*Table15678911121314[[#This Row],[prob10-failure_rating6]]/10</f>
        <v>3.7756968418303551</v>
      </c>
      <c r="JM20" s="1">
        <f>Table15678911121314[[#This Row],[Total_Cost_MUSD]]*1000000*Table15678911121314[[#This Row],[prob10-failure_rating7]]/10</f>
        <v>3.7756968418303551</v>
      </c>
      <c r="JN20" s="1">
        <f>Table15678911121314[[#This Row],[Total_Cost_MUSD]]*1000000*Table15678911121314[[#This Row],[prob10-failure_rating8]]/10</f>
        <v>8.3904374262896778E-2</v>
      </c>
      <c r="JO20" s="1">
        <f>Table15678911121314[[#This Row],[Total_Cost_MUSD]]*1000000*Table15678911121314[[#This Row],[prob10-failure_rating9]]/10</f>
        <v>5.2440233914310484E-2</v>
      </c>
      <c r="JP20" s="1">
        <f>Table15678911121314[[#This Row],[FailureCost_Rating1]]</f>
        <v>1870.3683429437408</v>
      </c>
      <c r="JQ20" s="1">
        <f>Table15678911121314[[#This Row],[FailureCost_Rating2]]</f>
        <v>1870.3683429437408</v>
      </c>
      <c r="JR20" s="1">
        <f>(Table15678911121314[[#This Row],[failurecost500_rating2]]+Table15678911121314[[#This Row],[failurecost100_rating2]]+Table15678911121314[[#This Row],[failurecost50_rating2]]+Table15678911121314[[#This Row],[failurecost10_rating2]])</f>
        <v>1870.3683429437408</v>
      </c>
      <c r="JS20" s="1">
        <f>(Table15678911121314[[#This Row],[failurecost500_rating3]]+Table15678911121314[[#This Row],[failurecost100_rating3]]+Table15678911121314[[#This Row],[failurecost50_rating3]]+Table15678911121314[[#This Row],[failurecost10_rating3]])</f>
        <v>411.48103544762296</v>
      </c>
      <c r="JT20" s="1">
        <f>(Table15678911121314[[#This Row],[failurecost500_rating4]]+Table15678911121314[[#This Row],[failurecost100_rating4]]+Table15678911121314[[#This Row],[failurecost50_rating4]]+Table15678911121314[[#This Row],[failurecost10_rating4]])</f>
        <v>149.62946743549924</v>
      </c>
      <c r="JU20" s="1">
        <f>(Table15678911121314[[#This Row],[failurecost500_rating5]]+Table15678911121314[[#This Row],[failurecost100_rating5]]+Table15678911121314[[#This Row],[failurecost50_rating5]]+Table15678911121314[[#This Row],[failurecost10_rating5]])</f>
        <v>26.185156801212365</v>
      </c>
      <c r="JV20" s="1">
        <f>(Table15678911121314[[#This Row],[failurecost500_rating6]]+Table15678911121314[[#This Row],[failurecost100_rating6]]+Table15678911121314[[#This Row],[failurecost50_rating6]]+Table15678911121314[[#This Row],[failurecost10_rating6]])</f>
        <v>6.7333260345974661</v>
      </c>
      <c r="JW20" s="1">
        <f>(Table15678911121314[[#This Row],[failurecost500_rating7]]+Table15678911121314[[#This Row],[failurecost100_rating7]]+Table15678911121314[[#This Row],[failurecost50_rating7]]+Table15678911121314[[#This Row],[failurecost10_rating7]])</f>
        <v>6.7333260345974661</v>
      </c>
      <c r="JX20" s="1">
        <f>(Table15678911121314[[#This Row],[failurecost500_rating8]]+Table15678911121314[[#This Row],[failurecost100_rating8]]+Table15678911121314[[#This Row],[failurecost50_rating8]]+Table15678911121314[[#This Row],[failurecost10_rating8]])</f>
        <v>0.14962946743549926</v>
      </c>
      <c r="JY20" s="1">
        <f>(Table15678911121314[[#This Row],[failurecost500_rating9]]+Table15678911121314[[#This Row],[failurecost100_rating9]]+Table15678911121314[[#This Row],[failurecost50_rating9]]+Table15678911121314[[#This Row],[failurecost10_rating9]])</f>
        <v>9.3518417147187033E-2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B455-0EC2-4EFA-B462-3BA314CE6401}">
  <dimension ref="A1:JY20"/>
  <sheetViews>
    <sheetView zoomScale="85" zoomScaleNormal="85" workbookViewId="0">
      <selection activeCell="AZ7" sqref="AZ7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0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11998.897701083155</v>
      </c>
      <c r="AR2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12798.983727608316</v>
      </c>
      <c r="AS2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13156.203147223239</v>
      </c>
      <c r="AT2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0.39600000000000002</v>
      </c>
      <c r="GF2" s="1">
        <v>25.60570167159424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Sheet4!Q32*$GF2*1000000</f>
        <v>22760.623708083767</v>
      </c>
      <c r="GM2" s="1">
        <f>Sheet4!R32*$GF2*1000000</f>
        <v>12802.85083579712</v>
      </c>
      <c r="GN2" s="1">
        <f>Sheet4!S32*$GF2*1000000</f>
        <v>8193.8245349101562</v>
      </c>
      <c r="GO2" s="1">
        <f>Sheet4!T32*$GF2*1000000</f>
        <v>5690.1559270209418</v>
      </c>
      <c r="GP2" s="1">
        <f>Sheet4!U32*$GF2*1000000</f>
        <v>4180.5227218929367</v>
      </c>
      <c r="GQ2" s="1">
        <f>Sheet4!V32*$GF2*1000000</f>
        <v>3200.7127089492801</v>
      </c>
      <c r="GR2" s="1">
        <f>Sheet4!W32*$GF2*1000000</f>
        <v>2528.9581897870853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0.01</v>
      </c>
      <c r="HF2" s="1">
        <v>1.25E-3</v>
      </c>
      <c r="HG2" s="1">
        <v>2.7500000000000002E-4</v>
      </c>
      <c r="HH2" s="1">
        <v>1E-4</v>
      </c>
      <c r="HI2" s="1">
        <v>1.7499999999999998E-5</v>
      </c>
      <c r="HJ2" s="1">
        <v>4.5000000000000001E-6</v>
      </c>
      <c r="HK2" s="1">
        <v>4.5000000000000001E-6</v>
      </c>
      <c r="HL2" s="1">
        <v>9.9999999999999995E-8</v>
      </c>
      <c r="HM2" s="1">
        <v>6.2499999999999997E-8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Table1567891112131415[[#This Row],[Total_Cost_MUSD]]*1000000*Table1567891112131415[[#This Row],[prob500-failure_rating1]]/500</f>
        <v>512.11403343188488</v>
      </c>
      <c r="IG2" s="1">
        <f>Table1567891112131415[[#This Row],[Total_Cost_MUSD]]*1000000*Table1567891112131415[[#This Row],[prob500-failure_rating2]]/500</f>
        <v>256.05701671594244</v>
      </c>
      <c r="IH2" s="1">
        <f>Table1567891112131415[[#This Row],[Total_Cost_MUSD]]*1000000*Table1567891112131415[[#This Row],[prob500-failure_rating3]]/500</f>
        <v>56.332543677507331</v>
      </c>
      <c r="II2" s="1">
        <f>Table1567891112131415[[#This Row],[Total_Cost_MUSD]]*1000000*Table1567891112131415[[#This Row],[prob500-failure_rating4]]/500</f>
        <v>20.484561337275395</v>
      </c>
      <c r="IJ2" s="1">
        <f>Table1567891112131415[[#This Row],[Total_Cost_MUSD]]*1000000*Table1567891112131415[[#This Row],[prob500-failure_rating5]]/500</f>
        <v>3.5847982340231934</v>
      </c>
      <c r="IK2" s="1">
        <f>Table1567891112131415[[#This Row],[Total_Cost_MUSD]]*1000000*Table1567891112131415[[#This Row],[prob500-failure_rating6]]/500</f>
        <v>0.92180526017739273</v>
      </c>
      <c r="IL2" s="1">
        <f>Table1567891112131415[[#This Row],[Total_Cost_MUSD]]*1000000*Table1567891112131415[[#This Row],[prob500-failure_rating7]]/500</f>
        <v>0.92180526017739273</v>
      </c>
      <c r="IM2" s="1">
        <f>Table1567891112131415[[#This Row],[Total_Cost_MUSD]]*1000000*Table1567891112131415[[#This Row],[prob500-failure_rating8]]/500</f>
        <v>2.048456133727539E-2</v>
      </c>
      <c r="IN2" s="1">
        <f>Table1567891112131415[[#This Row],[Total_Cost_MUSD]]*1000000*Table1567891112131415[[#This Row],[prob500-failure_rating9]]/500</f>
        <v>1.280285083579712E-2</v>
      </c>
      <c r="IO2" s="1">
        <f>Table1567891112131415[[#This Row],[Total_Cost_MUSD]]*1000000*Table1567891112131415[[#This Row],[prob100-failure_rating1]]/100</f>
        <v>2560.5701671594243</v>
      </c>
      <c r="IP2" s="1">
        <f>Table1567891112131415[[#This Row],[Total_Cost_MUSD]]*1000000*Table1567891112131415[[#This Row],[prob100-failure_rating2]]/100</f>
        <v>320.07127089492803</v>
      </c>
      <c r="IQ2" s="1">
        <f>Table1567891112131415[[#This Row],[Total_Cost_MUSD]]*1000000*Table1567891112131415[[#This Row],[prob100-failure_rating3]]/100</f>
        <v>70.415679596884161</v>
      </c>
      <c r="IR2" s="1">
        <f>Table1567891112131415[[#This Row],[Total_Cost_MUSD]]*1000000*Table1567891112131415[[#This Row],[prob100-failure_rating4]]/100</f>
        <v>25.605701671594243</v>
      </c>
      <c r="IS2" s="1">
        <f>Table1567891112131415[[#This Row],[Total_Cost_MUSD]]*1000000*Table1567891112131415[[#This Row],[prob100-failure_rating5]]/100</f>
        <v>4.4809977925289921</v>
      </c>
      <c r="IT2" s="1">
        <f>Table1567891112131415[[#This Row],[Total_Cost_MUSD]]*1000000*Table1567891112131415[[#This Row],[prob100-failure_rating6]]/100</f>
        <v>1.1522565752217409</v>
      </c>
      <c r="IU2" s="1">
        <f>Table1567891112131415[[#This Row],[Total_Cost_MUSD]]*1000000*Table1567891112131415[[#This Row],[prob100-failure_rating7]]/100</f>
        <v>1.1522565752217409</v>
      </c>
      <c r="IV2" s="1">
        <f>Table1567891112131415[[#This Row],[Total_Cost_MUSD]]*1000000*Table1567891112131415[[#This Row],[prob100-failure_rating8]]/100</f>
        <v>2.560570167159424E-2</v>
      </c>
      <c r="IW2" s="1">
        <f>Table1567891112131415[[#This Row],[Total_Cost_MUSD]]*1000000*Table1567891112131415[[#This Row],[prob100-failure_rating9]]/100</f>
        <v>1.6003563544746399E-2</v>
      </c>
      <c r="IX2" s="1">
        <f>Table1567891112131415[[#This Row],[Total_Cost_MUSD]]*1000000*Table1567891112131415[[#This Row],[prob50-failure_rating1]]/50</f>
        <v>5121.1403343188485</v>
      </c>
      <c r="IY2" s="1">
        <f>Table1567891112131415[[#This Row],[Total_Cost_MUSD]]*1000000*Table1567891112131415[[#This Row],[prob50-failure_rating2]]/50</f>
        <v>426.76169452657069</v>
      </c>
      <c r="IZ2" s="1">
        <f>Table1567891112131415[[#This Row],[Total_Cost_MUSD]]*1000000*Table1567891112131415[[#This Row],[prob50-failure_rating3]]/50</f>
        <v>93.887572795845557</v>
      </c>
      <c r="JA2" s="1">
        <f>Table1567891112131415[[#This Row],[Total_Cost_MUSD]]*1000000*Table1567891112131415[[#This Row],[prob50-failure_rating4]]/50</f>
        <v>34.140935562125655</v>
      </c>
      <c r="JB2" s="1">
        <f>Table1567891112131415[[#This Row],[Total_Cost_MUSD]]*1000000*Table1567891112131415[[#This Row],[prob50-failure_rating5]]/50</f>
        <v>5.9746637233719886</v>
      </c>
      <c r="JC2" s="1">
        <f>Table1567891112131415[[#This Row],[Total_Cost_MUSD]]*1000000*Table1567891112131415[[#This Row],[prob50-failure_rating6]]/50</f>
        <v>1.5363421002956545</v>
      </c>
      <c r="JD2" s="1">
        <f>Table1567891112131415[[#This Row],[Total_Cost_MUSD]]*1000000*Table1567891112131415[[#This Row],[prob50-failure_rating7]]/50</f>
        <v>1.5363421002956545</v>
      </c>
      <c r="JE2" s="1">
        <f>Table1567891112131415[[#This Row],[Total_Cost_MUSD]]*1000000*Table1567891112131415[[#This Row],[prob50-failure_rating8]]/50</f>
        <v>3.4140935562125649E-2</v>
      </c>
      <c r="JF2" s="1">
        <f>Table1567891112131415[[#This Row],[Total_Cost_MUSD]]*1000000*Table1567891112131415[[#This Row],[prob50-failure_rating9]]/50</f>
        <v>2.1338084726328529E-2</v>
      </c>
      <c r="JG2" s="1">
        <f>Table1567891112131415[[#This Row],[Total_Cost_MUSD]]*1000000*Table1567891112131415[[#This Row],[prob10-failure_rating1]]/10</f>
        <v>25605.701671594241</v>
      </c>
      <c r="JH2" s="1">
        <f>Table1567891112131415[[#This Row],[Total_Cost_MUSD]]*1000000*Table1567891112131415[[#This Row],[prob10-failure_rating2]]/10</f>
        <v>1280.2850835797121</v>
      </c>
      <c r="JI2" s="1">
        <f>Table1567891112131415[[#This Row],[Total_Cost_MUSD]]*1000000*Table1567891112131415[[#This Row],[prob10-failure_rating3]]/10</f>
        <v>281.66271838753664</v>
      </c>
      <c r="JJ2" s="1">
        <f>Table1567891112131415[[#This Row],[Total_Cost_MUSD]]*1000000*Table1567891112131415[[#This Row],[prob10-failure_rating4]]/10</f>
        <v>102.42280668637697</v>
      </c>
      <c r="JK2" s="1">
        <f>Table1567891112131415[[#This Row],[Total_Cost_MUSD]]*1000000*Table1567891112131415[[#This Row],[prob10-failure_rating5]]/10</f>
        <v>17.923991170115965</v>
      </c>
      <c r="JL2" s="1">
        <f>Table1567891112131415[[#This Row],[Total_Cost_MUSD]]*1000000*Table1567891112131415[[#This Row],[prob10-failure_rating6]]/10</f>
        <v>4.6090263008869634</v>
      </c>
      <c r="JM2" s="1">
        <f>Table1567891112131415[[#This Row],[Total_Cost_MUSD]]*1000000*Table1567891112131415[[#This Row],[prob10-failure_rating7]]/10</f>
        <v>4.6090263008869634</v>
      </c>
      <c r="JN2" s="1">
        <f>Table1567891112131415[[#This Row],[Total_Cost_MUSD]]*1000000*Table1567891112131415[[#This Row],[prob10-failure_rating8]]/10</f>
        <v>0.10242280668637696</v>
      </c>
      <c r="JO2" s="1">
        <f>Table1567891112131415[[#This Row],[Total_Cost_MUSD]]*1000000*Table1567891112131415[[#This Row],[prob10-failure_rating9]]/10</f>
        <v>6.4014254178985597E-2</v>
      </c>
      <c r="JP2" s="1">
        <f>Table1567891112131415[[#This Row],[FailureCost_Rating1]]</f>
        <v>2283.1750657171533</v>
      </c>
      <c r="JQ2" s="1">
        <f>Table1567891112131415[[#This Row],[FailureCost_Rating2]]</f>
        <v>2283.1750657171533</v>
      </c>
      <c r="JR2" s="1">
        <f>(Table1567891112131415[[#This Row],[failurecost500_rating2]]+Table1567891112131415[[#This Row],[failurecost100_rating2]]+Table1567891112131415[[#This Row],[failurecost50_rating2]]+Table1567891112131415[[#This Row],[failurecost10_rating2]])</f>
        <v>2283.1750657171533</v>
      </c>
      <c r="JS2" s="1">
        <f>(Table1567891112131415[[#This Row],[failurecost500_rating3]]+Table1567891112131415[[#This Row],[failurecost100_rating3]]+Table1567891112131415[[#This Row],[failurecost50_rating3]]+Table1567891112131415[[#This Row],[failurecost10_rating3]])</f>
        <v>502.29851445777371</v>
      </c>
      <c r="JT2" s="1">
        <f>(Table1567891112131415[[#This Row],[failurecost500_rating4]]+Table1567891112131415[[#This Row],[failurecost100_rating4]]+Table1567891112131415[[#This Row],[failurecost50_rating4]]+Table1567891112131415[[#This Row],[failurecost10_rating4]])</f>
        <v>182.65400525737226</v>
      </c>
      <c r="JU2" s="1">
        <f>(Table1567891112131415[[#This Row],[failurecost500_rating5]]+Table1567891112131415[[#This Row],[failurecost100_rating5]]+Table1567891112131415[[#This Row],[failurecost50_rating5]]+Table1567891112131415[[#This Row],[failurecost10_rating5]])</f>
        <v>31.964450920040139</v>
      </c>
      <c r="JV2" s="1">
        <f>(Table1567891112131415[[#This Row],[failurecost500_rating6]]+Table1567891112131415[[#This Row],[failurecost100_rating6]]+Table1567891112131415[[#This Row],[failurecost50_rating6]]+Table1567891112131415[[#This Row],[failurecost10_rating6]])</f>
        <v>8.2194302365817506</v>
      </c>
      <c r="JW2" s="1">
        <f>(Table1567891112131415[[#This Row],[failurecost500_rating7]]+Table1567891112131415[[#This Row],[failurecost100_rating7]]+Table1567891112131415[[#This Row],[failurecost50_rating7]]+Table1567891112131415[[#This Row],[failurecost10_rating7]])</f>
        <v>8.2194302365817506</v>
      </c>
      <c r="JX2" s="1">
        <f>(Table1567891112131415[[#This Row],[failurecost500_rating8]]+Table1567891112131415[[#This Row],[failurecost100_rating8]]+Table1567891112131415[[#This Row],[failurecost50_rating8]]+Table1567891112131415[[#This Row],[failurecost10_rating8]])</f>
        <v>0.18265400525737224</v>
      </c>
      <c r="JY2" s="1">
        <f>(Table1567891112131415[[#This Row],[failurecost500_rating9]]+Table1567891112131415[[#This Row],[failurecost100_rating9]]+Table1567891112131415[[#This Row],[failurecost50_rating9]]+Table1567891112131415[[#This Row],[failurecost10_rating9]])</f>
        <v>0.11415875328585764</v>
      </c>
    </row>
    <row r="3" spans="1:285" ht="28.8" x14ac:dyDescent="0.3">
      <c r="A3" s="1">
        <v>1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0</v>
      </c>
      <c r="AR3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9520.728233804819</v>
      </c>
      <c r="AS3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9985.7559384332872</v>
      </c>
      <c r="AT3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3" s="1">
        <v>39.793754374930401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Sheet4!Q33*$GF3*1000000</f>
        <v>35372.226111049247</v>
      </c>
      <c r="GM3" s="1">
        <f>Sheet4!R33*$GF3*1000000</f>
        <v>19896.877187465201</v>
      </c>
      <c r="GN3" s="1">
        <f>Sheet4!S33*$GF3*1000000</f>
        <v>12734.001399977729</v>
      </c>
      <c r="GO3" s="1">
        <f>Sheet4!T33*$GF3*1000000</f>
        <v>8843.0565277623118</v>
      </c>
      <c r="GP3" s="1">
        <f>Sheet4!U33*$GF3*1000000</f>
        <v>6496.9394897845541</v>
      </c>
      <c r="GQ3" s="1">
        <f>Sheet4!V33*$GF3*1000000</f>
        <v>4974.2192968663003</v>
      </c>
      <c r="GR3" s="1">
        <f>Sheet4!W33*$GF3*1000000</f>
        <v>3930.2473456721382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0.01</v>
      </c>
      <c r="HF3" s="1">
        <v>1.25E-3</v>
      </c>
      <c r="HG3" s="1">
        <v>2.7500000000000002E-4</v>
      </c>
      <c r="HH3" s="1">
        <v>1E-4</v>
      </c>
      <c r="HI3" s="1">
        <v>1.7499999999999998E-5</v>
      </c>
      <c r="HJ3" s="1">
        <v>4.5000000000000001E-6</v>
      </c>
      <c r="HK3" s="1">
        <v>4.5000000000000001E-6</v>
      </c>
      <c r="HL3" s="1">
        <v>9.9999999999999995E-8</v>
      </c>
      <c r="HM3" s="1">
        <v>6.2499999999999997E-8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Table1567891112131415[[#This Row],[Total_Cost_MUSD]]*1000000*Table1567891112131415[[#This Row],[prob500-failure_rating1]]/500</f>
        <v>795.87508749860808</v>
      </c>
      <c r="IG3" s="1">
        <f>Table1567891112131415[[#This Row],[Total_Cost_MUSD]]*1000000*Table1567891112131415[[#This Row],[prob500-failure_rating2]]/500</f>
        <v>397.93754374930404</v>
      </c>
      <c r="IH3" s="1">
        <f>Table1567891112131415[[#This Row],[Total_Cost_MUSD]]*1000000*Table1567891112131415[[#This Row],[prob500-failure_rating3]]/500</f>
        <v>87.546259624846897</v>
      </c>
      <c r="II3" s="1">
        <f>Table1567891112131415[[#This Row],[Total_Cost_MUSD]]*1000000*Table1567891112131415[[#This Row],[prob500-failure_rating4]]/500</f>
        <v>31.835003499944325</v>
      </c>
      <c r="IJ3" s="1">
        <f>Table1567891112131415[[#This Row],[Total_Cost_MUSD]]*1000000*Table1567891112131415[[#This Row],[prob500-failure_rating5]]/500</f>
        <v>5.5711256124902553</v>
      </c>
      <c r="IK3" s="1">
        <f>Table1567891112131415[[#This Row],[Total_Cost_MUSD]]*1000000*Table1567891112131415[[#This Row],[prob500-failure_rating6]]/500</f>
        <v>1.4325751574974945</v>
      </c>
      <c r="IL3" s="1">
        <f>Table1567891112131415[[#This Row],[Total_Cost_MUSD]]*1000000*Table1567891112131415[[#This Row],[prob500-failure_rating7]]/500</f>
        <v>1.4325751574974945</v>
      </c>
      <c r="IM3" s="1">
        <f>Table1567891112131415[[#This Row],[Total_Cost_MUSD]]*1000000*Table1567891112131415[[#This Row],[prob500-failure_rating8]]/500</f>
        <v>3.1835003499944323E-2</v>
      </c>
      <c r="IN3" s="1">
        <f>Table1567891112131415[[#This Row],[Total_Cost_MUSD]]*1000000*Table1567891112131415[[#This Row],[prob500-failure_rating9]]/500</f>
        <v>1.98968771874652E-2</v>
      </c>
      <c r="IO3" s="1">
        <f>Table1567891112131415[[#This Row],[Total_Cost_MUSD]]*1000000*Table1567891112131415[[#This Row],[prob100-failure_rating1]]/100</f>
        <v>3979.3754374930404</v>
      </c>
      <c r="IP3" s="1">
        <f>Table1567891112131415[[#This Row],[Total_Cost_MUSD]]*1000000*Table1567891112131415[[#This Row],[prob100-failure_rating2]]/100</f>
        <v>497.42192968663005</v>
      </c>
      <c r="IQ3" s="1">
        <f>Table1567891112131415[[#This Row],[Total_Cost_MUSD]]*1000000*Table1567891112131415[[#This Row],[prob100-failure_rating3]]/100</f>
        <v>109.43282453105861</v>
      </c>
      <c r="IR3" s="1">
        <f>Table1567891112131415[[#This Row],[Total_Cost_MUSD]]*1000000*Table1567891112131415[[#This Row],[prob100-failure_rating4]]/100</f>
        <v>39.793754374930401</v>
      </c>
      <c r="IS3" s="1">
        <f>Table1567891112131415[[#This Row],[Total_Cost_MUSD]]*1000000*Table1567891112131415[[#This Row],[prob100-failure_rating5]]/100</f>
        <v>6.9639070156128193</v>
      </c>
      <c r="IT3" s="1">
        <f>Table1567891112131415[[#This Row],[Total_Cost_MUSD]]*1000000*Table1567891112131415[[#This Row],[prob100-failure_rating6]]/100</f>
        <v>1.7907189468718681</v>
      </c>
      <c r="IU3" s="1">
        <f>Table1567891112131415[[#This Row],[Total_Cost_MUSD]]*1000000*Table1567891112131415[[#This Row],[prob100-failure_rating7]]/100</f>
        <v>1.7907189468718681</v>
      </c>
      <c r="IV3" s="1">
        <f>Table1567891112131415[[#This Row],[Total_Cost_MUSD]]*1000000*Table1567891112131415[[#This Row],[prob100-failure_rating8]]/100</f>
        <v>3.97937543749304E-2</v>
      </c>
      <c r="IW3" s="1">
        <f>Table1567891112131415[[#This Row],[Total_Cost_MUSD]]*1000000*Table1567891112131415[[#This Row],[prob100-failure_rating9]]/100</f>
        <v>2.4871096484331501E-2</v>
      </c>
      <c r="IX3" s="1">
        <f>Table1567891112131415[[#This Row],[Total_Cost_MUSD]]*1000000*Table1567891112131415[[#This Row],[prob50-failure_rating1]]/50</f>
        <v>7958.7508749860808</v>
      </c>
      <c r="IY3" s="1">
        <f>Table1567891112131415[[#This Row],[Total_Cost_MUSD]]*1000000*Table1567891112131415[[#This Row],[prob50-failure_rating2]]/50</f>
        <v>663.22923958217348</v>
      </c>
      <c r="IZ3" s="1">
        <f>Table1567891112131415[[#This Row],[Total_Cost_MUSD]]*1000000*Table1567891112131415[[#This Row],[prob50-failure_rating3]]/50</f>
        <v>145.91043270807816</v>
      </c>
      <c r="JA3" s="1">
        <f>Table1567891112131415[[#This Row],[Total_Cost_MUSD]]*1000000*Table1567891112131415[[#This Row],[prob50-failure_rating4]]/50</f>
        <v>53.05833916657388</v>
      </c>
      <c r="JB3" s="1">
        <f>Table1567891112131415[[#This Row],[Total_Cost_MUSD]]*1000000*Table1567891112131415[[#This Row],[prob50-failure_rating5]]/50</f>
        <v>9.2852093541504264</v>
      </c>
      <c r="JC3" s="1">
        <f>Table1567891112131415[[#This Row],[Total_Cost_MUSD]]*1000000*Table1567891112131415[[#This Row],[prob50-failure_rating6]]/50</f>
        <v>2.3876252624958245</v>
      </c>
      <c r="JD3" s="1">
        <f>Table1567891112131415[[#This Row],[Total_Cost_MUSD]]*1000000*Table1567891112131415[[#This Row],[prob50-failure_rating7]]/50</f>
        <v>2.3876252624958245</v>
      </c>
      <c r="JE3" s="1">
        <f>Table1567891112131415[[#This Row],[Total_Cost_MUSD]]*1000000*Table1567891112131415[[#This Row],[prob50-failure_rating8]]/50</f>
        <v>5.3058339166573869E-2</v>
      </c>
      <c r="JF3" s="1">
        <f>Table1567891112131415[[#This Row],[Total_Cost_MUSD]]*1000000*Table1567891112131415[[#This Row],[prob50-failure_rating9]]/50</f>
        <v>3.3161461979108665E-2</v>
      </c>
      <c r="JG3" s="1">
        <f>Table1567891112131415[[#This Row],[Total_Cost_MUSD]]*1000000*Table1567891112131415[[#This Row],[prob10-failure_rating1]]/10</f>
        <v>39793.754374930402</v>
      </c>
      <c r="JH3" s="1">
        <f>Table1567891112131415[[#This Row],[Total_Cost_MUSD]]*1000000*Table1567891112131415[[#This Row],[prob10-failure_rating2]]/10</f>
        <v>1989.6877187465202</v>
      </c>
      <c r="JI3" s="1">
        <f>Table1567891112131415[[#This Row],[Total_Cost_MUSD]]*1000000*Table1567891112131415[[#This Row],[prob10-failure_rating3]]/10</f>
        <v>437.73129812423451</v>
      </c>
      <c r="JJ3" s="1">
        <f>Table1567891112131415[[#This Row],[Total_Cost_MUSD]]*1000000*Table1567891112131415[[#This Row],[prob10-failure_rating4]]/10</f>
        <v>159.17501749972163</v>
      </c>
      <c r="JK3" s="1">
        <f>Table1567891112131415[[#This Row],[Total_Cost_MUSD]]*1000000*Table1567891112131415[[#This Row],[prob10-failure_rating5]]/10</f>
        <v>27.855628062451281</v>
      </c>
      <c r="JL3" s="1">
        <f>Table1567891112131415[[#This Row],[Total_Cost_MUSD]]*1000000*Table1567891112131415[[#This Row],[prob10-failure_rating6]]/10</f>
        <v>7.162875787487474</v>
      </c>
      <c r="JM3" s="1">
        <f>Table1567891112131415[[#This Row],[Total_Cost_MUSD]]*1000000*Table1567891112131415[[#This Row],[prob10-failure_rating7]]/10</f>
        <v>7.162875787487474</v>
      </c>
      <c r="JN3" s="1">
        <f>Table1567891112131415[[#This Row],[Total_Cost_MUSD]]*1000000*Table1567891112131415[[#This Row],[prob10-failure_rating8]]/10</f>
        <v>0.15917501749972163</v>
      </c>
      <c r="JO3" s="1">
        <f>Table1567891112131415[[#This Row],[Total_Cost_MUSD]]*1000000*Table1567891112131415[[#This Row],[prob10-failure_rating9]]/10</f>
        <v>9.9484385937326003E-2</v>
      </c>
      <c r="JP3" s="1">
        <f>Table1567891112131415[[#This Row],[FailureCost_Rating1]]</f>
        <v>3548.2764317646279</v>
      </c>
      <c r="JQ3" s="1">
        <f>Table1567891112131415[[#This Row],[FailureCost_Rating2]]</f>
        <v>3548.2764317646279</v>
      </c>
      <c r="JR3" s="1">
        <f>(Table1567891112131415[[#This Row],[failurecost500_rating2]]+Table1567891112131415[[#This Row],[failurecost100_rating2]]+Table1567891112131415[[#This Row],[failurecost50_rating2]]+Table1567891112131415[[#This Row],[failurecost10_rating2]])</f>
        <v>3548.2764317646279</v>
      </c>
      <c r="JS3" s="1">
        <f>(Table1567891112131415[[#This Row],[failurecost500_rating3]]+Table1567891112131415[[#This Row],[failurecost100_rating3]]+Table1567891112131415[[#This Row],[failurecost50_rating3]]+Table1567891112131415[[#This Row],[failurecost10_rating3]])</f>
        <v>780.62081498821817</v>
      </c>
      <c r="JT3" s="1">
        <f>(Table1567891112131415[[#This Row],[failurecost500_rating4]]+Table1567891112131415[[#This Row],[failurecost100_rating4]]+Table1567891112131415[[#This Row],[failurecost50_rating4]]+Table1567891112131415[[#This Row],[failurecost10_rating4]])</f>
        <v>283.86211454117023</v>
      </c>
      <c r="JU3" s="1">
        <f>(Table1567891112131415[[#This Row],[failurecost500_rating5]]+Table1567891112131415[[#This Row],[failurecost100_rating5]]+Table1567891112131415[[#This Row],[failurecost50_rating5]]+Table1567891112131415[[#This Row],[failurecost10_rating5]])</f>
        <v>49.67587004470478</v>
      </c>
      <c r="JV3" s="1">
        <f>(Table1567891112131415[[#This Row],[failurecost500_rating6]]+Table1567891112131415[[#This Row],[failurecost100_rating6]]+Table1567891112131415[[#This Row],[failurecost50_rating6]]+Table1567891112131415[[#This Row],[failurecost10_rating6]])</f>
        <v>12.773795154352662</v>
      </c>
      <c r="JW3" s="1">
        <f>(Table1567891112131415[[#This Row],[failurecost500_rating7]]+Table1567891112131415[[#This Row],[failurecost100_rating7]]+Table1567891112131415[[#This Row],[failurecost50_rating7]]+Table1567891112131415[[#This Row],[failurecost10_rating7]])</f>
        <v>12.773795154352662</v>
      </c>
      <c r="JX3" s="1">
        <f>(Table1567891112131415[[#This Row],[failurecost500_rating8]]+Table1567891112131415[[#This Row],[failurecost100_rating8]]+Table1567891112131415[[#This Row],[failurecost50_rating8]]+Table1567891112131415[[#This Row],[failurecost10_rating8]])</f>
        <v>0.28386211454117022</v>
      </c>
      <c r="JY3" s="1">
        <f>(Table1567891112131415[[#This Row],[failurecost500_rating9]]+Table1567891112131415[[#This Row],[failurecost100_rating9]]+Table1567891112131415[[#This Row],[failurecost50_rating9]]+Table1567891112131415[[#This Row],[failurecost10_rating9]])</f>
        <v>0.17741382158823138</v>
      </c>
    </row>
    <row r="4" spans="1:285" ht="28.8" x14ac:dyDescent="0.3">
      <c r="A4" s="1">
        <v>2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0</v>
      </c>
      <c r="AR4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5183.5345730170238</v>
      </c>
      <c r="AS4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5452.2219529566692</v>
      </c>
      <c r="AT4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9.6000000000000002E-2</v>
      </c>
      <c r="GF4" s="1">
        <v>40.285629761537294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Sheet4!Q34*$GF4*1000000</f>
        <v>35809.448676922038</v>
      </c>
      <c r="GM4" s="1">
        <f>Sheet4!R34*$GF4*1000000</f>
        <v>20142.814880768648</v>
      </c>
      <c r="GN4" s="1">
        <f>Sheet4!S34*$GF4*1000000</f>
        <v>12891.401523691937</v>
      </c>
      <c r="GO4" s="1">
        <f>Sheet4!T34*$GF4*1000000</f>
        <v>8952.3621692305096</v>
      </c>
      <c r="GP4" s="1">
        <f>Sheet4!U34*$GF4*1000000</f>
        <v>6577.2456753530287</v>
      </c>
      <c r="GQ4" s="1">
        <f>Sheet4!V34*$GF4*1000000</f>
        <v>5035.7037201921621</v>
      </c>
      <c r="GR4" s="1">
        <f>Sheet4!W34*$GF4*1000000</f>
        <v>3978.8276307691158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0.01</v>
      </c>
      <c r="HF4" s="1">
        <v>1.25E-3</v>
      </c>
      <c r="HG4" s="1">
        <v>2.7500000000000002E-4</v>
      </c>
      <c r="HH4" s="1">
        <v>1E-4</v>
      </c>
      <c r="HI4" s="1">
        <v>1.7499999999999998E-5</v>
      </c>
      <c r="HJ4" s="1">
        <v>4.5000000000000001E-6</v>
      </c>
      <c r="HK4" s="1">
        <v>4.5000000000000001E-6</v>
      </c>
      <c r="HL4" s="1">
        <v>9.9999999999999995E-8</v>
      </c>
      <c r="HM4" s="1">
        <v>6.2499999999999997E-8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Table1567891112131415[[#This Row],[Total_Cost_MUSD]]*1000000*Table1567891112131415[[#This Row],[prob500-failure_rating1]]/500</f>
        <v>805.71259523074582</v>
      </c>
      <c r="IG4" s="1">
        <f>Table1567891112131415[[#This Row],[Total_Cost_MUSD]]*1000000*Table1567891112131415[[#This Row],[prob500-failure_rating2]]/500</f>
        <v>402.85629761537291</v>
      </c>
      <c r="IH4" s="1">
        <f>Table1567891112131415[[#This Row],[Total_Cost_MUSD]]*1000000*Table1567891112131415[[#This Row],[prob500-failure_rating3]]/500</f>
        <v>88.628385475382046</v>
      </c>
      <c r="II4" s="1">
        <f>Table1567891112131415[[#This Row],[Total_Cost_MUSD]]*1000000*Table1567891112131415[[#This Row],[prob500-failure_rating4]]/500</f>
        <v>32.228503809229835</v>
      </c>
      <c r="IJ4" s="1">
        <f>Table1567891112131415[[#This Row],[Total_Cost_MUSD]]*1000000*Table1567891112131415[[#This Row],[prob500-failure_rating5]]/500</f>
        <v>5.6399881666152201</v>
      </c>
      <c r="IK4" s="1">
        <f>Table1567891112131415[[#This Row],[Total_Cost_MUSD]]*1000000*Table1567891112131415[[#This Row],[prob500-failure_rating6]]/500</f>
        <v>1.4502826714153425</v>
      </c>
      <c r="IL4" s="1">
        <f>Table1567891112131415[[#This Row],[Total_Cost_MUSD]]*1000000*Table1567891112131415[[#This Row],[prob500-failure_rating7]]/500</f>
        <v>1.4502826714153425</v>
      </c>
      <c r="IM4" s="1">
        <f>Table1567891112131415[[#This Row],[Total_Cost_MUSD]]*1000000*Table1567891112131415[[#This Row],[prob500-failure_rating8]]/500</f>
        <v>3.2228503809229828E-2</v>
      </c>
      <c r="IN4" s="1">
        <f>Table1567891112131415[[#This Row],[Total_Cost_MUSD]]*1000000*Table1567891112131415[[#This Row],[prob500-failure_rating9]]/500</f>
        <v>2.0142814880768644E-2</v>
      </c>
      <c r="IO4" s="1">
        <f>Table1567891112131415[[#This Row],[Total_Cost_MUSD]]*1000000*Table1567891112131415[[#This Row],[prob100-failure_rating1]]/100</f>
        <v>4028.5629761537293</v>
      </c>
      <c r="IP4" s="1">
        <f>Table1567891112131415[[#This Row],[Total_Cost_MUSD]]*1000000*Table1567891112131415[[#This Row],[prob100-failure_rating2]]/100</f>
        <v>503.57037201921617</v>
      </c>
      <c r="IQ4" s="1">
        <f>Table1567891112131415[[#This Row],[Total_Cost_MUSD]]*1000000*Table1567891112131415[[#This Row],[prob100-failure_rating3]]/100</f>
        <v>110.78548184422756</v>
      </c>
      <c r="IR4" s="1">
        <f>Table1567891112131415[[#This Row],[Total_Cost_MUSD]]*1000000*Table1567891112131415[[#This Row],[prob100-failure_rating4]]/100</f>
        <v>40.285629761537294</v>
      </c>
      <c r="IS4" s="1">
        <f>Table1567891112131415[[#This Row],[Total_Cost_MUSD]]*1000000*Table1567891112131415[[#This Row],[prob100-failure_rating5]]/100</f>
        <v>7.0499852082690255</v>
      </c>
      <c r="IT4" s="1">
        <f>Table1567891112131415[[#This Row],[Total_Cost_MUSD]]*1000000*Table1567891112131415[[#This Row],[prob100-failure_rating6]]/100</f>
        <v>1.8128533392691781</v>
      </c>
      <c r="IU4" s="1">
        <f>Table1567891112131415[[#This Row],[Total_Cost_MUSD]]*1000000*Table1567891112131415[[#This Row],[prob100-failure_rating7]]/100</f>
        <v>1.8128533392691781</v>
      </c>
      <c r="IV4" s="1">
        <f>Table1567891112131415[[#This Row],[Total_Cost_MUSD]]*1000000*Table1567891112131415[[#This Row],[prob100-failure_rating8]]/100</f>
        <v>4.0285629761537288E-2</v>
      </c>
      <c r="IW4" s="1">
        <f>Table1567891112131415[[#This Row],[Total_Cost_MUSD]]*1000000*Table1567891112131415[[#This Row],[prob100-failure_rating9]]/100</f>
        <v>2.5178518600960806E-2</v>
      </c>
      <c r="IX4" s="1">
        <f>Table1567891112131415[[#This Row],[Total_Cost_MUSD]]*1000000*Table1567891112131415[[#This Row],[prob50-failure_rating1]]/50</f>
        <v>8057.1259523074586</v>
      </c>
      <c r="IY4" s="1">
        <f>Table1567891112131415[[#This Row],[Total_Cost_MUSD]]*1000000*Table1567891112131415[[#This Row],[prob50-failure_rating2]]/50</f>
        <v>671.42716269228822</v>
      </c>
      <c r="IZ4" s="1">
        <f>Table1567891112131415[[#This Row],[Total_Cost_MUSD]]*1000000*Table1567891112131415[[#This Row],[prob50-failure_rating3]]/50</f>
        <v>147.71397579230342</v>
      </c>
      <c r="JA4" s="1">
        <f>Table1567891112131415[[#This Row],[Total_Cost_MUSD]]*1000000*Table1567891112131415[[#This Row],[prob50-failure_rating4]]/50</f>
        <v>53.714173015383061</v>
      </c>
      <c r="JB4" s="1">
        <f>Table1567891112131415[[#This Row],[Total_Cost_MUSD]]*1000000*Table1567891112131415[[#This Row],[prob50-failure_rating5]]/50</f>
        <v>9.399980277692034</v>
      </c>
      <c r="JC4" s="1">
        <f>Table1567891112131415[[#This Row],[Total_Cost_MUSD]]*1000000*Table1567891112131415[[#This Row],[prob50-failure_rating6]]/50</f>
        <v>2.4171377856922378</v>
      </c>
      <c r="JD4" s="1">
        <f>Table1567891112131415[[#This Row],[Total_Cost_MUSD]]*1000000*Table1567891112131415[[#This Row],[prob50-failure_rating7]]/50</f>
        <v>2.4171377856922378</v>
      </c>
      <c r="JE4" s="1">
        <f>Table1567891112131415[[#This Row],[Total_Cost_MUSD]]*1000000*Table1567891112131415[[#This Row],[prob50-failure_rating8]]/50</f>
        <v>5.3714173015383053E-2</v>
      </c>
      <c r="JF4" s="1">
        <f>Table1567891112131415[[#This Row],[Total_Cost_MUSD]]*1000000*Table1567891112131415[[#This Row],[prob50-failure_rating9]]/50</f>
        <v>3.3571358134614405E-2</v>
      </c>
      <c r="JG4" s="1">
        <f>Table1567891112131415[[#This Row],[Total_Cost_MUSD]]*1000000*Table1567891112131415[[#This Row],[prob10-failure_rating1]]/10</f>
        <v>40285.62976153729</v>
      </c>
      <c r="JH4" s="1">
        <f>Table1567891112131415[[#This Row],[Total_Cost_MUSD]]*1000000*Table1567891112131415[[#This Row],[prob10-failure_rating2]]/10</f>
        <v>2014.2814880768644</v>
      </c>
      <c r="JI4" s="1">
        <f>Table1567891112131415[[#This Row],[Total_Cost_MUSD]]*1000000*Table1567891112131415[[#This Row],[prob10-failure_rating3]]/10</f>
        <v>443.14192737691019</v>
      </c>
      <c r="JJ4" s="1">
        <f>Table1567891112131415[[#This Row],[Total_Cost_MUSD]]*1000000*Table1567891112131415[[#This Row],[prob10-failure_rating4]]/10</f>
        <v>161.14251904614918</v>
      </c>
      <c r="JK4" s="1">
        <f>Table1567891112131415[[#This Row],[Total_Cost_MUSD]]*1000000*Table1567891112131415[[#This Row],[prob10-failure_rating5]]/10</f>
        <v>28.199940833076102</v>
      </c>
      <c r="JL4" s="1">
        <f>Table1567891112131415[[#This Row],[Total_Cost_MUSD]]*1000000*Table1567891112131415[[#This Row],[prob10-failure_rating6]]/10</f>
        <v>7.2514133570767125</v>
      </c>
      <c r="JM4" s="1">
        <f>Table1567891112131415[[#This Row],[Total_Cost_MUSD]]*1000000*Table1567891112131415[[#This Row],[prob10-failure_rating7]]/10</f>
        <v>7.2514133570767125</v>
      </c>
      <c r="JN4" s="1">
        <f>Table1567891112131415[[#This Row],[Total_Cost_MUSD]]*1000000*Table1567891112131415[[#This Row],[prob10-failure_rating8]]/10</f>
        <v>0.16114251904614915</v>
      </c>
      <c r="JO4" s="1">
        <f>Table1567891112131415[[#This Row],[Total_Cost_MUSD]]*1000000*Table1567891112131415[[#This Row],[prob10-failure_rating9]]/10</f>
        <v>0.10071407440384321</v>
      </c>
      <c r="JP4" s="1">
        <f>Table1567891112131415[[#This Row],[FailureCost_Rating1]]</f>
        <v>3592.1353204037414</v>
      </c>
      <c r="JQ4" s="1">
        <f>Table1567891112131415[[#This Row],[FailureCost_Rating2]]</f>
        <v>3592.1353204037414</v>
      </c>
      <c r="JR4" s="1">
        <f>(Table1567891112131415[[#This Row],[failurecost500_rating2]]+Table1567891112131415[[#This Row],[failurecost100_rating2]]+Table1567891112131415[[#This Row],[failurecost50_rating2]]+Table1567891112131415[[#This Row],[failurecost10_rating2]])</f>
        <v>3592.1353204037414</v>
      </c>
      <c r="JS4" s="1">
        <f>(Table1567891112131415[[#This Row],[failurecost500_rating3]]+Table1567891112131415[[#This Row],[failurecost100_rating3]]+Table1567891112131415[[#This Row],[failurecost50_rating3]]+Table1567891112131415[[#This Row],[failurecost10_rating3]])</f>
        <v>790.26977048882327</v>
      </c>
      <c r="JT4" s="1">
        <f>(Table1567891112131415[[#This Row],[failurecost500_rating4]]+Table1567891112131415[[#This Row],[failurecost100_rating4]]+Table1567891112131415[[#This Row],[failurecost50_rating4]]+Table1567891112131415[[#This Row],[failurecost10_rating4]])</f>
        <v>287.37082563229933</v>
      </c>
      <c r="JU4" s="1">
        <f>(Table1567891112131415[[#This Row],[failurecost500_rating5]]+Table1567891112131415[[#This Row],[failurecost100_rating5]]+Table1567891112131415[[#This Row],[failurecost50_rating5]]+Table1567891112131415[[#This Row],[failurecost10_rating5]])</f>
        <v>50.289894485652383</v>
      </c>
      <c r="JV4" s="1">
        <f>(Table1567891112131415[[#This Row],[failurecost500_rating6]]+Table1567891112131415[[#This Row],[failurecost100_rating6]]+Table1567891112131415[[#This Row],[failurecost50_rating6]]+Table1567891112131415[[#This Row],[failurecost10_rating6]])</f>
        <v>12.931687153453471</v>
      </c>
      <c r="JW4" s="1">
        <f>(Table1567891112131415[[#This Row],[failurecost500_rating7]]+Table1567891112131415[[#This Row],[failurecost100_rating7]]+Table1567891112131415[[#This Row],[failurecost50_rating7]]+Table1567891112131415[[#This Row],[failurecost10_rating7]])</f>
        <v>12.931687153453471</v>
      </c>
      <c r="JX4" s="1">
        <f>(Table1567891112131415[[#This Row],[failurecost500_rating8]]+Table1567891112131415[[#This Row],[failurecost100_rating8]]+Table1567891112131415[[#This Row],[failurecost50_rating8]]+Table1567891112131415[[#This Row],[failurecost10_rating8]])</f>
        <v>0.28737082563229932</v>
      </c>
      <c r="JY4" s="1">
        <f>(Table1567891112131415[[#This Row],[failurecost500_rating9]]+Table1567891112131415[[#This Row],[failurecost100_rating9]]+Table1567891112131415[[#This Row],[failurecost50_rating9]]+Table1567891112131415[[#This Row],[failurecost10_rating9]])</f>
        <v>0.17960676602018705</v>
      </c>
    </row>
    <row r="5" spans="1:285" ht="28.8" x14ac:dyDescent="0.3">
      <c r="A5" s="1">
        <v>3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0</v>
      </c>
      <c r="AR5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8698.4034732067958</v>
      </c>
      <c r="AS5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10436.848001870483</v>
      </c>
      <c r="AT5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9.6000000000000002E-2</v>
      </c>
      <c r="GF5" s="1">
        <v>37.919702487311952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Sheet4!Q35*$GF5*1000000</f>
        <v>33706.402210943954</v>
      </c>
      <c r="GM5" s="1">
        <f>Sheet4!R35*$GF5*1000000</f>
        <v>18959.851243655979</v>
      </c>
      <c r="GN5" s="1">
        <f>Sheet4!S35*$GF5*1000000</f>
        <v>12134.304795939828</v>
      </c>
      <c r="GO5" s="1">
        <f>Sheet4!T35*$GF5*1000000</f>
        <v>8426.6005527359885</v>
      </c>
      <c r="GP5" s="1">
        <f>Sheet4!U35*$GF5*1000000</f>
        <v>6190.9718346631762</v>
      </c>
      <c r="GQ5" s="1">
        <f>Sheet4!V35*$GF5*1000000</f>
        <v>4739.9628109139949</v>
      </c>
      <c r="GR5" s="1">
        <f>Sheet4!W35*$GF5*1000000</f>
        <v>3745.1558012159949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0.01</v>
      </c>
      <c r="HF5" s="1">
        <v>1.25E-3</v>
      </c>
      <c r="HG5" s="1">
        <v>2.7500000000000002E-4</v>
      </c>
      <c r="HH5" s="1">
        <v>1E-4</v>
      </c>
      <c r="HI5" s="1">
        <v>1.7499999999999998E-5</v>
      </c>
      <c r="HJ5" s="1">
        <v>4.5000000000000001E-6</v>
      </c>
      <c r="HK5" s="1">
        <v>4.5000000000000001E-6</v>
      </c>
      <c r="HL5" s="1">
        <v>9.9999999999999995E-8</v>
      </c>
      <c r="HM5" s="1">
        <v>6.2499999999999997E-8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Table1567891112131415[[#This Row],[Total_Cost_MUSD]]*1000000*Table1567891112131415[[#This Row],[prob500-failure_rating1]]/500</f>
        <v>758.39404974623915</v>
      </c>
      <c r="IG5" s="1">
        <f>Table1567891112131415[[#This Row],[Total_Cost_MUSD]]*1000000*Table1567891112131415[[#This Row],[prob500-failure_rating2]]/500</f>
        <v>379.19702487311957</v>
      </c>
      <c r="IH5" s="1">
        <f>Table1567891112131415[[#This Row],[Total_Cost_MUSD]]*1000000*Table1567891112131415[[#This Row],[prob500-failure_rating3]]/500</f>
        <v>83.423345472086297</v>
      </c>
      <c r="II5" s="1">
        <f>Table1567891112131415[[#This Row],[Total_Cost_MUSD]]*1000000*Table1567891112131415[[#This Row],[prob500-failure_rating4]]/500</f>
        <v>30.335761989849562</v>
      </c>
      <c r="IJ5" s="1">
        <f>Table1567891112131415[[#This Row],[Total_Cost_MUSD]]*1000000*Table1567891112131415[[#This Row],[prob500-failure_rating5]]/500</f>
        <v>5.3087583482236731</v>
      </c>
      <c r="IK5" s="1">
        <f>Table1567891112131415[[#This Row],[Total_Cost_MUSD]]*1000000*Table1567891112131415[[#This Row],[prob500-failure_rating6]]/500</f>
        <v>1.3651092895432302</v>
      </c>
      <c r="IL5" s="1">
        <f>Table1567891112131415[[#This Row],[Total_Cost_MUSD]]*1000000*Table1567891112131415[[#This Row],[prob500-failure_rating7]]/500</f>
        <v>1.3651092895432302</v>
      </c>
      <c r="IM5" s="1">
        <f>Table1567891112131415[[#This Row],[Total_Cost_MUSD]]*1000000*Table1567891112131415[[#This Row],[prob500-failure_rating8]]/500</f>
        <v>3.0335761989849559E-2</v>
      </c>
      <c r="IN5" s="1">
        <f>Table1567891112131415[[#This Row],[Total_Cost_MUSD]]*1000000*Table1567891112131415[[#This Row],[prob500-failure_rating9]]/500</f>
        <v>1.8959851243655977E-2</v>
      </c>
      <c r="IO5" s="1">
        <f>Table1567891112131415[[#This Row],[Total_Cost_MUSD]]*1000000*Table1567891112131415[[#This Row],[prob100-failure_rating1]]/100</f>
        <v>3791.9702487311956</v>
      </c>
      <c r="IP5" s="1">
        <f>Table1567891112131415[[#This Row],[Total_Cost_MUSD]]*1000000*Table1567891112131415[[#This Row],[prob100-failure_rating2]]/100</f>
        <v>473.99628109139945</v>
      </c>
      <c r="IQ5" s="1">
        <f>Table1567891112131415[[#This Row],[Total_Cost_MUSD]]*1000000*Table1567891112131415[[#This Row],[prob100-failure_rating3]]/100</f>
        <v>104.27918184010787</v>
      </c>
      <c r="IR5" s="1">
        <f>Table1567891112131415[[#This Row],[Total_Cost_MUSD]]*1000000*Table1567891112131415[[#This Row],[prob100-failure_rating4]]/100</f>
        <v>37.919702487311952</v>
      </c>
      <c r="IS5" s="1">
        <f>Table1567891112131415[[#This Row],[Total_Cost_MUSD]]*1000000*Table1567891112131415[[#This Row],[prob100-failure_rating5]]/100</f>
        <v>6.6359479352795914</v>
      </c>
      <c r="IT5" s="1">
        <f>Table1567891112131415[[#This Row],[Total_Cost_MUSD]]*1000000*Table1567891112131415[[#This Row],[prob100-failure_rating6]]/100</f>
        <v>1.7063866119290378</v>
      </c>
      <c r="IU5" s="1">
        <f>Table1567891112131415[[#This Row],[Total_Cost_MUSD]]*1000000*Table1567891112131415[[#This Row],[prob100-failure_rating7]]/100</f>
        <v>1.7063866119290378</v>
      </c>
      <c r="IV5" s="1">
        <f>Table1567891112131415[[#This Row],[Total_Cost_MUSD]]*1000000*Table1567891112131415[[#This Row],[prob100-failure_rating8]]/100</f>
        <v>3.7919702487311947E-2</v>
      </c>
      <c r="IW5" s="1">
        <f>Table1567891112131415[[#This Row],[Total_Cost_MUSD]]*1000000*Table1567891112131415[[#This Row],[prob100-failure_rating9]]/100</f>
        <v>2.369981405456997E-2</v>
      </c>
      <c r="IX5" s="1">
        <f>Table1567891112131415[[#This Row],[Total_Cost_MUSD]]*1000000*Table1567891112131415[[#This Row],[prob50-failure_rating1]]/50</f>
        <v>7583.9404974623912</v>
      </c>
      <c r="IY5" s="1">
        <f>Table1567891112131415[[#This Row],[Total_Cost_MUSD]]*1000000*Table1567891112131415[[#This Row],[prob50-failure_rating2]]/50</f>
        <v>631.99504145519927</v>
      </c>
      <c r="IZ5" s="1">
        <f>Table1567891112131415[[#This Row],[Total_Cost_MUSD]]*1000000*Table1567891112131415[[#This Row],[prob50-failure_rating3]]/50</f>
        <v>139.03890912014381</v>
      </c>
      <c r="JA5" s="1">
        <f>Table1567891112131415[[#This Row],[Total_Cost_MUSD]]*1000000*Table1567891112131415[[#This Row],[prob50-failure_rating4]]/50</f>
        <v>50.559603316415945</v>
      </c>
      <c r="JB5" s="1">
        <f>Table1567891112131415[[#This Row],[Total_Cost_MUSD]]*1000000*Table1567891112131415[[#This Row],[prob50-failure_rating5]]/50</f>
        <v>8.8479305803727879</v>
      </c>
      <c r="JC5" s="1">
        <f>Table1567891112131415[[#This Row],[Total_Cost_MUSD]]*1000000*Table1567891112131415[[#This Row],[prob50-failure_rating6]]/50</f>
        <v>2.275182149238717</v>
      </c>
      <c r="JD5" s="1">
        <f>Table1567891112131415[[#This Row],[Total_Cost_MUSD]]*1000000*Table1567891112131415[[#This Row],[prob50-failure_rating7]]/50</f>
        <v>2.275182149238717</v>
      </c>
      <c r="JE5" s="1">
        <f>Table1567891112131415[[#This Row],[Total_Cost_MUSD]]*1000000*Table1567891112131415[[#This Row],[prob50-failure_rating8]]/50</f>
        <v>5.0559603316415937E-2</v>
      </c>
      <c r="JF5" s="1">
        <f>Table1567891112131415[[#This Row],[Total_Cost_MUSD]]*1000000*Table1567891112131415[[#This Row],[prob50-failure_rating9]]/50</f>
        <v>3.159975207275996E-2</v>
      </c>
      <c r="JG5" s="1">
        <f>Table1567891112131415[[#This Row],[Total_Cost_MUSD]]*1000000*Table1567891112131415[[#This Row],[prob10-failure_rating1]]/10</f>
        <v>37919.702487311952</v>
      </c>
      <c r="JH5" s="1">
        <f>Table1567891112131415[[#This Row],[Total_Cost_MUSD]]*1000000*Table1567891112131415[[#This Row],[prob10-failure_rating2]]/10</f>
        <v>1895.9851243655976</v>
      </c>
      <c r="JI5" s="1">
        <f>Table1567891112131415[[#This Row],[Total_Cost_MUSD]]*1000000*Table1567891112131415[[#This Row],[prob10-failure_rating3]]/10</f>
        <v>417.11672736043147</v>
      </c>
      <c r="JJ5" s="1">
        <f>Table1567891112131415[[#This Row],[Total_Cost_MUSD]]*1000000*Table1567891112131415[[#This Row],[prob10-failure_rating4]]/10</f>
        <v>151.67880994924784</v>
      </c>
      <c r="JK5" s="1">
        <f>Table1567891112131415[[#This Row],[Total_Cost_MUSD]]*1000000*Table1567891112131415[[#This Row],[prob10-failure_rating5]]/10</f>
        <v>26.543791741118362</v>
      </c>
      <c r="JL5" s="1">
        <f>Table1567891112131415[[#This Row],[Total_Cost_MUSD]]*1000000*Table1567891112131415[[#This Row],[prob10-failure_rating6]]/10</f>
        <v>6.8255464477161523</v>
      </c>
      <c r="JM5" s="1">
        <f>Table1567891112131415[[#This Row],[Total_Cost_MUSD]]*1000000*Table1567891112131415[[#This Row],[prob10-failure_rating7]]/10</f>
        <v>6.8255464477161523</v>
      </c>
      <c r="JN5" s="1">
        <f>Table1567891112131415[[#This Row],[Total_Cost_MUSD]]*1000000*Table1567891112131415[[#This Row],[prob10-failure_rating8]]/10</f>
        <v>0.15167880994924782</v>
      </c>
      <c r="JO5" s="1">
        <f>Table1567891112131415[[#This Row],[Total_Cost_MUSD]]*1000000*Table1567891112131415[[#This Row],[prob10-failure_rating9]]/10</f>
        <v>9.4799256218279865E-2</v>
      </c>
      <c r="JP5" s="1">
        <f>Table1567891112131415[[#This Row],[FailureCost_Rating1]]</f>
        <v>3381.173471785316</v>
      </c>
      <c r="JQ5" s="1">
        <f>Table1567891112131415[[#This Row],[FailureCost_Rating2]]</f>
        <v>3381.173471785316</v>
      </c>
      <c r="JR5" s="1">
        <f>(Table1567891112131415[[#This Row],[failurecost500_rating2]]+Table1567891112131415[[#This Row],[failurecost100_rating2]]+Table1567891112131415[[#This Row],[failurecost50_rating2]]+Table1567891112131415[[#This Row],[failurecost10_rating2]])</f>
        <v>3381.173471785316</v>
      </c>
      <c r="JS5" s="1">
        <f>(Table1567891112131415[[#This Row],[failurecost500_rating3]]+Table1567891112131415[[#This Row],[failurecost100_rating3]]+Table1567891112131415[[#This Row],[failurecost50_rating3]]+Table1567891112131415[[#This Row],[failurecost10_rating3]])</f>
        <v>743.85816379276946</v>
      </c>
      <c r="JT5" s="1">
        <f>(Table1567891112131415[[#This Row],[failurecost500_rating4]]+Table1567891112131415[[#This Row],[failurecost100_rating4]]+Table1567891112131415[[#This Row],[failurecost50_rating4]]+Table1567891112131415[[#This Row],[failurecost10_rating4]])</f>
        <v>270.4938777428253</v>
      </c>
      <c r="JU5" s="1">
        <f>(Table1567891112131415[[#This Row],[failurecost500_rating5]]+Table1567891112131415[[#This Row],[failurecost100_rating5]]+Table1567891112131415[[#This Row],[failurecost50_rating5]]+Table1567891112131415[[#This Row],[failurecost10_rating5]])</f>
        <v>47.336428604994417</v>
      </c>
      <c r="JV5" s="1">
        <f>(Table1567891112131415[[#This Row],[failurecost500_rating6]]+Table1567891112131415[[#This Row],[failurecost100_rating6]]+Table1567891112131415[[#This Row],[failurecost50_rating6]]+Table1567891112131415[[#This Row],[failurecost10_rating6]])</f>
        <v>12.172224498427138</v>
      </c>
      <c r="JW5" s="1">
        <f>(Table1567891112131415[[#This Row],[failurecost500_rating7]]+Table1567891112131415[[#This Row],[failurecost100_rating7]]+Table1567891112131415[[#This Row],[failurecost50_rating7]]+Table1567891112131415[[#This Row],[failurecost10_rating7]])</f>
        <v>12.172224498427138</v>
      </c>
      <c r="JX5" s="1">
        <f>(Table1567891112131415[[#This Row],[failurecost500_rating8]]+Table1567891112131415[[#This Row],[failurecost100_rating8]]+Table1567891112131415[[#This Row],[failurecost50_rating8]]+Table1567891112131415[[#This Row],[failurecost10_rating8]])</f>
        <v>0.27049387774282529</v>
      </c>
      <c r="JY5" s="1">
        <f>(Table1567891112131415[[#This Row],[failurecost500_rating9]]+Table1567891112131415[[#This Row],[failurecost100_rating9]]+Table1567891112131415[[#This Row],[failurecost50_rating9]]+Table1567891112131415[[#This Row],[failurecost10_rating9]])</f>
        <v>0.16905867358926577</v>
      </c>
    </row>
    <row r="6" spans="1:285" ht="29.25" customHeight="1" x14ac:dyDescent="0.3">
      <c r="A6" s="1">
        <v>4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16919.4190908581</v>
      </c>
      <c r="AR6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18202.748839783562</v>
      </c>
      <c r="AS6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18769.361851972091</v>
      </c>
      <c r="AT6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6" s="1">
        <v>37.815017897446239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Sheet4!Q36*$GF6*1000000</f>
        <v>33613.34924217443</v>
      </c>
      <c r="GM6" s="1">
        <f>Sheet4!R36*$GF6*1000000</f>
        <v>18907.50894872312</v>
      </c>
      <c r="GN6" s="1">
        <f>Sheet4!S36*$GF6*1000000</f>
        <v>12100.805727182797</v>
      </c>
      <c r="GO6" s="1">
        <f>Sheet4!T36*$GF6*1000000</f>
        <v>8403.3373105436076</v>
      </c>
      <c r="GP6" s="1">
        <f>Sheet4!U36*$GF6*1000000</f>
        <v>6173.880473052448</v>
      </c>
      <c r="GQ6" s="1">
        <f>Sheet4!V36*$GF6*1000000</f>
        <v>4726.87723718078</v>
      </c>
      <c r="GR6" s="1">
        <f>Sheet4!W36*$GF6*1000000</f>
        <v>3734.8165824638259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0.01</v>
      </c>
      <c r="HF6" s="1">
        <v>1.25E-3</v>
      </c>
      <c r="HG6" s="1">
        <v>2.7500000000000002E-4</v>
      </c>
      <c r="HH6" s="1">
        <v>1E-4</v>
      </c>
      <c r="HI6" s="1">
        <v>1.7499999999999998E-5</v>
      </c>
      <c r="HJ6" s="1">
        <v>4.5000000000000001E-6</v>
      </c>
      <c r="HK6" s="1">
        <v>4.5000000000000001E-6</v>
      </c>
      <c r="HL6" s="1">
        <v>9.9999999999999995E-8</v>
      </c>
      <c r="HM6" s="1">
        <v>6.2499999999999997E-8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Table1567891112131415[[#This Row],[Total_Cost_MUSD]]*1000000*Table1567891112131415[[#This Row],[prob500-failure_rating1]]/500</f>
        <v>756.30035794892478</v>
      </c>
      <c r="IG6" s="1">
        <f>Table1567891112131415[[#This Row],[Total_Cost_MUSD]]*1000000*Table1567891112131415[[#This Row],[prob500-failure_rating2]]/500</f>
        <v>378.15017897446239</v>
      </c>
      <c r="IH6" s="1">
        <f>Table1567891112131415[[#This Row],[Total_Cost_MUSD]]*1000000*Table1567891112131415[[#This Row],[prob500-failure_rating3]]/500</f>
        <v>83.193039374381726</v>
      </c>
      <c r="II6" s="1">
        <f>Table1567891112131415[[#This Row],[Total_Cost_MUSD]]*1000000*Table1567891112131415[[#This Row],[prob500-failure_rating4]]/500</f>
        <v>30.252014317956995</v>
      </c>
      <c r="IJ6" s="1">
        <f>Table1567891112131415[[#This Row],[Total_Cost_MUSD]]*1000000*Table1567891112131415[[#This Row],[prob500-failure_rating5]]/500</f>
        <v>5.2941025056424724</v>
      </c>
      <c r="IK6" s="1">
        <f>Table1567891112131415[[#This Row],[Total_Cost_MUSD]]*1000000*Table1567891112131415[[#This Row],[prob500-failure_rating6]]/500</f>
        <v>1.3613406443080647</v>
      </c>
      <c r="IL6" s="1">
        <f>Table1567891112131415[[#This Row],[Total_Cost_MUSD]]*1000000*Table1567891112131415[[#This Row],[prob500-failure_rating7]]/500</f>
        <v>1.3613406443080647</v>
      </c>
      <c r="IM6" s="1">
        <f>Table1567891112131415[[#This Row],[Total_Cost_MUSD]]*1000000*Table1567891112131415[[#This Row],[prob500-failure_rating8]]/500</f>
        <v>3.0252014317956988E-2</v>
      </c>
      <c r="IN6" s="1">
        <f>Table1567891112131415[[#This Row],[Total_Cost_MUSD]]*1000000*Table1567891112131415[[#This Row],[prob500-failure_rating9]]/500</f>
        <v>1.8907508948723121E-2</v>
      </c>
      <c r="IO6" s="1">
        <f>Table1567891112131415[[#This Row],[Total_Cost_MUSD]]*1000000*Table1567891112131415[[#This Row],[prob100-failure_rating1]]/100</f>
        <v>3781.5017897446237</v>
      </c>
      <c r="IP6" s="1">
        <f>Table1567891112131415[[#This Row],[Total_Cost_MUSD]]*1000000*Table1567891112131415[[#This Row],[prob100-failure_rating2]]/100</f>
        <v>472.68772371807796</v>
      </c>
      <c r="IQ6" s="1">
        <f>Table1567891112131415[[#This Row],[Total_Cost_MUSD]]*1000000*Table1567891112131415[[#This Row],[prob100-failure_rating3]]/100</f>
        <v>103.99129921797716</v>
      </c>
      <c r="IR6" s="1">
        <f>Table1567891112131415[[#This Row],[Total_Cost_MUSD]]*1000000*Table1567891112131415[[#This Row],[prob100-failure_rating4]]/100</f>
        <v>37.815017897446239</v>
      </c>
      <c r="IS6" s="1">
        <f>Table1567891112131415[[#This Row],[Total_Cost_MUSD]]*1000000*Table1567891112131415[[#This Row],[prob100-failure_rating5]]/100</f>
        <v>6.6176281320530901</v>
      </c>
      <c r="IT6" s="1">
        <f>Table1567891112131415[[#This Row],[Total_Cost_MUSD]]*1000000*Table1567891112131415[[#This Row],[prob100-failure_rating6]]/100</f>
        <v>1.7016758053850807</v>
      </c>
      <c r="IU6" s="1">
        <f>Table1567891112131415[[#This Row],[Total_Cost_MUSD]]*1000000*Table1567891112131415[[#This Row],[prob100-failure_rating7]]/100</f>
        <v>1.7016758053850807</v>
      </c>
      <c r="IV6" s="1">
        <f>Table1567891112131415[[#This Row],[Total_Cost_MUSD]]*1000000*Table1567891112131415[[#This Row],[prob100-failure_rating8]]/100</f>
        <v>3.7815017897446235E-2</v>
      </c>
      <c r="IW6" s="1">
        <f>Table1567891112131415[[#This Row],[Total_Cost_MUSD]]*1000000*Table1567891112131415[[#This Row],[prob100-failure_rating9]]/100</f>
        <v>2.36343861859039E-2</v>
      </c>
      <c r="IX6" s="1">
        <f>Table1567891112131415[[#This Row],[Total_Cost_MUSD]]*1000000*Table1567891112131415[[#This Row],[prob50-failure_rating1]]/50</f>
        <v>7563.0035794892474</v>
      </c>
      <c r="IY6" s="1">
        <f>Table1567891112131415[[#This Row],[Total_Cost_MUSD]]*1000000*Table1567891112131415[[#This Row],[prob50-failure_rating2]]/50</f>
        <v>630.25029829077062</v>
      </c>
      <c r="IZ6" s="1">
        <f>Table1567891112131415[[#This Row],[Total_Cost_MUSD]]*1000000*Table1567891112131415[[#This Row],[prob50-failure_rating3]]/50</f>
        <v>138.65506562396953</v>
      </c>
      <c r="JA6" s="1">
        <f>Table1567891112131415[[#This Row],[Total_Cost_MUSD]]*1000000*Table1567891112131415[[#This Row],[prob50-failure_rating4]]/50</f>
        <v>50.420023863261648</v>
      </c>
      <c r="JB6" s="1">
        <f>Table1567891112131415[[#This Row],[Total_Cost_MUSD]]*1000000*Table1567891112131415[[#This Row],[prob50-failure_rating5]]/50</f>
        <v>8.823504176070788</v>
      </c>
      <c r="JC6" s="1">
        <f>Table1567891112131415[[#This Row],[Total_Cost_MUSD]]*1000000*Table1567891112131415[[#This Row],[prob50-failure_rating6]]/50</f>
        <v>2.2689010738467745</v>
      </c>
      <c r="JD6" s="1">
        <f>Table1567891112131415[[#This Row],[Total_Cost_MUSD]]*1000000*Table1567891112131415[[#This Row],[prob50-failure_rating7]]/50</f>
        <v>2.2689010738467745</v>
      </c>
      <c r="JE6" s="1">
        <f>Table1567891112131415[[#This Row],[Total_Cost_MUSD]]*1000000*Table1567891112131415[[#This Row],[prob50-failure_rating8]]/50</f>
        <v>5.0420023863261651E-2</v>
      </c>
      <c r="JF6" s="1">
        <f>Table1567891112131415[[#This Row],[Total_Cost_MUSD]]*1000000*Table1567891112131415[[#This Row],[prob50-failure_rating9]]/50</f>
        <v>3.1512514914538527E-2</v>
      </c>
      <c r="JG6" s="1">
        <f>Table1567891112131415[[#This Row],[Total_Cost_MUSD]]*1000000*Table1567891112131415[[#This Row],[prob10-failure_rating1]]/10</f>
        <v>37815.01789744624</v>
      </c>
      <c r="JH6" s="1">
        <f>Table1567891112131415[[#This Row],[Total_Cost_MUSD]]*1000000*Table1567891112131415[[#This Row],[prob10-failure_rating2]]/10</f>
        <v>1890.7508948723121</v>
      </c>
      <c r="JI6" s="1">
        <f>Table1567891112131415[[#This Row],[Total_Cost_MUSD]]*1000000*Table1567891112131415[[#This Row],[prob10-failure_rating3]]/10</f>
        <v>415.96519687190869</v>
      </c>
      <c r="JJ6" s="1">
        <f>Table1567891112131415[[#This Row],[Total_Cost_MUSD]]*1000000*Table1567891112131415[[#This Row],[prob10-failure_rating4]]/10</f>
        <v>151.26007158978496</v>
      </c>
      <c r="JK6" s="1">
        <f>Table1567891112131415[[#This Row],[Total_Cost_MUSD]]*1000000*Table1567891112131415[[#This Row],[prob10-failure_rating5]]/10</f>
        <v>26.47051252821236</v>
      </c>
      <c r="JL6" s="1">
        <f>Table1567891112131415[[#This Row],[Total_Cost_MUSD]]*1000000*Table1567891112131415[[#This Row],[prob10-failure_rating6]]/10</f>
        <v>6.8067032215403227</v>
      </c>
      <c r="JM6" s="1">
        <f>Table1567891112131415[[#This Row],[Total_Cost_MUSD]]*1000000*Table1567891112131415[[#This Row],[prob10-failure_rating7]]/10</f>
        <v>6.8067032215403227</v>
      </c>
      <c r="JN6" s="1">
        <f>Table1567891112131415[[#This Row],[Total_Cost_MUSD]]*1000000*Table1567891112131415[[#This Row],[prob10-failure_rating8]]/10</f>
        <v>0.15126007158978497</v>
      </c>
      <c r="JO6" s="1">
        <f>Table1567891112131415[[#This Row],[Total_Cost_MUSD]]*1000000*Table1567891112131415[[#This Row],[prob10-failure_rating9]]/10</f>
        <v>9.4537544743615587E-2</v>
      </c>
      <c r="JP6" s="1">
        <f>Table1567891112131415[[#This Row],[FailureCost_Rating1]]</f>
        <v>3371.8390958556229</v>
      </c>
      <c r="JQ6" s="1">
        <f>Table1567891112131415[[#This Row],[FailureCost_Rating2]]</f>
        <v>3371.8390958556229</v>
      </c>
      <c r="JR6" s="1">
        <f>(Table1567891112131415[[#This Row],[failurecost500_rating2]]+Table1567891112131415[[#This Row],[failurecost100_rating2]]+Table1567891112131415[[#This Row],[failurecost50_rating2]]+Table1567891112131415[[#This Row],[failurecost10_rating2]])</f>
        <v>3371.8390958556229</v>
      </c>
      <c r="JS6" s="1">
        <f>(Table1567891112131415[[#This Row],[failurecost500_rating3]]+Table1567891112131415[[#This Row],[failurecost100_rating3]]+Table1567891112131415[[#This Row],[failurecost50_rating3]]+Table1567891112131415[[#This Row],[failurecost10_rating3]])</f>
        <v>741.80460108823706</v>
      </c>
      <c r="JT6" s="1">
        <f>(Table1567891112131415[[#This Row],[failurecost500_rating4]]+Table1567891112131415[[#This Row],[failurecost100_rating4]]+Table1567891112131415[[#This Row],[failurecost50_rating4]]+Table1567891112131415[[#This Row],[failurecost10_rating4]])</f>
        <v>269.74712766844982</v>
      </c>
      <c r="JU6" s="1">
        <f>(Table1567891112131415[[#This Row],[failurecost500_rating5]]+Table1567891112131415[[#This Row],[failurecost100_rating5]]+Table1567891112131415[[#This Row],[failurecost50_rating5]]+Table1567891112131415[[#This Row],[failurecost10_rating5]])</f>
        <v>47.205747341978707</v>
      </c>
      <c r="JV6" s="1">
        <f>(Table1567891112131415[[#This Row],[failurecost500_rating6]]+Table1567891112131415[[#This Row],[failurecost100_rating6]]+Table1567891112131415[[#This Row],[failurecost50_rating6]]+Table1567891112131415[[#This Row],[failurecost10_rating6]])</f>
        <v>12.138620745080242</v>
      </c>
      <c r="JW6" s="1">
        <f>(Table1567891112131415[[#This Row],[failurecost500_rating7]]+Table1567891112131415[[#This Row],[failurecost100_rating7]]+Table1567891112131415[[#This Row],[failurecost50_rating7]]+Table1567891112131415[[#This Row],[failurecost10_rating7]])</f>
        <v>12.138620745080242</v>
      </c>
      <c r="JX6" s="1">
        <f>(Table1567891112131415[[#This Row],[failurecost500_rating8]]+Table1567891112131415[[#This Row],[failurecost100_rating8]]+Table1567891112131415[[#This Row],[failurecost50_rating8]]+Table1567891112131415[[#This Row],[failurecost10_rating8]])</f>
        <v>0.26974712766844983</v>
      </c>
      <c r="JY6" s="1">
        <f>(Table1567891112131415[[#This Row],[failurecost500_rating9]]+Table1567891112131415[[#This Row],[failurecost100_rating9]]+Table1567891112131415[[#This Row],[failurecost50_rating9]]+Table1567891112131415[[#This Row],[failurecost10_rating9]])</f>
        <v>0.16859195479278113</v>
      </c>
    </row>
    <row r="7" spans="1:285" ht="28.8" x14ac:dyDescent="0.3">
      <c r="A7" s="1">
        <v>5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11407.250817613454</v>
      </c>
      <c r="AR7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12369.739122689782</v>
      </c>
      <c r="AS7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14750.148906789464</v>
      </c>
      <c r="AT7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0.39600000000000002</v>
      </c>
      <c r="GF7" s="1">
        <v>35.252620361126205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Sheet4!Q37*$GF7*1000000</f>
        <v>31335.662543223294</v>
      </c>
      <c r="GM7" s="1">
        <f>Sheet4!R37*$GF7*1000000</f>
        <v>17626.310180563098</v>
      </c>
      <c r="GN7" s="1">
        <f>Sheet4!S37*$GF7*1000000</f>
        <v>11280.838515560385</v>
      </c>
      <c r="GO7" s="1">
        <f>Sheet4!T37*$GF7*1000000</f>
        <v>7833.9156358058235</v>
      </c>
      <c r="GP7" s="1">
        <f>Sheet4!U37*$GF7*1000000</f>
        <v>5755.5298548777482</v>
      </c>
      <c r="GQ7" s="1">
        <f>Sheet4!V37*$GF7*1000000</f>
        <v>4406.5775451407744</v>
      </c>
      <c r="GR7" s="1">
        <f>Sheet4!W37*$GF7*1000000</f>
        <v>3481.7402825803651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0.01</v>
      </c>
      <c r="HF7" s="1">
        <v>1.25E-3</v>
      </c>
      <c r="HG7" s="1">
        <v>2.7500000000000002E-4</v>
      </c>
      <c r="HH7" s="1">
        <v>1E-4</v>
      </c>
      <c r="HI7" s="1">
        <v>1.7499999999999998E-5</v>
      </c>
      <c r="HJ7" s="1">
        <v>4.5000000000000001E-6</v>
      </c>
      <c r="HK7" s="1">
        <v>4.5000000000000001E-6</v>
      </c>
      <c r="HL7" s="1">
        <v>9.9999999999999995E-8</v>
      </c>
      <c r="HM7" s="1">
        <v>6.2499999999999997E-8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Table1567891112131415[[#This Row],[Total_Cost_MUSD]]*1000000*Table1567891112131415[[#This Row],[prob500-failure_rating1]]/500</f>
        <v>705.05240722252415</v>
      </c>
      <c r="IG7" s="1">
        <f>Table1567891112131415[[#This Row],[Total_Cost_MUSD]]*1000000*Table1567891112131415[[#This Row],[prob500-failure_rating2]]/500</f>
        <v>352.52620361126208</v>
      </c>
      <c r="IH7" s="1">
        <f>Table1567891112131415[[#This Row],[Total_Cost_MUSD]]*1000000*Table1567891112131415[[#This Row],[prob500-failure_rating3]]/500</f>
        <v>77.555764794477653</v>
      </c>
      <c r="II7" s="1">
        <f>Table1567891112131415[[#This Row],[Total_Cost_MUSD]]*1000000*Table1567891112131415[[#This Row],[prob500-failure_rating4]]/500</f>
        <v>28.202096288900968</v>
      </c>
      <c r="IJ7" s="1">
        <f>Table1567891112131415[[#This Row],[Total_Cost_MUSD]]*1000000*Table1567891112131415[[#This Row],[prob500-failure_rating5]]/500</f>
        <v>4.9353668505576689</v>
      </c>
      <c r="IK7" s="1">
        <f>Table1567891112131415[[#This Row],[Total_Cost_MUSD]]*1000000*Table1567891112131415[[#This Row],[prob500-failure_rating6]]/500</f>
        <v>1.2690943330005435</v>
      </c>
      <c r="IL7" s="1">
        <f>Table1567891112131415[[#This Row],[Total_Cost_MUSD]]*1000000*Table1567891112131415[[#This Row],[prob500-failure_rating7]]/500</f>
        <v>1.2690943330005435</v>
      </c>
      <c r="IM7" s="1">
        <f>Table1567891112131415[[#This Row],[Total_Cost_MUSD]]*1000000*Table1567891112131415[[#This Row],[prob500-failure_rating8]]/500</f>
        <v>2.8202096288900965E-2</v>
      </c>
      <c r="IN7" s="1">
        <f>Table1567891112131415[[#This Row],[Total_Cost_MUSD]]*1000000*Table1567891112131415[[#This Row],[prob500-failure_rating9]]/500</f>
        <v>1.7626310180563102E-2</v>
      </c>
      <c r="IO7" s="1">
        <f>Table1567891112131415[[#This Row],[Total_Cost_MUSD]]*1000000*Table1567891112131415[[#This Row],[prob100-failure_rating1]]/100</f>
        <v>3525.262036112621</v>
      </c>
      <c r="IP7" s="1">
        <f>Table1567891112131415[[#This Row],[Total_Cost_MUSD]]*1000000*Table1567891112131415[[#This Row],[prob100-failure_rating2]]/100</f>
        <v>440.65775451407762</v>
      </c>
      <c r="IQ7" s="1">
        <f>Table1567891112131415[[#This Row],[Total_Cost_MUSD]]*1000000*Table1567891112131415[[#This Row],[prob100-failure_rating3]]/100</f>
        <v>96.944705993097074</v>
      </c>
      <c r="IR7" s="1">
        <f>Table1567891112131415[[#This Row],[Total_Cost_MUSD]]*1000000*Table1567891112131415[[#This Row],[prob100-failure_rating4]]/100</f>
        <v>35.252620361126212</v>
      </c>
      <c r="IS7" s="1">
        <f>Table1567891112131415[[#This Row],[Total_Cost_MUSD]]*1000000*Table1567891112131415[[#This Row],[prob100-failure_rating5]]/100</f>
        <v>6.1692085631970857</v>
      </c>
      <c r="IT7" s="1">
        <f>Table1567891112131415[[#This Row],[Total_Cost_MUSD]]*1000000*Table1567891112131415[[#This Row],[prob100-failure_rating6]]/100</f>
        <v>1.5863679162506792</v>
      </c>
      <c r="IU7" s="1">
        <f>Table1567891112131415[[#This Row],[Total_Cost_MUSD]]*1000000*Table1567891112131415[[#This Row],[prob100-failure_rating7]]/100</f>
        <v>1.5863679162506792</v>
      </c>
      <c r="IV7" s="1">
        <f>Table1567891112131415[[#This Row],[Total_Cost_MUSD]]*1000000*Table1567891112131415[[#This Row],[prob100-failure_rating8]]/100</f>
        <v>3.5252620361126204E-2</v>
      </c>
      <c r="IW7" s="1">
        <f>Table1567891112131415[[#This Row],[Total_Cost_MUSD]]*1000000*Table1567891112131415[[#This Row],[prob100-failure_rating9]]/100</f>
        <v>2.2032887725703876E-2</v>
      </c>
      <c r="IX7" s="1">
        <f>Table1567891112131415[[#This Row],[Total_Cost_MUSD]]*1000000*Table1567891112131415[[#This Row],[prob50-failure_rating1]]/50</f>
        <v>7050.524072225242</v>
      </c>
      <c r="IY7" s="1">
        <f>Table1567891112131415[[#This Row],[Total_Cost_MUSD]]*1000000*Table1567891112131415[[#This Row],[prob50-failure_rating2]]/50</f>
        <v>587.54367268543683</v>
      </c>
      <c r="IZ7" s="1">
        <f>Table1567891112131415[[#This Row],[Total_Cost_MUSD]]*1000000*Table1567891112131415[[#This Row],[prob50-failure_rating3]]/50</f>
        <v>129.2596079907961</v>
      </c>
      <c r="JA7" s="1">
        <f>Table1567891112131415[[#This Row],[Total_Cost_MUSD]]*1000000*Table1567891112131415[[#This Row],[prob50-failure_rating4]]/50</f>
        <v>47.003493814834947</v>
      </c>
      <c r="JB7" s="1">
        <f>Table1567891112131415[[#This Row],[Total_Cost_MUSD]]*1000000*Table1567891112131415[[#This Row],[prob50-failure_rating5]]/50</f>
        <v>8.2256114175961148</v>
      </c>
      <c r="JC7" s="1">
        <f>Table1567891112131415[[#This Row],[Total_Cost_MUSD]]*1000000*Table1567891112131415[[#This Row],[prob50-failure_rating6]]/50</f>
        <v>2.1151572216675727</v>
      </c>
      <c r="JD7" s="1">
        <f>Table1567891112131415[[#This Row],[Total_Cost_MUSD]]*1000000*Table1567891112131415[[#This Row],[prob50-failure_rating7]]/50</f>
        <v>2.1151572216675727</v>
      </c>
      <c r="JE7" s="1">
        <f>Table1567891112131415[[#This Row],[Total_Cost_MUSD]]*1000000*Table1567891112131415[[#This Row],[prob50-failure_rating8]]/50</f>
        <v>4.700349381483495E-2</v>
      </c>
      <c r="JF7" s="1">
        <f>Table1567891112131415[[#This Row],[Total_Cost_MUSD]]*1000000*Table1567891112131415[[#This Row],[prob50-failure_rating9]]/50</f>
        <v>2.9377183634271838E-2</v>
      </c>
      <c r="JG7" s="1">
        <f>Table1567891112131415[[#This Row],[Total_Cost_MUSD]]*1000000*Table1567891112131415[[#This Row],[prob10-failure_rating1]]/10</f>
        <v>35252.62036112621</v>
      </c>
      <c r="JH7" s="1">
        <f>Table1567891112131415[[#This Row],[Total_Cost_MUSD]]*1000000*Table1567891112131415[[#This Row],[prob10-failure_rating2]]/10</f>
        <v>1762.6310180563105</v>
      </c>
      <c r="JI7" s="1">
        <f>Table1567891112131415[[#This Row],[Total_Cost_MUSD]]*1000000*Table1567891112131415[[#This Row],[prob10-failure_rating3]]/10</f>
        <v>387.7788239723883</v>
      </c>
      <c r="JJ7" s="1">
        <f>Table1567891112131415[[#This Row],[Total_Cost_MUSD]]*1000000*Table1567891112131415[[#This Row],[prob10-failure_rating4]]/10</f>
        <v>141.01048144450482</v>
      </c>
      <c r="JK7" s="1">
        <f>Table1567891112131415[[#This Row],[Total_Cost_MUSD]]*1000000*Table1567891112131415[[#This Row],[prob10-failure_rating5]]/10</f>
        <v>24.676834252788343</v>
      </c>
      <c r="JL7" s="1">
        <f>Table1567891112131415[[#This Row],[Total_Cost_MUSD]]*1000000*Table1567891112131415[[#This Row],[prob10-failure_rating6]]/10</f>
        <v>6.3454716650027176</v>
      </c>
      <c r="JM7" s="1">
        <f>Table1567891112131415[[#This Row],[Total_Cost_MUSD]]*1000000*Table1567891112131415[[#This Row],[prob10-failure_rating7]]/10</f>
        <v>6.3454716650027176</v>
      </c>
      <c r="JN7" s="1">
        <f>Table1567891112131415[[#This Row],[Total_Cost_MUSD]]*1000000*Table1567891112131415[[#This Row],[prob10-failure_rating8]]/10</f>
        <v>0.14101048144450484</v>
      </c>
      <c r="JO7" s="1">
        <f>Table1567891112131415[[#This Row],[Total_Cost_MUSD]]*1000000*Table1567891112131415[[#This Row],[prob10-failure_rating9]]/10</f>
        <v>8.813155090281552E-2</v>
      </c>
      <c r="JP7" s="1">
        <f>Table1567891112131415[[#This Row],[FailureCost_Rating1]]</f>
        <v>3143.3586488670871</v>
      </c>
      <c r="JQ7" s="1">
        <f>Table1567891112131415[[#This Row],[FailureCost_Rating2]]</f>
        <v>3143.3586488670871</v>
      </c>
      <c r="JR7" s="1">
        <f>(Table1567891112131415[[#This Row],[failurecost500_rating2]]+Table1567891112131415[[#This Row],[failurecost100_rating2]]+Table1567891112131415[[#This Row],[failurecost50_rating2]]+Table1567891112131415[[#This Row],[failurecost10_rating2]])</f>
        <v>3143.3586488670871</v>
      </c>
      <c r="JS7" s="1">
        <f>(Table1567891112131415[[#This Row],[failurecost500_rating3]]+Table1567891112131415[[#This Row],[failurecost100_rating3]]+Table1567891112131415[[#This Row],[failurecost50_rating3]]+Table1567891112131415[[#This Row],[failurecost10_rating3]])</f>
        <v>691.53890275075912</v>
      </c>
      <c r="JT7" s="1">
        <f>(Table1567891112131415[[#This Row],[failurecost500_rating4]]+Table1567891112131415[[#This Row],[failurecost100_rating4]]+Table1567891112131415[[#This Row],[failurecost50_rating4]]+Table1567891112131415[[#This Row],[failurecost10_rating4]])</f>
        <v>251.46869190936695</v>
      </c>
      <c r="JU7" s="1">
        <f>(Table1567891112131415[[#This Row],[failurecost500_rating5]]+Table1567891112131415[[#This Row],[failurecost100_rating5]]+Table1567891112131415[[#This Row],[failurecost50_rating5]]+Table1567891112131415[[#This Row],[failurecost10_rating5]])</f>
        <v>44.007021084139211</v>
      </c>
      <c r="JV7" s="1">
        <f>(Table1567891112131415[[#This Row],[failurecost500_rating6]]+Table1567891112131415[[#This Row],[failurecost100_rating6]]+Table1567891112131415[[#This Row],[failurecost50_rating6]]+Table1567891112131415[[#This Row],[failurecost10_rating6]])</f>
        <v>11.316091135921512</v>
      </c>
      <c r="JW7" s="1">
        <f>(Table1567891112131415[[#This Row],[failurecost500_rating7]]+Table1567891112131415[[#This Row],[failurecost100_rating7]]+Table1567891112131415[[#This Row],[failurecost50_rating7]]+Table1567891112131415[[#This Row],[failurecost10_rating7]])</f>
        <v>11.316091135921512</v>
      </c>
      <c r="JX7" s="1">
        <f>(Table1567891112131415[[#This Row],[failurecost500_rating8]]+Table1567891112131415[[#This Row],[failurecost100_rating8]]+Table1567891112131415[[#This Row],[failurecost50_rating8]]+Table1567891112131415[[#This Row],[failurecost10_rating8]])</f>
        <v>0.25146869190936694</v>
      </c>
      <c r="JY7" s="1">
        <f>(Table1567891112131415[[#This Row],[failurecost500_rating9]]+Table1567891112131415[[#This Row],[failurecost100_rating9]]+Table1567891112131415[[#This Row],[failurecost50_rating9]]+Table1567891112131415[[#This Row],[failurecost10_rating9]])</f>
        <v>0.15716793244335434</v>
      </c>
    </row>
    <row r="8" spans="1:285" ht="28.8" x14ac:dyDescent="0.3">
      <c r="A8" s="1">
        <v>6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16463.256386162553</v>
      </c>
      <c r="AR8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18935.802677782114</v>
      </c>
      <c r="AS8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19959.892643325038</v>
      </c>
      <c r="AT8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0.52800000000000002</v>
      </c>
      <c r="GF8" s="1">
        <v>33.456686672876707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Sheet4!Q38*$GF8*1000000</f>
        <v>29739.277042557071</v>
      </c>
      <c r="GM8" s="1">
        <f>Sheet4!R38*$GF8*1000000</f>
        <v>16728.343336438353</v>
      </c>
      <c r="GN8" s="1">
        <f>Sheet4!S38*$GF8*1000000</f>
        <v>10706.139735320547</v>
      </c>
      <c r="GO8" s="1">
        <f>Sheet4!T38*$GF8*1000000</f>
        <v>7434.8192606392677</v>
      </c>
      <c r="GP8" s="1">
        <f>Sheet4!U38*$GF8*1000000</f>
        <v>5462.3161914900747</v>
      </c>
      <c r="GQ8" s="1">
        <f>Sheet4!V38*$GF8*1000000</f>
        <v>4182.0858341095882</v>
      </c>
      <c r="GR8" s="1">
        <f>Sheet4!W38*$GF8*1000000</f>
        <v>3304.3641158396749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0.01</v>
      </c>
      <c r="HF8" s="1">
        <v>1.25E-3</v>
      </c>
      <c r="HG8" s="1">
        <v>2.7500000000000002E-4</v>
      </c>
      <c r="HH8" s="1">
        <v>1E-4</v>
      </c>
      <c r="HI8" s="1">
        <v>1.7499999999999998E-5</v>
      </c>
      <c r="HJ8" s="1">
        <v>4.5000000000000001E-6</v>
      </c>
      <c r="HK8" s="1">
        <v>4.5000000000000001E-6</v>
      </c>
      <c r="HL8" s="1">
        <v>9.9999999999999995E-8</v>
      </c>
      <c r="HM8" s="1">
        <v>6.2499999999999997E-8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Table1567891112131415[[#This Row],[Total_Cost_MUSD]]*1000000*Table1567891112131415[[#This Row],[prob500-failure_rating1]]/500</f>
        <v>669.13373345753428</v>
      </c>
      <c r="IG8" s="1">
        <f>Table1567891112131415[[#This Row],[Total_Cost_MUSD]]*1000000*Table1567891112131415[[#This Row],[prob500-failure_rating2]]/500</f>
        <v>334.56686672876714</v>
      </c>
      <c r="IH8" s="1">
        <f>Table1567891112131415[[#This Row],[Total_Cost_MUSD]]*1000000*Table1567891112131415[[#This Row],[prob500-failure_rating3]]/500</f>
        <v>73.604710680328765</v>
      </c>
      <c r="II8" s="1">
        <f>Table1567891112131415[[#This Row],[Total_Cost_MUSD]]*1000000*Table1567891112131415[[#This Row],[prob500-failure_rating4]]/500</f>
        <v>26.765349338301366</v>
      </c>
      <c r="IJ8" s="1">
        <f>Table1567891112131415[[#This Row],[Total_Cost_MUSD]]*1000000*Table1567891112131415[[#This Row],[prob500-failure_rating5]]/500</f>
        <v>4.6839361342027388</v>
      </c>
      <c r="IK8" s="1">
        <f>Table1567891112131415[[#This Row],[Total_Cost_MUSD]]*1000000*Table1567891112131415[[#This Row],[prob500-failure_rating6]]/500</f>
        <v>1.2044407202235616</v>
      </c>
      <c r="IL8" s="1">
        <f>Table1567891112131415[[#This Row],[Total_Cost_MUSD]]*1000000*Table1567891112131415[[#This Row],[prob500-failure_rating7]]/500</f>
        <v>1.2044407202235616</v>
      </c>
      <c r="IM8" s="1">
        <f>Table1567891112131415[[#This Row],[Total_Cost_MUSD]]*1000000*Table1567891112131415[[#This Row],[prob500-failure_rating8]]/500</f>
        <v>2.6765349338301367E-2</v>
      </c>
      <c r="IN8" s="1">
        <f>Table1567891112131415[[#This Row],[Total_Cost_MUSD]]*1000000*Table1567891112131415[[#This Row],[prob500-failure_rating9]]/500</f>
        <v>1.6728343336438353E-2</v>
      </c>
      <c r="IO8" s="1">
        <f>Table1567891112131415[[#This Row],[Total_Cost_MUSD]]*1000000*Table1567891112131415[[#This Row],[prob100-failure_rating1]]/100</f>
        <v>3345.6686672876713</v>
      </c>
      <c r="IP8" s="1">
        <f>Table1567891112131415[[#This Row],[Total_Cost_MUSD]]*1000000*Table1567891112131415[[#This Row],[prob100-failure_rating2]]/100</f>
        <v>418.20858341095891</v>
      </c>
      <c r="IQ8" s="1">
        <f>Table1567891112131415[[#This Row],[Total_Cost_MUSD]]*1000000*Table1567891112131415[[#This Row],[prob100-failure_rating3]]/100</f>
        <v>92.005888350410956</v>
      </c>
      <c r="IR8" s="1">
        <f>Table1567891112131415[[#This Row],[Total_Cost_MUSD]]*1000000*Table1567891112131415[[#This Row],[prob100-failure_rating4]]/100</f>
        <v>33.456686672876707</v>
      </c>
      <c r="IS8" s="1">
        <f>Table1567891112131415[[#This Row],[Total_Cost_MUSD]]*1000000*Table1567891112131415[[#This Row],[prob100-failure_rating5]]/100</f>
        <v>5.8549201677534235</v>
      </c>
      <c r="IT8" s="1">
        <f>Table1567891112131415[[#This Row],[Total_Cost_MUSD]]*1000000*Table1567891112131415[[#This Row],[prob100-failure_rating6]]/100</f>
        <v>1.505550900279452</v>
      </c>
      <c r="IU8" s="1">
        <f>Table1567891112131415[[#This Row],[Total_Cost_MUSD]]*1000000*Table1567891112131415[[#This Row],[prob100-failure_rating7]]/100</f>
        <v>1.505550900279452</v>
      </c>
      <c r="IV8" s="1">
        <f>Table1567891112131415[[#This Row],[Total_Cost_MUSD]]*1000000*Table1567891112131415[[#This Row],[prob100-failure_rating8]]/100</f>
        <v>3.3456686672876705E-2</v>
      </c>
      <c r="IW8" s="1">
        <f>Table1567891112131415[[#This Row],[Total_Cost_MUSD]]*1000000*Table1567891112131415[[#This Row],[prob100-failure_rating9]]/100</f>
        <v>2.0910429170547942E-2</v>
      </c>
      <c r="IX8" s="1">
        <f>Table1567891112131415[[#This Row],[Total_Cost_MUSD]]*1000000*Table1567891112131415[[#This Row],[prob50-failure_rating1]]/50</f>
        <v>6691.3373345753425</v>
      </c>
      <c r="IY8" s="1">
        <f>Table1567891112131415[[#This Row],[Total_Cost_MUSD]]*1000000*Table1567891112131415[[#This Row],[prob50-failure_rating2]]/50</f>
        <v>557.6114445479451</v>
      </c>
      <c r="IZ8" s="1">
        <f>Table1567891112131415[[#This Row],[Total_Cost_MUSD]]*1000000*Table1567891112131415[[#This Row],[prob50-failure_rating3]]/50</f>
        <v>122.67451780054793</v>
      </c>
      <c r="JA8" s="1">
        <f>Table1567891112131415[[#This Row],[Total_Cost_MUSD]]*1000000*Table1567891112131415[[#This Row],[prob50-failure_rating4]]/50</f>
        <v>44.608915563835616</v>
      </c>
      <c r="JB8" s="1">
        <f>Table1567891112131415[[#This Row],[Total_Cost_MUSD]]*1000000*Table1567891112131415[[#This Row],[prob50-failure_rating5]]/50</f>
        <v>7.806560223671231</v>
      </c>
      <c r="JC8" s="1">
        <f>Table1567891112131415[[#This Row],[Total_Cost_MUSD]]*1000000*Table1567891112131415[[#This Row],[prob50-failure_rating6]]/50</f>
        <v>2.0074012003726027</v>
      </c>
      <c r="JD8" s="1">
        <f>Table1567891112131415[[#This Row],[Total_Cost_MUSD]]*1000000*Table1567891112131415[[#This Row],[prob50-failure_rating7]]/50</f>
        <v>2.0074012003726027</v>
      </c>
      <c r="JE8" s="1">
        <f>Table1567891112131415[[#This Row],[Total_Cost_MUSD]]*1000000*Table1567891112131415[[#This Row],[prob50-failure_rating8]]/50</f>
        <v>4.4608915563835616E-2</v>
      </c>
      <c r="JF8" s="1">
        <f>Table1567891112131415[[#This Row],[Total_Cost_MUSD]]*1000000*Table1567891112131415[[#This Row],[prob50-failure_rating9]]/50</f>
        <v>2.7880572227397257E-2</v>
      </c>
      <c r="JG8" s="1">
        <f>Table1567891112131415[[#This Row],[Total_Cost_MUSD]]*1000000*Table1567891112131415[[#This Row],[prob10-failure_rating1]]/10</f>
        <v>33456.686672876713</v>
      </c>
      <c r="JH8" s="1">
        <f>Table1567891112131415[[#This Row],[Total_Cost_MUSD]]*1000000*Table1567891112131415[[#This Row],[prob10-failure_rating2]]/10</f>
        <v>1672.8343336438352</v>
      </c>
      <c r="JI8" s="1">
        <f>Table1567891112131415[[#This Row],[Total_Cost_MUSD]]*1000000*Table1567891112131415[[#This Row],[prob10-failure_rating3]]/10</f>
        <v>368.02355340164382</v>
      </c>
      <c r="JJ8" s="1">
        <f>Table1567891112131415[[#This Row],[Total_Cost_MUSD]]*1000000*Table1567891112131415[[#This Row],[prob10-failure_rating4]]/10</f>
        <v>133.82674669150683</v>
      </c>
      <c r="JK8" s="1">
        <f>Table1567891112131415[[#This Row],[Total_Cost_MUSD]]*1000000*Table1567891112131415[[#This Row],[prob10-failure_rating5]]/10</f>
        <v>23.41968067101369</v>
      </c>
      <c r="JL8" s="1">
        <f>Table1567891112131415[[#This Row],[Total_Cost_MUSD]]*1000000*Table1567891112131415[[#This Row],[prob10-failure_rating6]]/10</f>
        <v>6.0222036011178073</v>
      </c>
      <c r="JM8" s="1">
        <f>Table1567891112131415[[#This Row],[Total_Cost_MUSD]]*1000000*Table1567891112131415[[#This Row],[prob10-failure_rating7]]/10</f>
        <v>6.0222036011178073</v>
      </c>
      <c r="JN8" s="1">
        <f>Table1567891112131415[[#This Row],[Total_Cost_MUSD]]*1000000*Table1567891112131415[[#This Row],[prob10-failure_rating8]]/10</f>
        <v>0.13382674669150682</v>
      </c>
      <c r="JO8" s="1">
        <f>Table1567891112131415[[#This Row],[Total_Cost_MUSD]]*1000000*Table1567891112131415[[#This Row],[prob10-failure_rating9]]/10</f>
        <v>8.3641716682191766E-2</v>
      </c>
      <c r="JP8" s="1">
        <f>Table1567891112131415[[#This Row],[FailureCost_Rating1]]</f>
        <v>2983.2212283315062</v>
      </c>
      <c r="JQ8" s="1">
        <f>Table1567891112131415[[#This Row],[FailureCost_Rating2]]</f>
        <v>2983.2212283315062</v>
      </c>
      <c r="JR8" s="1">
        <f>(Table1567891112131415[[#This Row],[failurecost500_rating2]]+Table1567891112131415[[#This Row],[failurecost100_rating2]]+Table1567891112131415[[#This Row],[failurecost50_rating2]]+Table1567891112131415[[#This Row],[failurecost10_rating2]])</f>
        <v>2983.2212283315062</v>
      </c>
      <c r="JS8" s="1">
        <f>(Table1567891112131415[[#This Row],[failurecost500_rating3]]+Table1567891112131415[[#This Row],[failurecost100_rating3]]+Table1567891112131415[[#This Row],[failurecost50_rating3]]+Table1567891112131415[[#This Row],[failurecost10_rating3]])</f>
        <v>656.30867023293149</v>
      </c>
      <c r="JT8" s="1">
        <f>(Table1567891112131415[[#This Row],[failurecost500_rating4]]+Table1567891112131415[[#This Row],[failurecost100_rating4]]+Table1567891112131415[[#This Row],[failurecost50_rating4]]+Table1567891112131415[[#This Row],[failurecost10_rating4]])</f>
        <v>238.65769826652053</v>
      </c>
      <c r="JU8" s="1">
        <f>(Table1567891112131415[[#This Row],[failurecost500_rating5]]+Table1567891112131415[[#This Row],[failurecost100_rating5]]+Table1567891112131415[[#This Row],[failurecost50_rating5]]+Table1567891112131415[[#This Row],[failurecost10_rating5]])</f>
        <v>41.765097196641079</v>
      </c>
      <c r="JV8" s="1">
        <f>(Table1567891112131415[[#This Row],[failurecost500_rating6]]+Table1567891112131415[[#This Row],[failurecost100_rating6]]+Table1567891112131415[[#This Row],[failurecost50_rating6]]+Table1567891112131415[[#This Row],[failurecost10_rating6]])</f>
        <v>10.739596421993424</v>
      </c>
      <c r="JW8" s="1">
        <f>(Table1567891112131415[[#This Row],[failurecost500_rating7]]+Table1567891112131415[[#This Row],[failurecost100_rating7]]+Table1567891112131415[[#This Row],[failurecost50_rating7]]+Table1567891112131415[[#This Row],[failurecost10_rating7]])</f>
        <v>10.739596421993424</v>
      </c>
      <c r="JX8" s="1">
        <f>(Table1567891112131415[[#This Row],[failurecost500_rating8]]+Table1567891112131415[[#This Row],[failurecost100_rating8]]+Table1567891112131415[[#This Row],[failurecost50_rating8]]+Table1567891112131415[[#This Row],[failurecost10_rating8]])</f>
        <v>0.2386576982665205</v>
      </c>
      <c r="JY8" s="1">
        <f>(Table1567891112131415[[#This Row],[failurecost500_rating9]]+Table1567891112131415[[#This Row],[failurecost100_rating9]]+Table1567891112131415[[#This Row],[failurecost50_rating9]]+Table1567891112131415[[#This Row],[failurecost10_rating9]])</f>
        <v>0.14916106141657531</v>
      </c>
    </row>
    <row r="9" spans="1:285" ht="28.8" x14ac:dyDescent="0.3">
      <c r="A9" s="1">
        <v>7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6829.712539120831</v>
      </c>
      <c r="AR9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7284.9335218547822</v>
      </c>
      <c r="AS9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7678.6049905512346</v>
      </c>
      <c r="AT9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9" s="1">
        <v>33.940409844568599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Sheet4!Q39*$GF9*1000000</f>
        <v>30169.253195172088</v>
      </c>
      <c r="GM9" s="1">
        <f>Sheet4!R39*$GF9*1000000</f>
        <v>16970.204922284302</v>
      </c>
      <c r="GN9" s="1">
        <f>Sheet4!S39*$GF9*1000000</f>
        <v>10860.931150261955</v>
      </c>
      <c r="GO9" s="1">
        <f>Sheet4!T39*$GF9*1000000</f>
        <v>7542.3132987930221</v>
      </c>
      <c r="GP9" s="1">
        <f>Sheet4!U39*$GF9*1000000</f>
        <v>5541.291403194874</v>
      </c>
      <c r="GQ9" s="1">
        <f>Sheet4!V39*$GF9*1000000</f>
        <v>4242.5512305710754</v>
      </c>
      <c r="GR9" s="1">
        <f>Sheet4!W39*$GF9*1000000</f>
        <v>3352.13924390801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0.01</v>
      </c>
      <c r="HF9" s="1">
        <v>1.25E-3</v>
      </c>
      <c r="HG9" s="1">
        <v>2.7500000000000002E-4</v>
      </c>
      <c r="HH9" s="1">
        <v>1E-4</v>
      </c>
      <c r="HI9" s="1">
        <v>1.7499999999999998E-5</v>
      </c>
      <c r="HJ9" s="1">
        <v>4.5000000000000001E-6</v>
      </c>
      <c r="HK9" s="1">
        <v>4.5000000000000001E-6</v>
      </c>
      <c r="HL9" s="1">
        <v>9.9999999999999995E-8</v>
      </c>
      <c r="HM9" s="1">
        <v>6.2499999999999997E-8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Table1567891112131415[[#This Row],[Total_Cost_MUSD]]*1000000*Table1567891112131415[[#This Row],[prob500-failure_rating1]]/500</f>
        <v>678.80819689137195</v>
      </c>
      <c r="IG9" s="1">
        <f>Table1567891112131415[[#This Row],[Total_Cost_MUSD]]*1000000*Table1567891112131415[[#This Row],[prob500-failure_rating2]]/500</f>
        <v>339.40409844568597</v>
      </c>
      <c r="IH9" s="1">
        <f>Table1567891112131415[[#This Row],[Total_Cost_MUSD]]*1000000*Table1567891112131415[[#This Row],[prob500-failure_rating3]]/500</f>
        <v>74.668901658050913</v>
      </c>
      <c r="II9" s="1">
        <f>Table1567891112131415[[#This Row],[Total_Cost_MUSD]]*1000000*Table1567891112131415[[#This Row],[prob500-failure_rating4]]/500</f>
        <v>27.15232787565488</v>
      </c>
      <c r="IJ9" s="1">
        <f>Table1567891112131415[[#This Row],[Total_Cost_MUSD]]*1000000*Table1567891112131415[[#This Row],[prob500-failure_rating5]]/500</f>
        <v>4.751657378239603</v>
      </c>
      <c r="IK9" s="1">
        <f>Table1567891112131415[[#This Row],[Total_Cost_MUSD]]*1000000*Table1567891112131415[[#This Row],[prob500-failure_rating6]]/500</f>
        <v>1.2218547544044696</v>
      </c>
      <c r="IL9" s="1">
        <f>Table1567891112131415[[#This Row],[Total_Cost_MUSD]]*1000000*Table1567891112131415[[#This Row],[prob500-failure_rating7]]/500</f>
        <v>1.2218547544044696</v>
      </c>
      <c r="IM9" s="1">
        <f>Table1567891112131415[[#This Row],[Total_Cost_MUSD]]*1000000*Table1567891112131415[[#This Row],[prob500-failure_rating8]]/500</f>
        <v>2.7152327875654875E-2</v>
      </c>
      <c r="IN9" s="1">
        <f>Table1567891112131415[[#This Row],[Total_Cost_MUSD]]*1000000*Table1567891112131415[[#This Row],[prob500-failure_rating9]]/500</f>
        <v>1.6970204922284297E-2</v>
      </c>
      <c r="IO9" s="1">
        <f>Table1567891112131415[[#This Row],[Total_Cost_MUSD]]*1000000*Table1567891112131415[[#This Row],[prob100-failure_rating1]]/100</f>
        <v>3394.0409844568599</v>
      </c>
      <c r="IP9" s="1">
        <f>Table1567891112131415[[#This Row],[Total_Cost_MUSD]]*1000000*Table1567891112131415[[#This Row],[prob100-failure_rating2]]/100</f>
        <v>424.25512305710748</v>
      </c>
      <c r="IQ9" s="1">
        <f>Table1567891112131415[[#This Row],[Total_Cost_MUSD]]*1000000*Table1567891112131415[[#This Row],[prob100-failure_rating3]]/100</f>
        <v>93.336127072563656</v>
      </c>
      <c r="IR9" s="1">
        <f>Table1567891112131415[[#This Row],[Total_Cost_MUSD]]*1000000*Table1567891112131415[[#This Row],[prob100-failure_rating4]]/100</f>
        <v>33.940409844568599</v>
      </c>
      <c r="IS9" s="1">
        <f>Table1567891112131415[[#This Row],[Total_Cost_MUSD]]*1000000*Table1567891112131415[[#This Row],[prob100-failure_rating5]]/100</f>
        <v>5.9395717227995029</v>
      </c>
      <c r="IT9" s="1">
        <f>Table1567891112131415[[#This Row],[Total_Cost_MUSD]]*1000000*Table1567891112131415[[#This Row],[prob100-failure_rating6]]/100</f>
        <v>1.5273184430055868</v>
      </c>
      <c r="IU9" s="1">
        <f>Table1567891112131415[[#This Row],[Total_Cost_MUSD]]*1000000*Table1567891112131415[[#This Row],[prob100-failure_rating7]]/100</f>
        <v>1.5273184430055868</v>
      </c>
      <c r="IV9" s="1">
        <f>Table1567891112131415[[#This Row],[Total_Cost_MUSD]]*1000000*Table1567891112131415[[#This Row],[prob100-failure_rating8]]/100</f>
        <v>3.3940409844568593E-2</v>
      </c>
      <c r="IW9" s="1">
        <f>Table1567891112131415[[#This Row],[Total_Cost_MUSD]]*1000000*Table1567891112131415[[#This Row],[prob100-failure_rating9]]/100</f>
        <v>2.121275615285537E-2</v>
      </c>
      <c r="IX9" s="1">
        <f>Table1567891112131415[[#This Row],[Total_Cost_MUSD]]*1000000*Table1567891112131415[[#This Row],[prob50-failure_rating1]]/50</f>
        <v>6788.0819689137197</v>
      </c>
      <c r="IY9" s="1">
        <f>Table1567891112131415[[#This Row],[Total_Cost_MUSD]]*1000000*Table1567891112131415[[#This Row],[prob50-failure_rating2]]/50</f>
        <v>565.67349740947657</v>
      </c>
      <c r="IZ9" s="1">
        <f>Table1567891112131415[[#This Row],[Total_Cost_MUSD]]*1000000*Table1567891112131415[[#This Row],[prob50-failure_rating3]]/50</f>
        <v>124.44816943008486</v>
      </c>
      <c r="JA9" s="1">
        <f>Table1567891112131415[[#This Row],[Total_Cost_MUSD]]*1000000*Table1567891112131415[[#This Row],[prob50-failure_rating4]]/50</f>
        <v>45.253879792758127</v>
      </c>
      <c r="JB9" s="1">
        <f>Table1567891112131415[[#This Row],[Total_Cost_MUSD]]*1000000*Table1567891112131415[[#This Row],[prob50-failure_rating5]]/50</f>
        <v>7.9194289637326722</v>
      </c>
      <c r="JC9" s="1">
        <f>Table1567891112131415[[#This Row],[Total_Cost_MUSD]]*1000000*Table1567891112131415[[#This Row],[prob50-failure_rating6]]/50</f>
        <v>2.0364245906741156</v>
      </c>
      <c r="JD9" s="1">
        <f>Table1567891112131415[[#This Row],[Total_Cost_MUSD]]*1000000*Table1567891112131415[[#This Row],[prob50-failure_rating7]]/50</f>
        <v>2.0364245906741156</v>
      </c>
      <c r="JE9" s="1">
        <f>Table1567891112131415[[#This Row],[Total_Cost_MUSD]]*1000000*Table1567891112131415[[#This Row],[prob50-failure_rating8]]/50</f>
        <v>4.5253879792758127E-2</v>
      </c>
      <c r="JF9" s="1">
        <f>Table1567891112131415[[#This Row],[Total_Cost_MUSD]]*1000000*Table1567891112131415[[#This Row],[prob50-failure_rating9]]/50</f>
        <v>2.8283674870473827E-2</v>
      </c>
      <c r="JG9" s="1">
        <f>Table1567891112131415[[#This Row],[Total_Cost_MUSD]]*1000000*Table1567891112131415[[#This Row],[prob10-failure_rating1]]/10</f>
        <v>33940.409844568596</v>
      </c>
      <c r="JH9" s="1">
        <f>Table1567891112131415[[#This Row],[Total_Cost_MUSD]]*1000000*Table1567891112131415[[#This Row],[prob10-failure_rating2]]/10</f>
        <v>1697.0204922284297</v>
      </c>
      <c r="JI9" s="1">
        <f>Table1567891112131415[[#This Row],[Total_Cost_MUSD]]*1000000*Table1567891112131415[[#This Row],[prob10-failure_rating3]]/10</f>
        <v>373.34450829025457</v>
      </c>
      <c r="JJ9" s="1">
        <f>Table1567891112131415[[#This Row],[Total_Cost_MUSD]]*1000000*Table1567891112131415[[#This Row],[prob10-failure_rating4]]/10</f>
        <v>135.7616393782744</v>
      </c>
      <c r="JK9" s="1">
        <f>Table1567891112131415[[#This Row],[Total_Cost_MUSD]]*1000000*Table1567891112131415[[#This Row],[prob10-failure_rating5]]/10</f>
        <v>23.758286891198015</v>
      </c>
      <c r="JL9" s="1">
        <f>Table1567891112131415[[#This Row],[Total_Cost_MUSD]]*1000000*Table1567891112131415[[#This Row],[prob10-failure_rating6]]/10</f>
        <v>6.1092737720223473</v>
      </c>
      <c r="JM9" s="1">
        <f>Table1567891112131415[[#This Row],[Total_Cost_MUSD]]*1000000*Table1567891112131415[[#This Row],[prob10-failure_rating7]]/10</f>
        <v>6.1092737720223473</v>
      </c>
      <c r="JN9" s="1">
        <f>Table1567891112131415[[#This Row],[Total_Cost_MUSD]]*1000000*Table1567891112131415[[#This Row],[prob10-failure_rating8]]/10</f>
        <v>0.1357616393782744</v>
      </c>
      <c r="JO9" s="1">
        <f>Table1567891112131415[[#This Row],[Total_Cost_MUSD]]*1000000*Table1567891112131415[[#This Row],[prob10-failure_rating9]]/10</f>
        <v>8.4851024611421494E-2</v>
      </c>
      <c r="JP9" s="1">
        <f>Table1567891112131415[[#This Row],[FailureCost_Rating1]]</f>
        <v>3026.3532111406998</v>
      </c>
      <c r="JQ9" s="1">
        <f>Table1567891112131415[[#This Row],[FailureCost_Rating2]]</f>
        <v>3026.3532111406998</v>
      </c>
      <c r="JR9" s="1">
        <f>(Table1567891112131415[[#This Row],[failurecost500_rating2]]+Table1567891112131415[[#This Row],[failurecost100_rating2]]+Table1567891112131415[[#This Row],[failurecost50_rating2]]+Table1567891112131415[[#This Row],[failurecost10_rating2]])</f>
        <v>3026.3532111406998</v>
      </c>
      <c r="JS9" s="1">
        <f>(Table1567891112131415[[#This Row],[failurecost500_rating3]]+Table1567891112131415[[#This Row],[failurecost100_rating3]]+Table1567891112131415[[#This Row],[failurecost50_rating3]]+Table1567891112131415[[#This Row],[failurecost10_rating3]])</f>
        <v>665.79770645095402</v>
      </c>
      <c r="JT9" s="1">
        <f>(Table1567891112131415[[#This Row],[failurecost500_rating4]]+Table1567891112131415[[#This Row],[failurecost100_rating4]]+Table1567891112131415[[#This Row],[failurecost50_rating4]]+Table1567891112131415[[#This Row],[failurecost10_rating4]])</f>
        <v>242.10825689125602</v>
      </c>
      <c r="JU9" s="1">
        <f>(Table1567891112131415[[#This Row],[failurecost500_rating5]]+Table1567891112131415[[#This Row],[failurecost100_rating5]]+Table1567891112131415[[#This Row],[failurecost50_rating5]]+Table1567891112131415[[#This Row],[failurecost10_rating5]])</f>
        <v>42.368944955969795</v>
      </c>
      <c r="JV9" s="1">
        <f>(Table1567891112131415[[#This Row],[failurecost500_rating6]]+Table1567891112131415[[#This Row],[failurecost100_rating6]]+Table1567891112131415[[#This Row],[failurecost50_rating6]]+Table1567891112131415[[#This Row],[failurecost10_rating6]])</f>
        <v>10.89487156010652</v>
      </c>
      <c r="JW9" s="1">
        <f>(Table1567891112131415[[#This Row],[failurecost500_rating7]]+Table1567891112131415[[#This Row],[failurecost100_rating7]]+Table1567891112131415[[#This Row],[failurecost50_rating7]]+Table1567891112131415[[#This Row],[failurecost10_rating7]])</f>
        <v>10.89487156010652</v>
      </c>
      <c r="JX9" s="1">
        <f>(Table1567891112131415[[#This Row],[failurecost500_rating8]]+Table1567891112131415[[#This Row],[failurecost100_rating8]]+Table1567891112131415[[#This Row],[failurecost50_rating8]]+Table1567891112131415[[#This Row],[failurecost10_rating8]])</f>
        <v>0.24210825689125601</v>
      </c>
      <c r="JY9" s="1">
        <f>(Table1567891112131415[[#This Row],[failurecost500_rating9]]+Table1567891112131415[[#This Row],[failurecost100_rating9]]+Table1567891112131415[[#This Row],[failurecost50_rating9]]+Table1567891112131415[[#This Row],[failurecost10_rating9]])</f>
        <v>0.15131766055703499</v>
      </c>
    </row>
    <row r="10" spans="1:285" ht="28.8" x14ac:dyDescent="0.3">
      <c r="A10" s="1">
        <v>8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2767.3671308174216</v>
      </c>
      <c r="AR10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2942.0444801705157</v>
      </c>
      <c r="AS10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3019.9468768096358</v>
      </c>
      <c r="AT10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10" s="1">
        <v>29.990993677157409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Sheet4!Q40*$GF10*1000000</f>
        <v>26658.661046362144</v>
      </c>
      <c r="GM10" s="1">
        <f>Sheet4!R40*$GF10*1000000</f>
        <v>14995.496838578705</v>
      </c>
      <c r="GN10" s="1">
        <f>Sheet4!S40*$GF10*1000000</f>
        <v>9597.1179766903733</v>
      </c>
      <c r="GO10" s="1">
        <f>Sheet4!T40*$GF10*1000000</f>
        <v>6664.6652615905359</v>
      </c>
      <c r="GP10" s="1">
        <f>Sheet4!U40*$GF10*1000000</f>
        <v>4896.4887636175363</v>
      </c>
      <c r="GQ10" s="1">
        <f>Sheet4!V40*$GF10*1000000</f>
        <v>3748.8742096446763</v>
      </c>
      <c r="GR10" s="1">
        <f>Sheet4!W40*$GF10*1000000</f>
        <v>2962.0734495957931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0.01</v>
      </c>
      <c r="HF10" s="1">
        <v>1.25E-3</v>
      </c>
      <c r="HG10" s="1">
        <v>2.7500000000000002E-4</v>
      </c>
      <c r="HH10" s="1">
        <v>1E-4</v>
      </c>
      <c r="HI10" s="1">
        <v>1.7499999999999998E-5</v>
      </c>
      <c r="HJ10" s="1">
        <v>4.5000000000000001E-6</v>
      </c>
      <c r="HK10" s="1">
        <v>4.5000000000000001E-6</v>
      </c>
      <c r="HL10" s="1">
        <v>9.9999999999999995E-8</v>
      </c>
      <c r="HM10" s="1">
        <v>6.2499999999999997E-8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Table1567891112131415[[#This Row],[Total_Cost_MUSD]]*1000000*Table1567891112131415[[#This Row],[prob500-failure_rating1]]/500</f>
        <v>599.81987354314811</v>
      </c>
      <c r="IG10" s="1">
        <f>Table1567891112131415[[#This Row],[Total_Cost_MUSD]]*1000000*Table1567891112131415[[#This Row],[prob500-failure_rating2]]/500</f>
        <v>299.90993677157405</v>
      </c>
      <c r="IH10" s="1">
        <f>Table1567891112131415[[#This Row],[Total_Cost_MUSD]]*1000000*Table1567891112131415[[#This Row],[prob500-failure_rating3]]/500</f>
        <v>65.980186089746311</v>
      </c>
      <c r="II10" s="1">
        <f>Table1567891112131415[[#This Row],[Total_Cost_MUSD]]*1000000*Table1567891112131415[[#This Row],[prob500-failure_rating4]]/500</f>
        <v>23.992794941725929</v>
      </c>
      <c r="IJ10" s="1">
        <f>Table1567891112131415[[#This Row],[Total_Cost_MUSD]]*1000000*Table1567891112131415[[#This Row],[prob500-failure_rating5]]/500</f>
        <v>4.198739114802037</v>
      </c>
      <c r="IK10" s="1">
        <f>Table1567891112131415[[#This Row],[Total_Cost_MUSD]]*1000000*Table1567891112131415[[#This Row],[prob500-failure_rating6]]/500</f>
        <v>1.0796757723776669</v>
      </c>
      <c r="IL10" s="1">
        <f>Table1567891112131415[[#This Row],[Total_Cost_MUSD]]*1000000*Table1567891112131415[[#This Row],[prob500-failure_rating7]]/500</f>
        <v>1.0796757723776669</v>
      </c>
      <c r="IM10" s="1">
        <f>Table1567891112131415[[#This Row],[Total_Cost_MUSD]]*1000000*Table1567891112131415[[#This Row],[prob500-failure_rating8]]/500</f>
        <v>2.3992794941725924E-2</v>
      </c>
      <c r="IN10" s="1">
        <f>Table1567891112131415[[#This Row],[Total_Cost_MUSD]]*1000000*Table1567891112131415[[#This Row],[prob500-failure_rating9]]/500</f>
        <v>1.4995496838578705E-2</v>
      </c>
      <c r="IO10" s="1">
        <f>Table1567891112131415[[#This Row],[Total_Cost_MUSD]]*1000000*Table1567891112131415[[#This Row],[prob100-failure_rating1]]/100</f>
        <v>2999.0993677157408</v>
      </c>
      <c r="IP10" s="1">
        <f>Table1567891112131415[[#This Row],[Total_Cost_MUSD]]*1000000*Table1567891112131415[[#This Row],[prob100-failure_rating2]]/100</f>
        <v>374.88742096446759</v>
      </c>
      <c r="IQ10" s="1">
        <f>Table1567891112131415[[#This Row],[Total_Cost_MUSD]]*1000000*Table1567891112131415[[#This Row],[prob100-failure_rating3]]/100</f>
        <v>82.475232612182879</v>
      </c>
      <c r="IR10" s="1">
        <f>Table1567891112131415[[#This Row],[Total_Cost_MUSD]]*1000000*Table1567891112131415[[#This Row],[prob100-failure_rating4]]/100</f>
        <v>29.990993677157412</v>
      </c>
      <c r="IS10" s="1">
        <f>Table1567891112131415[[#This Row],[Total_Cost_MUSD]]*1000000*Table1567891112131415[[#This Row],[prob100-failure_rating5]]/100</f>
        <v>5.2484238935025465</v>
      </c>
      <c r="IT10" s="1">
        <f>Table1567891112131415[[#This Row],[Total_Cost_MUSD]]*1000000*Table1567891112131415[[#This Row],[prob100-failure_rating6]]/100</f>
        <v>1.3495947154720835</v>
      </c>
      <c r="IU10" s="1">
        <f>Table1567891112131415[[#This Row],[Total_Cost_MUSD]]*1000000*Table1567891112131415[[#This Row],[prob100-failure_rating7]]/100</f>
        <v>1.3495947154720835</v>
      </c>
      <c r="IV10" s="1">
        <f>Table1567891112131415[[#This Row],[Total_Cost_MUSD]]*1000000*Table1567891112131415[[#This Row],[prob100-failure_rating8]]/100</f>
        <v>2.9990993677157407E-2</v>
      </c>
      <c r="IW10" s="1">
        <f>Table1567891112131415[[#This Row],[Total_Cost_MUSD]]*1000000*Table1567891112131415[[#This Row],[prob100-failure_rating9]]/100</f>
        <v>1.8744371048223379E-2</v>
      </c>
      <c r="IX10" s="1">
        <f>Table1567891112131415[[#This Row],[Total_Cost_MUSD]]*1000000*Table1567891112131415[[#This Row],[prob50-failure_rating1]]/50</f>
        <v>5998.1987354314815</v>
      </c>
      <c r="IY10" s="1">
        <f>Table1567891112131415[[#This Row],[Total_Cost_MUSD]]*1000000*Table1567891112131415[[#This Row],[prob50-failure_rating2]]/50</f>
        <v>499.84989461929018</v>
      </c>
      <c r="IZ10" s="1">
        <f>Table1567891112131415[[#This Row],[Total_Cost_MUSD]]*1000000*Table1567891112131415[[#This Row],[prob50-failure_rating3]]/50</f>
        <v>109.96697681624384</v>
      </c>
      <c r="JA10" s="1">
        <f>Table1567891112131415[[#This Row],[Total_Cost_MUSD]]*1000000*Table1567891112131415[[#This Row],[prob50-failure_rating4]]/50</f>
        <v>39.987991569543212</v>
      </c>
      <c r="JB10" s="1">
        <f>Table1567891112131415[[#This Row],[Total_Cost_MUSD]]*1000000*Table1567891112131415[[#This Row],[prob50-failure_rating5]]/50</f>
        <v>6.9978985246700622</v>
      </c>
      <c r="JC10" s="1">
        <f>Table1567891112131415[[#This Row],[Total_Cost_MUSD]]*1000000*Table1567891112131415[[#This Row],[prob50-failure_rating6]]/50</f>
        <v>1.7994596206294446</v>
      </c>
      <c r="JD10" s="1">
        <f>Table1567891112131415[[#This Row],[Total_Cost_MUSD]]*1000000*Table1567891112131415[[#This Row],[prob50-failure_rating7]]/50</f>
        <v>1.7994596206294446</v>
      </c>
      <c r="JE10" s="1">
        <f>Table1567891112131415[[#This Row],[Total_Cost_MUSD]]*1000000*Table1567891112131415[[#This Row],[prob50-failure_rating8]]/50</f>
        <v>3.9987991569543219E-2</v>
      </c>
      <c r="JF10" s="1">
        <f>Table1567891112131415[[#This Row],[Total_Cost_MUSD]]*1000000*Table1567891112131415[[#This Row],[prob50-failure_rating9]]/50</f>
        <v>2.4992494730964508E-2</v>
      </c>
      <c r="JG10" s="1">
        <f>Table1567891112131415[[#This Row],[Total_Cost_MUSD]]*1000000*Table1567891112131415[[#This Row],[prob10-failure_rating1]]/10</f>
        <v>29990.993677157407</v>
      </c>
      <c r="JH10" s="1">
        <f>Table1567891112131415[[#This Row],[Total_Cost_MUSD]]*1000000*Table1567891112131415[[#This Row],[prob10-failure_rating2]]/10</f>
        <v>1499.5496838578706</v>
      </c>
      <c r="JI10" s="1">
        <f>Table1567891112131415[[#This Row],[Total_Cost_MUSD]]*1000000*Table1567891112131415[[#This Row],[prob10-failure_rating3]]/10</f>
        <v>329.90093044873151</v>
      </c>
      <c r="JJ10" s="1">
        <f>Table1567891112131415[[#This Row],[Total_Cost_MUSD]]*1000000*Table1567891112131415[[#This Row],[prob10-failure_rating4]]/10</f>
        <v>119.96397470862965</v>
      </c>
      <c r="JK10" s="1">
        <f>Table1567891112131415[[#This Row],[Total_Cost_MUSD]]*1000000*Table1567891112131415[[#This Row],[prob10-failure_rating5]]/10</f>
        <v>20.993695574010182</v>
      </c>
      <c r="JL10" s="1">
        <f>Table1567891112131415[[#This Row],[Total_Cost_MUSD]]*1000000*Table1567891112131415[[#This Row],[prob10-failure_rating6]]/10</f>
        <v>5.3983788618883342</v>
      </c>
      <c r="JM10" s="1">
        <f>Table1567891112131415[[#This Row],[Total_Cost_MUSD]]*1000000*Table1567891112131415[[#This Row],[prob10-failure_rating7]]/10</f>
        <v>5.3983788618883342</v>
      </c>
      <c r="JN10" s="1">
        <f>Table1567891112131415[[#This Row],[Total_Cost_MUSD]]*1000000*Table1567891112131415[[#This Row],[prob10-failure_rating8]]/10</f>
        <v>0.11996397470862966</v>
      </c>
      <c r="JO10" s="1">
        <f>Table1567891112131415[[#This Row],[Total_Cost_MUSD]]*1000000*Table1567891112131415[[#This Row],[prob10-failure_rating9]]/10</f>
        <v>7.4977484192893518E-2</v>
      </c>
      <c r="JP10" s="1">
        <f>Table1567891112131415[[#This Row],[FailureCost_Rating1]]</f>
        <v>2674.1969362132022</v>
      </c>
      <c r="JQ10" s="1">
        <f>Table1567891112131415[[#This Row],[FailureCost_Rating2]]</f>
        <v>2674.1969362132022</v>
      </c>
      <c r="JR10" s="1">
        <f>(Table1567891112131415[[#This Row],[failurecost500_rating2]]+Table1567891112131415[[#This Row],[failurecost100_rating2]]+Table1567891112131415[[#This Row],[failurecost50_rating2]]+Table1567891112131415[[#This Row],[failurecost10_rating2]])</f>
        <v>2674.1969362132022</v>
      </c>
      <c r="JS10" s="1">
        <f>(Table1567891112131415[[#This Row],[failurecost500_rating3]]+Table1567891112131415[[#This Row],[failurecost100_rating3]]+Table1567891112131415[[#This Row],[failurecost50_rating3]]+Table1567891112131415[[#This Row],[failurecost10_rating3]])</f>
        <v>588.32332596690458</v>
      </c>
      <c r="JT10" s="1">
        <f>(Table1567891112131415[[#This Row],[failurecost500_rating4]]+Table1567891112131415[[#This Row],[failurecost100_rating4]]+Table1567891112131415[[#This Row],[failurecost50_rating4]]+Table1567891112131415[[#This Row],[failurecost10_rating4]])</f>
        <v>213.9357548970562</v>
      </c>
      <c r="JU10" s="1">
        <f>(Table1567891112131415[[#This Row],[failurecost500_rating5]]+Table1567891112131415[[#This Row],[failurecost100_rating5]]+Table1567891112131415[[#This Row],[failurecost50_rating5]]+Table1567891112131415[[#This Row],[failurecost10_rating5]])</f>
        <v>37.438757106984824</v>
      </c>
      <c r="JV10" s="1">
        <f>(Table1567891112131415[[#This Row],[failurecost500_rating6]]+Table1567891112131415[[#This Row],[failurecost100_rating6]]+Table1567891112131415[[#This Row],[failurecost50_rating6]]+Table1567891112131415[[#This Row],[failurecost10_rating6]])</f>
        <v>9.6271089703675301</v>
      </c>
      <c r="JW10" s="1">
        <f>(Table1567891112131415[[#This Row],[failurecost500_rating7]]+Table1567891112131415[[#This Row],[failurecost100_rating7]]+Table1567891112131415[[#This Row],[failurecost50_rating7]]+Table1567891112131415[[#This Row],[failurecost10_rating7]])</f>
        <v>9.6271089703675301</v>
      </c>
      <c r="JX10" s="1">
        <f>(Table1567891112131415[[#This Row],[failurecost500_rating8]]+Table1567891112131415[[#This Row],[failurecost100_rating8]]+Table1567891112131415[[#This Row],[failurecost50_rating8]]+Table1567891112131415[[#This Row],[failurecost10_rating8]])</f>
        <v>0.21393575489705621</v>
      </c>
      <c r="JY10" s="1">
        <f>(Table1567891112131415[[#This Row],[failurecost500_rating9]]+Table1567891112131415[[#This Row],[failurecost100_rating9]]+Table1567891112131415[[#This Row],[failurecost50_rating9]]+Table1567891112131415[[#This Row],[failurecost10_rating9]])</f>
        <v>0.13370984681066012</v>
      </c>
    </row>
    <row r="11" spans="1:285" ht="27.45" customHeight="1" x14ac:dyDescent="0.3">
      <c r="A11" s="1">
        <v>9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12912.070383440046</v>
      </c>
      <c r="AR11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13809.829327894035</v>
      </c>
      <c r="AS11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14209.20261771438</v>
      </c>
      <c r="AT11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11" s="1">
        <v>31.510817063682438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Sheet4!Q41*$GF11*1000000</f>
        <v>28009.615167717715</v>
      </c>
      <c r="GM11" s="1">
        <f>Sheet4!R41*$GF11*1000000</f>
        <v>15755.408531841218</v>
      </c>
      <c r="GN11" s="1">
        <f>Sheet4!S41*$GF11*1000000</f>
        <v>10083.461460378381</v>
      </c>
      <c r="GO11" s="1">
        <f>Sheet4!T41*$GF11*1000000</f>
        <v>7002.4037919294287</v>
      </c>
      <c r="GP11" s="1">
        <f>Sheet4!U41*$GF11*1000000</f>
        <v>5144.6231940706029</v>
      </c>
      <c r="GQ11" s="1">
        <f>Sheet4!V41*$GF11*1000000</f>
        <v>3938.8521329603045</v>
      </c>
      <c r="GR11" s="1">
        <f>Sheet4!W41*$GF11*1000000</f>
        <v>3112.1794630797467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0.01</v>
      </c>
      <c r="HF11" s="1">
        <v>1.25E-3</v>
      </c>
      <c r="HG11" s="1">
        <v>2.7500000000000002E-4</v>
      </c>
      <c r="HH11" s="1">
        <v>1E-4</v>
      </c>
      <c r="HI11" s="1">
        <v>1.7499999999999998E-5</v>
      </c>
      <c r="HJ11" s="1">
        <v>4.5000000000000001E-6</v>
      </c>
      <c r="HK11" s="1">
        <v>4.5000000000000001E-6</v>
      </c>
      <c r="HL11" s="1">
        <v>9.9999999999999995E-8</v>
      </c>
      <c r="HM11" s="1">
        <v>6.2499999999999997E-8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Table1567891112131415[[#This Row],[Total_Cost_MUSD]]*1000000*Table1567891112131415[[#This Row],[prob500-failure_rating1]]/500</f>
        <v>630.21634127364882</v>
      </c>
      <c r="IG11" s="1">
        <f>Table1567891112131415[[#This Row],[Total_Cost_MUSD]]*1000000*Table1567891112131415[[#This Row],[prob500-failure_rating2]]/500</f>
        <v>315.10817063682441</v>
      </c>
      <c r="IH11" s="1">
        <f>Table1567891112131415[[#This Row],[Total_Cost_MUSD]]*1000000*Table1567891112131415[[#This Row],[prob500-failure_rating3]]/500</f>
        <v>69.323797540101367</v>
      </c>
      <c r="II11" s="1">
        <f>Table1567891112131415[[#This Row],[Total_Cost_MUSD]]*1000000*Table1567891112131415[[#This Row],[prob500-failure_rating4]]/500</f>
        <v>25.208653650945951</v>
      </c>
      <c r="IJ11" s="1">
        <f>Table1567891112131415[[#This Row],[Total_Cost_MUSD]]*1000000*Table1567891112131415[[#This Row],[prob500-failure_rating5]]/500</f>
        <v>4.411514388915541</v>
      </c>
      <c r="IK11" s="1">
        <f>Table1567891112131415[[#This Row],[Total_Cost_MUSD]]*1000000*Table1567891112131415[[#This Row],[prob500-failure_rating6]]/500</f>
        <v>1.1343894142925679</v>
      </c>
      <c r="IL11" s="1">
        <f>Table1567891112131415[[#This Row],[Total_Cost_MUSD]]*1000000*Table1567891112131415[[#This Row],[prob500-failure_rating7]]/500</f>
        <v>1.1343894142925679</v>
      </c>
      <c r="IM11" s="1">
        <f>Table1567891112131415[[#This Row],[Total_Cost_MUSD]]*1000000*Table1567891112131415[[#This Row],[prob500-failure_rating8]]/500</f>
        <v>2.5208653650945947E-2</v>
      </c>
      <c r="IN11" s="1">
        <f>Table1567891112131415[[#This Row],[Total_Cost_MUSD]]*1000000*Table1567891112131415[[#This Row],[prob500-failure_rating9]]/500</f>
        <v>1.5755408531841219E-2</v>
      </c>
      <c r="IO11" s="1">
        <f>Table1567891112131415[[#This Row],[Total_Cost_MUSD]]*1000000*Table1567891112131415[[#This Row],[prob100-failure_rating1]]/100</f>
        <v>3151.0817063682439</v>
      </c>
      <c r="IP11" s="1">
        <f>Table1567891112131415[[#This Row],[Total_Cost_MUSD]]*1000000*Table1567891112131415[[#This Row],[prob100-failure_rating2]]/100</f>
        <v>393.88521329603049</v>
      </c>
      <c r="IQ11" s="1">
        <f>Table1567891112131415[[#This Row],[Total_Cost_MUSD]]*1000000*Table1567891112131415[[#This Row],[prob100-failure_rating3]]/100</f>
        <v>86.654746925126716</v>
      </c>
      <c r="IR11" s="1">
        <f>Table1567891112131415[[#This Row],[Total_Cost_MUSD]]*1000000*Table1567891112131415[[#This Row],[prob100-failure_rating4]]/100</f>
        <v>31.510817063682438</v>
      </c>
      <c r="IS11" s="1">
        <f>Table1567891112131415[[#This Row],[Total_Cost_MUSD]]*1000000*Table1567891112131415[[#This Row],[prob100-failure_rating5]]/100</f>
        <v>5.5143929861444256</v>
      </c>
      <c r="IT11" s="1">
        <f>Table1567891112131415[[#This Row],[Total_Cost_MUSD]]*1000000*Table1567891112131415[[#This Row],[prob100-failure_rating6]]/100</f>
        <v>1.4179867678657099</v>
      </c>
      <c r="IU11" s="1">
        <f>Table1567891112131415[[#This Row],[Total_Cost_MUSD]]*1000000*Table1567891112131415[[#This Row],[prob100-failure_rating7]]/100</f>
        <v>1.4179867678657099</v>
      </c>
      <c r="IV11" s="1">
        <f>Table1567891112131415[[#This Row],[Total_Cost_MUSD]]*1000000*Table1567891112131415[[#This Row],[prob100-failure_rating8]]/100</f>
        <v>3.1510817063682438E-2</v>
      </c>
      <c r="IW11" s="1">
        <f>Table1567891112131415[[#This Row],[Total_Cost_MUSD]]*1000000*Table1567891112131415[[#This Row],[prob100-failure_rating9]]/100</f>
        <v>1.9694260664801521E-2</v>
      </c>
      <c r="IX11" s="1">
        <f>Table1567891112131415[[#This Row],[Total_Cost_MUSD]]*1000000*Table1567891112131415[[#This Row],[prob50-failure_rating1]]/50</f>
        <v>6302.1634127364878</v>
      </c>
      <c r="IY11" s="1">
        <f>Table1567891112131415[[#This Row],[Total_Cost_MUSD]]*1000000*Table1567891112131415[[#This Row],[prob50-failure_rating2]]/50</f>
        <v>525.18028439470731</v>
      </c>
      <c r="IZ11" s="1">
        <f>Table1567891112131415[[#This Row],[Total_Cost_MUSD]]*1000000*Table1567891112131415[[#This Row],[prob50-failure_rating3]]/50</f>
        <v>115.5396625668356</v>
      </c>
      <c r="JA11" s="1">
        <f>Table1567891112131415[[#This Row],[Total_Cost_MUSD]]*1000000*Table1567891112131415[[#This Row],[prob50-failure_rating4]]/50</f>
        <v>42.014422751576582</v>
      </c>
      <c r="JB11" s="1">
        <f>Table1567891112131415[[#This Row],[Total_Cost_MUSD]]*1000000*Table1567891112131415[[#This Row],[prob50-failure_rating5]]/50</f>
        <v>7.352523981525902</v>
      </c>
      <c r="JC11" s="1">
        <f>Table1567891112131415[[#This Row],[Total_Cost_MUSD]]*1000000*Table1567891112131415[[#This Row],[prob50-failure_rating6]]/50</f>
        <v>1.8906490238209464</v>
      </c>
      <c r="JD11" s="1">
        <f>Table1567891112131415[[#This Row],[Total_Cost_MUSD]]*1000000*Table1567891112131415[[#This Row],[prob50-failure_rating7]]/50</f>
        <v>1.8906490238209464</v>
      </c>
      <c r="JE11" s="1">
        <f>Table1567891112131415[[#This Row],[Total_Cost_MUSD]]*1000000*Table1567891112131415[[#This Row],[prob50-failure_rating8]]/50</f>
        <v>4.2014422751576588E-2</v>
      </c>
      <c r="JF11" s="1">
        <f>Table1567891112131415[[#This Row],[Total_Cost_MUSD]]*1000000*Table1567891112131415[[#This Row],[prob50-failure_rating9]]/50</f>
        <v>2.6259014219735363E-2</v>
      </c>
      <c r="JG11" s="1">
        <f>Table1567891112131415[[#This Row],[Total_Cost_MUSD]]*1000000*Table1567891112131415[[#This Row],[prob10-failure_rating1]]/10</f>
        <v>31510.81706368244</v>
      </c>
      <c r="JH11" s="1">
        <f>Table1567891112131415[[#This Row],[Total_Cost_MUSD]]*1000000*Table1567891112131415[[#This Row],[prob10-failure_rating2]]/10</f>
        <v>1575.5408531841217</v>
      </c>
      <c r="JI11" s="1">
        <f>Table1567891112131415[[#This Row],[Total_Cost_MUSD]]*1000000*Table1567891112131415[[#This Row],[prob10-failure_rating3]]/10</f>
        <v>346.61898770050686</v>
      </c>
      <c r="JJ11" s="1">
        <f>Table1567891112131415[[#This Row],[Total_Cost_MUSD]]*1000000*Table1567891112131415[[#This Row],[prob10-failure_rating4]]/10</f>
        <v>126.04326825472977</v>
      </c>
      <c r="JK11" s="1">
        <f>Table1567891112131415[[#This Row],[Total_Cost_MUSD]]*1000000*Table1567891112131415[[#This Row],[prob10-failure_rating5]]/10</f>
        <v>22.057571944577703</v>
      </c>
      <c r="JL11" s="1">
        <f>Table1567891112131415[[#This Row],[Total_Cost_MUSD]]*1000000*Table1567891112131415[[#This Row],[prob10-failure_rating6]]/10</f>
        <v>5.6719470714628395</v>
      </c>
      <c r="JM11" s="1">
        <f>Table1567891112131415[[#This Row],[Total_Cost_MUSD]]*1000000*Table1567891112131415[[#This Row],[prob10-failure_rating7]]/10</f>
        <v>5.6719470714628395</v>
      </c>
      <c r="JN11" s="1">
        <f>Table1567891112131415[[#This Row],[Total_Cost_MUSD]]*1000000*Table1567891112131415[[#This Row],[prob10-failure_rating8]]/10</f>
        <v>0.12604326825472975</v>
      </c>
      <c r="JO11" s="1">
        <f>Table1567891112131415[[#This Row],[Total_Cost_MUSD]]*1000000*Table1567891112131415[[#This Row],[prob10-failure_rating9]]/10</f>
        <v>7.8777042659206084E-2</v>
      </c>
      <c r="JP11" s="1">
        <f>Table1567891112131415[[#This Row],[FailureCost_Rating1]]</f>
        <v>2809.7145215116839</v>
      </c>
      <c r="JQ11" s="1">
        <f>Table1567891112131415[[#This Row],[FailureCost_Rating2]]</f>
        <v>2809.7145215116839</v>
      </c>
      <c r="JR11" s="1">
        <f>(Table1567891112131415[[#This Row],[failurecost500_rating2]]+Table1567891112131415[[#This Row],[failurecost100_rating2]]+Table1567891112131415[[#This Row],[failurecost50_rating2]]+Table1567891112131415[[#This Row],[failurecost10_rating2]])</f>
        <v>2809.7145215116839</v>
      </c>
      <c r="JS11" s="1">
        <f>(Table1567891112131415[[#This Row],[failurecost500_rating3]]+Table1567891112131415[[#This Row],[failurecost100_rating3]]+Table1567891112131415[[#This Row],[failurecost50_rating3]]+Table1567891112131415[[#This Row],[failurecost10_rating3]])</f>
        <v>618.13719473257061</v>
      </c>
      <c r="JT11" s="1">
        <f>(Table1567891112131415[[#This Row],[failurecost500_rating4]]+Table1567891112131415[[#This Row],[failurecost100_rating4]]+Table1567891112131415[[#This Row],[failurecost50_rating4]]+Table1567891112131415[[#This Row],[failurecost10_rating4]])</f>
        <v>224.77716172093471</v>
      </c>
      <c r="JU11" s="1">
        <f>(Table1567891112131415[[#This Row],[failurecost500_rating5]]+Table1567891112131415[[#This Row],[failurecost100_rating5]]+Table1567891112131415[[#This Row],[failurecost50_rating5]]+Table1567891112131415[[#This Row],[failurecost10_rating5]])</f>
        <v>39.336003301163572</v>
      </c>
      <c r="JV11" s="1">
        <f>(Table1567891112131415[[#This Row],[failurecost500_rating6]]+Table1567891112131415[[#This Row],[failurecost100_rating6]]+Table1567891112131415[[#This Row],[failurecost50_rating6]]+Table1567891112131415[[#This Row],[failurecost10_rating6]])</f>
        <v>10.114972277442064</v>
      </c>
      <c r="JW11" s="1">
        <f>(Table1567891112131415[[#This Row],[failurecost500_rating7]]+Table1567891112131415[[#This Row],[failurecost100_rating7]]+Table1567891112131415[[#This Row],[failurecost50_rating7]]+Table1567891112131415[[#This Row],[failurecost10_rating7]])</f>
        <v>10.114972277442064</v>
      </c>
      <c r="JX11" s="1">
        <f>(Table1567891112131415[[#This Row],[failurecost500_rating8]]+Table1567891112131415[[#This Row],[failurecost100_rating8]]+Table1567891112131415[[#This Row],[failurecost50_rating8]]+Table1567891112131415[[#This Row],[failurecost10_rating8]])</f>
        <v>0.22477716172093473</v>
      </c>
      <c r="JY11" s="1">
        <f>(Table1567891112131415[[#This Row],[failurecost500_rating9]]+Table1567891112131415[[#This Row],[failurecost100_rating9]]+Table1567891112131415[[#This Row],[failurecost50_rating9]]+Table1567891112131415[[#This Row],[failurecost10_rating9]])</f>
        <v>0.14048572607558418</v>
      </c>
    </row>
    <row r="12" spans="1:285" ht="28.8" x14ac:dyDescent="0.3">
      <c r="A12" s="1">
        <v>10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6737.4062355001524</v>
      </c>
      <c r="AR12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7415.8873465101096</v>
      </c>
      <c r="AS12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7705.9386938101106</v>
      </c>
      <c r="AT12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12" s="1">
        <v>40.629261609140507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Sheet4!Q42*$GF12*1000000</f>
        <v>36114.899208124887</v>
      </c>
      <c r="GM12" s="1">
        <f>Sheet4!R42*$GF12*1000000</f>
        <v>20314.630804570254</v>
      </c>
      <c r="GN12" s="1">
        <f>Sheet4!S42*$GF12*1000000</f>
        <v>13001.363714924961</v>
      </c>
      <c r="GO12" s="1">
        <f>Sheet4!T42*$GF12*1000000</f>
        <v>9028.7248020312218</v>
      </c>
      <c r="GP12" s="1">
        <f>Sheet4!U42*$GF12*1000000</f>
        <v>6633.3488341453876</v>
      </c>
      <c r="GQ12" s="1">
        <f>Sheet4!V42*$GF12*1000000</f>
        <v>5078.6577011425634</v>
      </c>
      <c r="GR12" s="1">
        <f>Sheet4!W42*$GF12*1000000</f>
        <v>4012.7665786805437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0.01</v>
      </c>
      <c r="HF12" s="1">
        <v>1.25E-3</v>
      </c>
      <c r="HG12" s="1">
        <v>2.7500000000000002E-4</v>
      </c>
      <c r="HH12" s="1">
        <v>1E-4</v>
      </c>
      <c r="HI12" s="1">
        <v>1.7499999999999998E-5</v>
      </c>
      <c r="HJ12" s="1">
        <v>4.5000000000000001E-6</v>
      </c>
      <c r="HK12" s="1">
        <v>4.5000000000000001E-6</v>
      </c>
      <c r="HL12" s="1">
        <v>9.9999999999999995E-8</v>
      </c>
      <c r="HM12" s="1">
        <v>6.2499999999999997E-8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Table1567891112131415[[#This Row],[Total_Cost_MUSD]]*1000000*Table1567891112131415[[#This Row],[prob500-failure_rating1]]/500</f>
        <v>812.58523218281016</v>
      </c>
      <c r="IG12" s="1">
        <f>Table1567891112131415[[#This Row],[Total_Cost_MUSD]]*1000000*Table1567891112131415[[#This Row],[prob500-failure_rating2]]/500</f>
        <v>406.29261609140508</v>
      </c>
      <c r="IH12" s="1">
        <f>Table1567891112131415[[#This Row],[Total_Cost_MUSD]]*1000000*Table1567891112131415[[#This Row],[prob500-failure_rating3]]/500</f>
        <v>89.384375540109119</v>
      </c>
      <c r="II12" s="1">
        <f>Table1567891112131415[[#This Row],[Total_Cost_MUSD]]*1000000*Table1567891112131415[[#This Row],[prob500-failure_rating4]]/500</f>
        <v>32.503409287312408</v>
      </c>
      <c r="IJ12" s="1">
        <f>Table1567891112131415[[#This Row],[Total_Cost_MUSD]]*1000000*Table1567891112131415[[#This Row],[prob500-failure_rating5]]/500</f>
        <v>5.6880966252796705</v>
      </c>
      <c r="IK12" s="1">
        <f>Table1567891112131415[[#This Row],[Total_Cost_MUSD]]*1000000*Table1567891112131415[[#This Row],[prob500-failure_rating6]]/500</f>
        <v>1.4626534179290585</v>
      </c>
      <c r="IL12" s="1">
        <f>Table1567891112131415[[#This Row],[Total_Cost_MUSD]]*1000000*Table1567891112131415[[#This Row],[prob500-failure_rating7]]/500</f>
        <v>1.4626534179290585</v>
      </c>
      <c r="IM12" s="1">
        <f>Table1567891112131415[[#This Row],[Total_Cost_MUSD]]*1000000*Table1567891112131415[[#This Row],[prob500-failure_rating8]]/500</f>
        <v>3.2503409287312407E-2</v>
      </c>
      <c r="IN12" s="1">
        <f>Table1567891112131415[[#This Row],[Total_Cost_MUSD]]*1000000*Table1567891112131415[[#This Row],[prob500-failure_rating9]]/500</f>
        <v>2.0314630804570254E-2</v>
      </c>
      <c r="IO12" s="1">
        <f>Table1567891112131415[[#This Row],[Total_Cost_MUSD]]*1000000*Table1567891112131415[[#This Row],[prob100-failure_rating1]]/100</f>
        <v>4062.9261609140508</v>
      </c>
      <c r="IP12" s="1">
        <f>Table1567891112131415[[#This Row],[Total_Cost_MUSD]]*1000000*Table1567891112131415[[#This Row],[prob100-failure_rating2]]/100</f>
        <v>507.86577011425635</v>
      </c>
      <c r="IQ12" s="1">
        <f>Table1567891112131415[[#This Row],[Total_Cost_MUSD]]*1000000*Table1567891112131415[[#This Row],[prob100-failure_rating3]]/100</f>
        <v>111.73046942513639</v>
      </c>
      <c r="IR12" s="1">
        <f>Table1567891112131415[[#This Row],[Total_Cost_MUSD]]*1000000*Table1567891112131415[[#This Row],[prob100-failure_rating4]]/100</f>
        <v>40.629261609140507</v>
      </c>
      <c r="IS12" s="1">
        <f>Table1567891112131415[[#This Row],[Total_Cost_MUSD]]*1000000*Table1567891112131415[[#This Row],[prob100-failure_rating5]]/100</f>
        <v>7.1101207815995879</v>
      </c>
      <c r="IT12" s="1">
        <f>Table1567891112131415[[#This Row],[Total_Cost_MUSD]]*1000000*Table1567891112131415[[#This Row],[prob100-failure_rating6]]/100</f>
        <v>1.828316772411323</v>
      </c>
      <c r="IU12" s="1">
        <f>Table1567891112131415[[#This Row],[Total_Cost_MUSD]]*1000000*Table1567891112131415[[#This Row],[prob100-failure_rating7]]/100</f>
        <v>1.828316772411323</v>
      </c>
      <c r="IV12" s="1">
        <f>Table1567891112131415[[#This Row],[Total_Cost_MUSD]]*1000000*Table1567891112131415[[#This Row],[prob100-failure_rating8]]/100</f>
        <v>4.0629261609140509E-2</v>
      </c>
      <c r="IW12" s="1">
        <f>Table1567891112131415[[#This Row],[Total_Cost_MUSD]]*1000000*Table1567891112131415[[#This Row],[prob100-failure_rating9]]/100</f>
        <v>2.5393288505712815E-2</v>
      </c>
      <c r="IX12" s="1">
        <f>Table1567891112131415[[#This Row],[Total_Cost_MUSD]]*1000000*Table1567891112131415[[#This Row],[prob50-failure_rating1]]/50</f>
        <v>8125.8523218281016</v>
      </c>
      <c r="IY12" s="1">
        <f>Table1567891112131415[[#This Row],[Total_Cost_MUSD]]*1000000*Table1567891112131415[[#This Row],[prob50-failure_rating2]]/50</f>
        <v>677.15436015234184</v>
      </c>
      <c r="IZ12" s="1">
        <f>Table1567891112131415[[#This Row],[Total_Cost_MUSD]]*1000000*Table1567891112131415[[#This Row],[prob50-failure_rating3]]/50</f>
        <v>148.97395923351519</v>
      </c>
      <c r="JA12" s="1">
        <f>Table1567891112131415[[#This Row],[Total_Cost_MUSD]]*1000000*Table1567891112131415[[#This Row],[prob50-failure_rating4]]/50</f>
        <v>54.172348812187344</v>
      </c>
      <c r="JB12" s="1">
        <f>Table1567891112131415[[#This Row],[Total_Cost_MUSD]]*1000000*Table1567891112131415[[#This Row],[prob50-failure_rating5]]/50</f>
        <v>9.4801610421327851</v>
      </c>
      <c r="JC12" s="1">
        <f>Table1567891112131415[[#This Row],[Total_Cost_MUSD]]*1000000*Table1567891112131415[[#This Row],[prob50-failure_rating6]]/50</f>
        <v>2.4377556965484306</v>
      </c>
      <c r="JD12" s="1">
        <f>Table1567891112131415[[#This Row],[Total_Cost_MUSD]]*1000000*Table1567891112131415[[#This Row],[prob50-failure_rating7]]/50</f>
        <v>2.4377556965484306</v>
      </c>
      <c r="JE12" s="1">
        <f>Table1567891112131415[[#This Row],[Total_Cost_MUSD]]*1000000*Table1567891112131415[[#This Row],[prob50-failure_rating8]]/50</f>
        <v>5.417234881218734E-2</v>
      </c>
      <c r="JF12" s="1">
        <f>Table1567891112131415[[#This Row],[Total_Cost_MUSD]]*1000000*Table1567891112131415[[#This Row],[prob50-failure_rating9]]/50</f>
        <v>3.3857718007617083E-2</v>
      </c>
      <c r="JG12" s="1">
        <f>Table1567891112131415[[#This Row],[Total_Cost_MUSD]]*1000000*Table1567891112131415[[#This Row],[prob10-failure_rating1]]/10</f>
        <v>40629.261609140507</v>
      </c>
      <c r="JH12" s="1">
        <f>Table1567891112131415[[#This Row],[Total_Cost_MUSD]]*1000000*Table1567891112131415[[#This Row],[prob10-failure_rating2]]/10</f>
        <v>2031.4630804570254</v>
      </c>
      <c r="JI12" s="1">
        <f>Table1567891112131415[[#This Row],[Total_Cost_MUSD]]*1000000*Table1567891112131415[[#This Row],[prob10-failure_rating3]]/10</f>
        <v>446.92187770054562</v>
      </c>
      <c r="JJ12" s="1">
        <f>Table1567891112131415[[#This Row],[Total_Cost_MUSD]]*1000000*Table1567891112131415[[#This Row],[prob10-failure_rating4]]/10</f>
        <v>162.51704643656205</v>
      </c>
      <c r="JK12" s="1">
        <f>Table1567891112131415[[#This Row],[Total_Cost_MUSD]]*1000000*Table1567891112131415[[#This Row],[prob10-failure_rating5]]/10</f>
        <v>28.440483126398352</v>
      </c>
      <c r="JL12" s="1">
        <f>Table1567891112131415[[#This Row],[Total_Cost_MUSD]]*1000000*Table1567891112131415[[#This Row],[prob10-failure_rating6]]/10</f>
        <v>7.3132670896452918</v>
      </c>
      <c r="JM12" s="1">
        <f>Table1567891112131415[[#This Row],[Total_Cost_MUSD]]*1000000*Table1567891112131415[[#This Row],[prob10-failure_rating7]]/10</f>
        <v>7.3132670896452918</v>
      </c>
      <c r="JN12" s="1">
        <f>Table1567891112131415[[#This Row],[Total_Cost_MUSD]]*1000000*Table1567891112131415[[#This Row],[prob10-failure_rating8]]/10</f>
        <v>0.16251704643656203</v>
      </c>
      <c r="JO12" s="1">
        <f>Table1567891112131415[[#This Row],[Total_Cost_MUSD]]*1000000*Table1567891112131415[[#This Row],[prob10-failure_rating9]]/10</f>
        <v>0.10157315402285128</v>
      </c>
      <c r="JP12" s="1">
        <f>Table1567891112131415[[#This Row],[FailureCost_Rating1]]</f>
        <v>3622.7758268150283</v>
      </c>
      <c r="JQ12" s="1">
        <f>Table1567891112131415[[#This Row],[FailureCost_Rating2]]</f>
        <v>3622.7758268150283</v>
      </c>
      <c r="JR12" s="1">
        <f>(Table1567891112131415[[#This Row],[failurecost500_rating2]]+Table1567891112131415[[#This Row],[failurecost100_rating2]]+Table1567891112131415[[#This Row],[failurecost50_rating2]]+Table1567891112131415[[#This Row],[failurecost10_rating2]])</f>
        <v>3622.7758268150283</v>
      </c>
      <c r="JS12" s="1">
        <f>(Table1567891112131415[[#This Row],[failurecost500_rating3]]+Table1567891112131415[[#This Row],[failurecost100_rating3]]+Table1567891112131415[[#This Row],[failurecost50_rating3]]+Table1567891112131415[[#This Row],[failurecost10_rating3]])</f>
        <v>797.01068189930629</v>
      </c>
      <c r="JT12" s="1">
        <f>(Table1567891112131415[[#This Row],[failurecost500_rating4]]+Table1567891112131415[[#This Row],[failurecost100_rating4]]+Table1567891112131415[[#This Row],[failurecost50_rating4]]+Table1567891112131415[[#This Row],[failurecost10_rating4]])</f>
        <v>289.82206614520231</v>
      </c>
      <c r="JU12" s="1">
        <f>(Table1567891112131415[[#This Row],[failurecost500_rating5]]+Table1567891112131415[[#This Row],[failurecost100_rating5]]+Table1567891112131415[[#This Row],[failurecost50_rating5]]+Table1567891112131415[[#This Row],[failurecost10_rating5]])</f>
        <v>50.718861575410401</v>
      </c>
      <c r="JV12" s="1">
        <f>(Table1567891112131415[[#This Row],[failurecost500_rating6]]+Table1567891112131415[[#This Row],[failurecost100_rating6]]+Table1567891112131415[[#This Row],[failurecost50_rating6]]+Table1567891112131415[[#This Row],[failurecost10_rating6]])</f>
        <v>13.041992976534104</v>
      </c>
      <c r="JW12" s="1">
        <f>(Table1567891112131415[[#This Row],[failurecost500_rating7]]+Table1567891112131415[[#This Row],[failurecost100_rating7]]+Table1567891112131415[[#This Row],[failurecost50_rating7]]+Table1567891112131415[[#This Row],[failurecost10_rating7]])</f>
        <v>13.041992976534104</v>
      </c>
      <c r="JX12" s="1">
        <f>(Table1567891112131415[[#This Row],[failurecost500_rating8]]+Table1567891112131415[[#This Row],[failurecost100_rating8]]+Table1567891112131415[[#This Row],[failurecost50_rating8]]+Table1567891112131415[[#This Row],[failurecost10_rating8]])</f>
        <v>0.28982206614520234</v>
      </c>
      <c r="JY12" s="1">
        <f>(Table1567891112131415[[#This Row],[failurecost500_rating9]]+Table1567891112131415[[#This Row],[failurecost100_rating9]]+Table1567891112131415[[#This Row],[failurecost50_rating9]]+Table1567891112131415[[#This Row],[failurecost10_rating9]])</f>
        <v>0.18113879134075142</v>
      </c>
    </row>
    <row r="13" spans="1:285" ht="28.8" x14ac:dyDescent="0.3">
      <c r="A13" s="1">
        <v>11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6992.666213599131</v>
      </c>
      <c r="AR13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8975.9969727162606</v>
      </c>
      <c r="AS13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9724.0394899581861</v>
      </c>
      <c r="AT13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</v>
      </c>
      <c r="GF13" s="1">
        <v>40.35369854504026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Sheet4!Q43*$GF13*1000000</f>
        <v>35869.954262258005</v>
      </c>
      <c r="GM13" s="1">
        <f>Sheet4!R43*$GF13*1000000</f>
        <v>20176.849272520132</v>
      </c>
      <c r="GN13" s="1">
        <f>Sheet4!S43*$GF13*1000000</f>
        <v>12913.183534412887</v>
      </c>
      <c r="GO13" s="1">
        <f>Sheet4!T43*$GF13*1000000</f>
        <v>8967.4885655645012</v>
      </c>
      <c r="GP13" s="1">
        <f>Sheet4!U43*$GF13*1000000</f>
        <v>6588.358946129023</v>
      </c>
      <c r="GQ13" s="1">
        <f>Sheet4!V43*$GF13*1000000</f>
        <v>5044.2123181300331</v>
      </c>
      <c r="GR13" s="1">
        <f>Sheet4!W43*$GF13*1000000</f>
        <v>3985.5504735842223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0.01</v>
      </c>
      <c r="HF13" s="1">
        <v>1.25E-3</v>
      </c>
      <c r="HG13" s="1">
        <v>2.7500000000000002E-4</v>
      </c>
      <c r="HH13" s="1">
        <v>1E-4</v>
      </c>
      <c r="HI13" s="1">
        <v>1.7499999999999998E-5</v>
      </c>
      <c r="HJ13" s="1">
        <v>4.5000000000000001E-6</v>
      </c>
      <c r="HK13" s="1">
        <v>4.5000000000000001E-6</v>
      </c>
      <c r="HL13" s="1">
        <v>9.9999999999999995E-8</v>
      </c>
      <c r="HM13" s="1">
        <v>6.2499999999999997E-8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Table1567891112131415[[#This Row],[Total_Cost_MUSD]]*1000000*Table1567891112131415[[#This Row],[prob500-failure_rating1]]/500</f>
        <v>807.07397090080519</v>
      </c>
      <c r="IG13" s="1">
        <f>Table1567891112131415[[#This Row],[Total_Cost_MUSD]]*1000000*Table1567891112131415[[#This Row],[prob500-failure_rating2]]/500</f>
        <v>403.5369854504026</v>
      </c>
      <c r="IH13" s="1">
        <f>Table1567891112131415[[#This Row],[Total_Cost_MUSD]]*1000000*Table1567891112131415[[#This Row],[prob500-failure_rating3]]/500</f>
        <v>88.778136799088571</v>
      </c>
      <c r="II13" s="1">
        <f>Table1567891112131415[[#This Row],[Total_Cost_MUSD]]*1000000*Table1567891112131415[[#This Row],[prob500-failure_rating4]]/500</f>
        <v>32.282958836032208</v>
      </c>
      <c r="IJ13" s="1">
        <f>Table1567891112131415[[#This Row],[Total_Cost_MUSD]]*1000000*Table1567891112131415[[#This Row],[prob500-failure_rating5]]/500</f>
        <v>5.649517796305636</v>
      </c>
      <c r="IK13" s="1">
        <f>Table1567891112131415[[#This Row],[Total_Cost_MUSD]]*1000000*Table1567891112131415[[#This Row],[prob500-failure_rating6]]/500</f>
        <v>1.4527331476214493</v>
      </c>
      <c r="IL13" s="1">
        <f>Table1567891112131415[[#This Row],[Total_Cost_MUSD]]*1000000*Table1567891112131415[[#This Row],[prob500-failure_rating7]]/500</f>
        <v>1.4527331476214493</v>
      </c>
      <c r="IM13" s="1">
        <f>Table1567891112131415[[#This Row],[Total_Cost_MUSD]]*1000000*Table1567891112131415[[#This Row],[prob500-failure_rating8]]/500</f>
        <v>3.2282958836032209E-2</v>
      </c>
      <c r="IN13" s="1">
        <f>Table1567891112131415[[#This Row],[Total_Cost_MUSD]]*1000000*Table1567891112131415[[#This Row],[prob500-failure_rating9]]/500</f>
        <v>2.0176849272520125E-2</v>
      </c>
      <c r="IO13" s="1">
        <f>Table1567891112131415[[#This Row],[Total_Cost_MUSD]]*1000000*Table1567891112131415[[#This Row],[prob100-failure_rating1]]/100</f>
        <v>4035.3698545040261</v>
      </c>
      <c r="IP13" s="1">
        <f>Table1567891112131415[[#This Row],[Total_Cost_MUSD]]*1000000*Table1567891112131415[[#This Row],[prob100-failure_rating2]]/100</f>
        <v>504.42123181300326</v>
      </c>
      <c r="IQ13" s="1">
        <f>Table1567891112131415[[#This Row],[Total_Cost_MUSD]]*1000000*Table1567891112131415[[#This Row],[prob100-failure_rating3]]/100</f>
        <v>110.97267099886072</v>
      </c>
      <c r="IR13" s="1">
        <f>Table1567891112131415[[#This Row],[Total_Cost_MUSD]]*1000000*Table1567891112131415[[#This Row],[prob100-failure_rating4]]/100</f>
        <v>40.35369854504026</v>
      </c>
      <c r="IS13" s="1">
        <f>Table1567891112131415[[#This Row],[Total_Cost_MUSD]]*1000000*Table1567891112131415[[#This Row],[prob100-failure_rating5]]/100</f>
        <v>7.0618972453820446</v>
      </c>
      <c r="IT13" s="1">
        <f>Table1567891112131415[[#This Row],[Total_Cost_MUSD]]*1000000*Table1567891112131415[[#This Row],[prob100-failure_rating6]]/100</f>
        <v>1.8159164345268115</v>
      </c>
      <c r="IU13" s="1">
        <f>Table1567891112131415[[#This Row],[Total_Cost_MUSD]]*1000000*Table1567891112131415[[#This Row],[prob100-failure_rating7]]/100</f>
        <v>1.8159164345268115</v>
      </c>
      <c r="IV13" s="1">
        <f>Table1567891112131415[[#This Row],[Total_Cost_MUSD]]*1000000*Table1567891112131415[[#This Row],[prob100-failure_rating8]]/100</f>
        <v>4.0353698545040256E-2</v>
      </c>
      <c r="IW13" s="1">
        <f>Table1567891112131415[[#This Row],[Total_Cost_MUSD]]*1000000*Table1567891112131415[[#This Row],[prob100-failure_rating9]]/100</f>
        <v>2.5221061590650157E-2</v>
      </c>
      <c r="IX13" s="1">
        <f>Table1567891112131415[[#This Row],[Total_Cost_MUSD]]*1000000*Table1567891112131415[[#This Row],[prob50-failure_rating1]]/50</f>
        <v>8070.7397090080522</v>
      </c>
      <c r="IY13" s="1">
        <f>Table1567891112131415[[#This Row],[Total_Cost_MUSD]]*1000000*Table1567891112131415[[#This Row],[prob50-failure_rating2]]/50</f>
        <v>672.56164241733768</v>
      </c>
      <c r="IZ13" s="1">
        <f>Table1567891112131415[[#This Row],[Total_Cost_MUSD]]*1000000*Table1567891112131415[[#This Row],[prob50-failure_rating3]]/50</f>
        <v>147.96356133181428</v>
      </c>
      <c r="JA13" s="1">
        <f>Table1567891112131415[[#This Row],[Total_Cost_MUSD]]*1000000*Table1567891112131415[[#This Row],[prob50-failure_rating4]]/50</f>
        <v>53.804931393387015</v>
      </c>
      <c r="JB13" s="1">
        <f>Table1567891112131415[[#This Row],[Total_Cost_MUSD]]*1000000*Table1567891112131415[[#This Row],[prob50-failure_rating5]]/50</f>
        <v>9.4158629938427261</v>
      </c>
      <c r="JC13" s="1">
        <f>Table1567891112131415[[#This Row],[Total_Cost_MUSD]]*1000000*Table1567891112131415[[#This Row],[prob50-failure_rating6]]/50</f>
        <v>2.4212219127024155</v>
      </c>
      <c r="JD13" s="1">
        <f>Table1567891112131415[[#This Row],[Total_Cost_MUSD]]*1000000*Table1567891112131415[[#This Row],[prob50-failure_rating7]]/50</f>
        <v>2.4212219127024155</v>
      </c>
      <c r="JE13" s="1">
        <f>Table1567891112131415[[#This Row],[Total_Cost_MUSD]]*1000000*Table1567891112131415[[#This Row],[prob50-failure_rating8]]/50</f>
        <v>5.3804931393387011E-2</v>
      </c>
      <c r="JF13" s="1">
        <f>Table1567891112131415[[#This Row],[Total_Cost_MUSD]]*1000000*Table1567891112131415[[#This Row],[prob50-failure_rating9]]/50</f>
        <v>3.3628082120866876E-2</v>
      </c>
      <c r="JG13" s="1">
        <f>Table1567891112131415[[#This Row],[Total_Cost_MUSD]]*1000000*Table1567891112131415[[#This Row],[prob10-failure_rating1]]/10</f>
        <v>40353.698545040257</v>
      </c>
      <c r="JH13" s="1">
        <f>Table1567891112131415[[#This Row],[Total_Cost_MUSD]]*1000000*Table1567891112131415[[#This Row],[prob10-failure_rating2]]/10</f>
        <v>2017.6849272520128</v>
      </c>
      <c r="JI13" s="1">
        <f>Table1567891112131415[[#This Row],[Total_Cost_MUSD]]*1000000*Table1567891112131415[[#This Row],[prob10-failure_rating3]]/10</f>
        <v>443.89068399544283</v>
      </c>
      <c r="JJ13" s="1">
        <f>Table1567891112131415[[#This Row],[Total_Cost_MUSD]]*1000000*Table1567891112131415[[#This Row],[prob10-failure_rating4]]/10</f>
        <v>161.41479418016104</v>
      </c>
      <c r="JK13" s="1">
        <f>Table1567891112131415[[#This Row],[Total_Cost_MUSD]]*1000000*Table1567891112131415[[#This Row],[prob10-failure_rating5]]/10</f>
        <v>28.247588981528178</v>
      </c>
      <c r="JL13" s="1">
        <f>Table1567891112131415[[#This Row],[Total_Cost_MUSD]]*1000000*Table1567891112131415[[#This Row],[prob10-failure_rating6]]/10</f>
        <v>7.2636657381072469</v>
      </c>
      <c r="JM13" s="1">
        <f>Table1567891112131415[[#This Row],[Total_Cost_MUSD]]*1000000*Table1567891112131415[[#This Row],[prob10-failure_rating7]]/10</f>
        <v>7.2636657381072469</v>
      </c>
      <c r="JN13" s="1">
        <f>Table1567891112131415[[#This Row],[Total_Cost_MUSD]]*1000000*Table1567891112131415[[#This Row],[prob10-failure_rating8]]/10</f>
        <v>0.16141479418016103</v>
      </c>
      <c r="JO13" s="1">
        <f>Table1567891112131415[[#This Row],[Total_Cost_MUSD]]*1000000*Table1567891112131415[[#This Row],[prob10-failure_rating9]]/10</f>
        <v>0.10088424636260065</v>
      </c>
      <c r="JP13" s="1">
        <f>Table1567891112131415[[#This Row],[FailureCost_Rating1]]</f>
        <v>3598.2047869327562</v>
      </c>
      <c r="JQ13" s="1">
        <f>Table1567891112131415[[#This Row],[FailureCost_Rating2]]</f>
        <v>3598.2047869327562</v>
      </c>
      <c r="JR13" s="1">
        <f>(Table1567891112131415[[#This Row],[failurecost500_rating2]]+Table1567891112131415[[#This Row],[failurecost100_rating2]]+Table1567891112131415[[#This Row],[failurecost50_rating2]]+Table1567891112131415[[#This Row],[failurecost10_rating2]])</f>
        <v>3598.2047869327562</v>
      </c>
      <c r="JS13" s="1">
        <f>(Table1567891112131415[[#This Row],[failurecost500_rating3]]+Table1567891112131415[[#This Row],[failurecost100_rating3]]+Table1567891112131415[[#This Row],[failurecost50_rating3]]+Table1567891112131415[[#This Row],[failurecost10_rating3]])</f>
        <v>791.60505312520638</v>
      </c>
      <c r="JT13" s="1">
        <f>(Table1567891112131415[[#This Row],[failurecost500_rating4]]+Table1567891112131415[[#This Row],[failurecost100_rating4]]+Table1567891112131415[[#This Row],[failurecost50_rating4]]+Table1567891112131415[[#This Row],[failurecost10_rating4]])</f>
        <v>287.85638295462053</v>
      </c>
      <c r="JU13" s="1">
        <f>(Table1567891112131415[[#This Row],[failurecost500_rating5]]+Table1567891112131415[[#This Row],[failurecost100_rating5]]+Table1567891112131415[[#This Row],[failurecost50_rating5]]+Table1567891112131415[[#This Row],[failurecost10_rating5]])</f>
        <v>50.374867017058584</v>
      </c>
      <c r="JV13" s="1">
        <f>(Table1567891112131415[[#This Row],[failurecost500_rating6]]+Table1567891112131415[[#This Row],[failurecost100_rating6]]+Table1567891112131415[[#This Row],[failurecost50_rating6]]+Table1567891112131415[[#This Row],[failurecost10_rating6]])</f>
        <v>12.953537232957924</v>
      </c>
      <c r="JW13" s="1">
        <f>(Table1567891112131415[[#This Row],[failurecost500_rating7]]+Table1567891112131415[[#This Row],[failurecost100_rating7]]+Table1567891112131415[[#This Row],[failurecost50_rating7]]+Table1567891112131415[[#This Row],[failurecost10_rating7]])</f>
        <v>12.953537232957924</v>
      </c>
      <c r="JX13" s="1">
        <f>(Table1567891112131415[[#This Row],[failurecost500_rating8]]+Table1567891112131415[[#This Row],[failurecost100_rating8]]+Table1567891112131415[[#This Row],[failurecost50_rating8]]+Table1567891112131415[[#This Row],[failurecost10_rating8]])</f>
        <v>0.28785638295462052</v>
      </c>
      <c r="JY13" s="1">
        <f>(Table1567891112131415[[#This Row],[failurecost500_rating9]]+Table1567891112131415[[#This Row],[failurecost100_rating9]]+Table1567891112131415[[#This Row],[failurecost50_rating9]]+Table1567891112131415[[#This Row],[failurecost10_rating9]])</f>
        <v>0.1799102393466378</v>
      </c>
    </row>
    <row r="14" spans="1:285" ht="28.8" x14ac:dyDescent="0.3">
      <c r="A14" s="1">
        <v>12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13653.389769605932</v>
      </c>
      <c r="AR14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14501.430182908143</v>
      </c>
      <c r="AS14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14880.875971506524</v>
      </c>
      <c r="AT14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0.52800000000000002</v>
      </c>
      <c r="GF14" s="1">
        <v>36.918278306582408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Sheet4!Q44*$GF14*1000000</f>
        <v>32816.247383628805</v>
      </c>
      <c r="GM14" s="1">
        <f>Sheet4!R44*$GF14*1000000</f>
        <v>18459.139153291209</v>
      </c>
      <c r="GN14" s="1">
        <f>Sheet4!S44*$GF14*1000000</f>
        <v>11813.849058106372</v>
      </c>
      <c r="GO14" s="1">
        <f>Sheet4!T44*$GF14*1000000</f>
        <v>8204.0618459072011</v>
      </c>
      <c r="GP14" s="1">
        <f>Sheet4!U44*$GF14*1000000</f>
        <v>6027.4740092379443</v>
      </c>
      <c r="GQ14" s="1">
        <f>Sheet4!V44*$GF14*1000000</f>
        <v>4614.7847883228023</v>
      </c>
      <c r="GR14" s="1">
        <f>Sheet4!W44*$GF14*1000000</f>
        <v>3646.2497092920894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0.01</v>
      </c>
      <c r="HF14" s="1">
        <v>1.25E-3</v>
      </c>
      <c r="HG14" s="1">
        <v>2.7500000000000002E-4</v>
      </c>
      <c r="HH14" s="1">
        <v>1E-4</v>
      </c>
      <c r="HI14" s="1">
        <v>1.7499999999999998E-5</v>
      </c>
      <c r="HJ14" s="1">
        <v>4.5000000000000001E-6</v>
      </c>
      <c r="HK14" s="1">
        <v>4.5000000000000001E-6</v>
      </c>
      <c r="HL14" s="1">
        <v>9.9999999999999995E-8</v>
      </c>
      <c r="HM14" s="1">
        <v>6.2499999999999997E-8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Table1567891112131415[[#This Row],[Total_Cost_MUSD]]*1000000*Table1567891112131415[[#This Row],[prob500-failure_rating1]]/500</f>
        <v>738.36556613164817</v>
      </c>
      <c r="IG14" s="1">
        <f>Table1567891112131415[[#This Row],[Total_Cost_MUSD]]*1000000*Table1567891112131415[[#This Row],[prob500-failure_rating2]]/500</f>
        <v>369.18278306582408</v>
      </c>
      <c r="IH14" s="1">
        <f>Table1567891112131415[[#This Row],[Total_Cost_MUSD]]*1000000*Table1567891112131415[[#This Row],[prob500-failure_rating3]]/500</f>
        <v>81.220212274481298</v>
      </c>
      <c r="II14" s="1">
        <f>Table1567891112131415[[#This Row],[Total_Cost_MUSD]]*1000000*Table1567891112131415[[#This Row],[prob500-failure_rating4]]/500</f>
        <v>29.534622645265923</v>
      </c>
      <c r="IJ14" s="1">
        <f>Table1567891112131415[[#This Row],[Total_Cost_MUSD]]*1000000*Table1567891112131415[[#This Row],[prob500-failure_rating5]]/500</f>
        <v>5.1685589629215363</v>
      </c>
      <c r="IK14" s="1">
        <f>Table1567891112131415[[#This Row],[Total_Cost_MUSD]]*1000000*Table1567891112131415[[#This Row],[prob500-failure_rating6]]/500</f>
        <v>1.3290580190369667</v>
      </c>
      <c r="IL14" s="1">
        <f>Table1567891112131415[[#This Row],[Total_Cost_MUSD]]*1000000*Table1567891112131415[[#This Row],[prob500-failure_rating7]]/500</f>
        <v>1.3290580190369667</v>
      </c>
      <c r="IM14" s="1">
        <f>Table1567891112131415[[#This Row],[Total_Cost_MUSD]]*1000000*Table1567891112131415[[#This Row],[prob500-failure_rating8]]/500</f>
        <v>2.9534622645265924E-2</v>
      </c>
      <c r="IN14" s="1">
        <f>Table1567891112131415[[#This Row],[Total_Cost_MUSD]]*1000000*Table1567891112131415[[#This Row],[prob500-failure_rating9]]/500</f>
        <v>1.8459139153291202E-2</v>
      </c>
      <c r="IO14" s="1">
        <f>Table1567891112131415[[#This Row],[Total_Cost_MUSD]]*1000000*Table1567891112131415[[#This Row],[prob100-failure_rating1]]/100</f>
        <v>3691.8278306582406</v>
      </c>
      <c r="IP14" s="1">
        <f>Table1567891112131415[[#This Row],[Total_Cost_MUSD]]*1000000*Table1567891112131415[[#This Row],[prob100-failure_rating2]]/100</f>
        <v>461.47847883228008</v>
      </c>
      <c r="IQ14" s="1">
        <f>Table1567891112131415[[#This Row],[Total_Cost_MUSD]]*1000000*Table1567891112131415[[#This Row],[prob100-failure_rating3]]/100</f>
        <v>101.52526534310162</v>
      </c>
      <c r="IR14" s="1">
        <f>Table1567891112131415[[#This Row],[Total_Cost_MUSD]]*1000000*Table1567891112131415[[#This Row],[prob100-failure_rating4]]/100</f>
        <v>36.918278306582408</v>
      </c>
      <c r="IS14" s="1">
        <f>Table1567891112131415[[#This Row],[Total_Cost_MUSD]]*1000000*Table1567891112131415[[#This Row],[prob100-failure_rating5]]/100</f>
        <v>6.4606987036519206</v>
      </c>
      <c r="IT14" s="1">
        <f>Table1567891112131415[[#This Row],[Total_Cost_MUSD]]*1000000*Table1567891112131415[[#This Row],[prob100-failure_rating6]]/100</f>
        <v>1.6613225237962084</v>
      </c>
      <c r="IU14" s="1">
        <f>Table1567891112131415[[#This Row],[Total_Cost_MUSD]]*1000000*Table1567891112131415[[#This Row],[prob100-failure_rating7]]/100</f>
        <v>1.6613225237962084</v>
      </c>
      <c r="IV14" s="1">
        <f>Table1567891112131415[[#This Row],[Total_Cost_MUSD]]*1000000*Table1567891112131415[[#This Row],[prob100-failure_rating8]]/100</f>
        <v>3.6918278306582404E-2</v>
      </c>
      <c r="IW14" s="1">
        <f>Table1567891112131415[[#This Row],[Total_Cost_MUSD]]*1000000*Table1567891112131415[[#This Row],[prob100-failure_rating9]]/100</f>
        <v>2.3073923941614002E-2</v>
      </c>
      <c r="IX14" s="1">
        <f>Table1567891112131415[[#This Row],[Total_Cost_MUSD]]*1000000*Table1567891112131415[[#This Row],[prob50-failure_rating1]]/50</f>
        <v>7383.6556613164812</v>
      </c>
      <c r="IY14" s="1">
        <f>Table1567891112131415[[#This Row],[Total_Cost_MUSD]]*1000000*Table1567891112131415[[#This Row],[prob50-failure_rating2]]/50</f>
        <v>615.30463844304018</v>
      </c>
      <c r="IZ14" s="1">
        <f>Table1567891112131415[[#This Row],[Total_Cost_MUSD]]*1000000*Table1567891112131415[[#This Row],[prob50-failure_rating3]]/50</f>
        <v>135.36702045746881</v>
      </c>
      <c r="JA14" s="1">
        <f>Table1567891112131415[[#This Row],[Total_Cost_MUSD]]*1000000*Table1567891112131415[[#This Row],[prob50-failure_rating4]]/50</f>
        <v>49.224371075443216</v>
      </c>
      <c r="JB14" s="1">
        <f>Table1567891112131415[[#This Row],[Total_Cost_MUSD]]*1000000*Table1567891112131415[[#This Row],[prob50-failure_rating5]]/50</f>
        <v>8.6142649382025613</v>
      </c>
      <c r="JC14" s="1">
        <f>Table1567891112131415[[#This Row],[Total_Cost_MUSD]]*1000000*Table1567891112131415[[#This Row],[prob50-failure_rating6]]/50</f>
        <v>2.2150966983949445</v>
      </c>
      <c r="JD14" s="1">
        <f>Table1567891112131415[[#This Row],[Total_Cost_MUSD]]*1000000*Table1567891112131415[[#This Row],[prob50-failure_rating7]]/50</f>
        <v>2.2150966983949445</v>
      </c>
      <c r="JE14" s="1">
        <f>Table1567891112131415[[#This Row],[Total_Cost_MUSD]]*1000000*Table1567891112131415[[#This Row],[prob50-failure_rating8]]/50</f>
        <v>4.9224371075443203E-2</v>
      </c>
      <c r="JF14" s="1">
        <f>Table1567891112131415[[#This Row],[Total_Cost_MUSD]]*1000000*Table1567891112131415[[#This Row],[prob50-failure_rating9]]/50</f>
        <v>3.0765231922152001E-2</v>
      </c>
      <c r="JG14" s="1">
        <f>Table1567891112131415[[#This Row],[Total_Cost_MUSD]]*1000000*Table1567891112131415[[#This Row],[prob10-failure_rating1]]/10</f>
        <v>36918.278306582404</v>
      </c>
      <c r="JH14" s="1">
        <f>Table1567891112131415[[#This Row],[Total_Cost_MUSD]]*1000000*Table1567891112131415[[#This Row],[prob10-failure_rating2]]/10</f>
        <v>1845.9139153291203</v>
      </c>
      <c r="JI14" s="1">
        <f>Table1567891112131415[[#This Row],[Total_Cost_MUSD]]*1000000*Table1567891112131415[[#This Row],[prob10-failure_rating3]]/10</f>
        <v>406.10106137240649</v>
      </c>
      <c r="JJ14" s="1">
        <f>Table1567891112131415[[#This Row],[Total_Cost_MUSD]]*1000000*Table1567891112131415[[#This Row],[prob10-failure_rating4]]/10</f>
        <v>147.67311322632963</v>
      </c>
      <c r="JK14" s="1">
        <f>Table1567891112131415[[#This Row],[Total_Cost_MUSD]]*1000000*Table1567891112131415[[#This Row],[prob10-failure_rating5]]/10</f>
        <v>25.842794814607679</v>
      </c>
      <c r="JL14" s="1">
        <f>Table1567891112131415[[#This Row],[Total_Cost_MUSD]]*1000000*Table1567891112131415[[#This Row],[prob10-failure_rating6]]/10</f>
        <v>6.6452900951848335</v>
      </c>
      <c r="JM14" s="1">
        <f>Table1567891112131415[[#This Row],[Total_Cost_MUSD]]*1000000*Table1567891112131415[[#This Row],[prob10-failure_rating7]]/10</f>
        <v>6.6452900951848335</v>
      </c>
      <c r="JN14" s="1">
        <f>Table1567891112131415[[#This Row],[Total_Cost_MUSD]]*1000000*Table1567891112131415[[#This Row],[prob10-failure_rating8]]/10</f>
        <v>0.14767311322632964</v>
      </c>
      <c r="JO14" s="1">
        <f>Table1567891112131415[[#This Row],[Total_Cost_MUSD]]*1000000*Table1567891112131415[[#This Row],[prob10-failure_rating9]]/10</f>
        <v>9.2295695766456007E-2</v>
      </c>
      <c r="JP14" s="1">
        <f>Table1567891112131415[[#This Row],[FailureCost_Rating1]]</f>
        <v>3291.8798156702646</v>
      </c>
      <c r="JQ14" s="1">
        <f>Table1567891112131415[[#This Row],[FailureCost_Rating2]]</f>
        <v>3291.8798156702646</v>
      </c>
      <c r="JR14" s="1">
        <f>(Table1567891112131415[[#This Row],[failurecost500_rating2]]+Table1567891112131415[[#This Row],[failurecost100_rating2]]+Table1567891112131415[[#This Row],[failurecost50_rating2]]+Table1567891112131415[[#This Row],[failurecost10_rating2]])</f>
        <v>3291.8798156702646</v>
      </c>
      <c r="JS14" s="1">
        <f>(Table1567891112131415[[#This Row],[failurecost500_rating3]]+Table1567891112131415[[#This Row],[failurecost100_rating3]]+Table1567891112131415[[#This Row],[failurecost50_rating3]]+Table1567891112131415[[#This Row],[failurecost10_rating3]])</f>
        <v>724.21355944745824</v>
      </c>
      <c r="JT14" s="1">
        <f>(Table1567891112131415[[#This Row],[failurecost500_rating4]]+Table1567891112131415[[#This Row],[failurecost100_rating4]]+Table1567891112131415[[#This Row],[failurecost50_rating4]]+Table1567891112131415[[#This Row],[failurecost10_rating4]])</f>
        <v>263.3503852536212</v>
      </c>
      <c r="JU14" s="1">
        <f>(Table1567891112131415[[#This Row],[failurecost500_rating5]]+Table1567891112131415[[#This Row],[failurecost100_rating5]]+Table1567891112131415[[#This Row],[failurecost50_rating5]]+Table1567891112131415[[#This Row],[failurecost10_rating5]])</f>
        <v>46.086317419383697</v>
      </c>
      <c r="JV14" s="1">
        <f>(Table1567891112131415[[#This Row],[failurecost500_rating6]]+Table1567891112131415[[#This Row],[failurecost100_rating6]]+Table1567891112131415[[#This Row],[failurecost50_rating6]]+Table1567891112131415[[#This Row],[failurecost10_rating6]])</f>
        <v>11.850767336412954</v>
      </c>
      <c r="JW14" s="1">
        <f>(Table1567891112131415[[#This Row],[failurecost500_rating7]]+Table1567891112131415[[#This Row],[failurecost100_rating7]]+Table1567891112131415[[#This Row],[failurecost50_rating7]]+Table1567891112131415[[#This Row],[failurecost10_rating7]])</f>
        <v>11.850767336412954</v>
      </c>
      <c r="JX14" s="1">
        <f>(Table1567891112131415[[#This Row],[failurecost500_rating8]]+Table1567891112131415[[#This Row],[failurecost100_rating8]]+Table1567891112131415[[#This Row],[failurecost50_rating8]]+Table1567891112131415[[#This Row],[failurecost10_rating8]])</f>
        <v>0.2633503852536212</v>
      </c>
      <c r="JY14" s="1">
        <f>(Table1567891112131415[[#This Row],[failurecost500_rating9]]+Table1567891112131415[[#This Row],[failurecost100_rating9]]+Table1567891112131415[[#This Row],[failurecost50_rating9]]+Table1567891112131415[[#This Row],[failurecost10_rating9]])</f>
        <v>0.16459399078351322</v>
      </c>
    </row>
    <row r="15" spans="1:285" ht="28.8" x14ac:dyDescent="0.3">
      <c r="A15" s="1">
        <v>13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9589.4503766877388</v>
      </c>
      <c r="AR15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10089.839206196759</v>
      </c>
      <c r="AS15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10312.30726316059</v>
      </c>
      <c r="AT15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0.66</v>
      </c>
      <c r="GF15" s="1">
        <v>39.733609793738388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Sheet4!Q45*$GF15*1000000</f>
        <v>35318.76426110079</v>
      </c>
      <c r="GM15" s="1">
        <f>Sheet4!R45*$GF15*1000000</f>
        <v>19866.804896869191</v>
      </c>
      <c r="GN15" s="1">
        <f>Sheet4!S45*$GF15*1000000</f>
        <v>12714.755133996287</v>
      </c>
      <c r="GO15" s="1">
        <f>Sheet4!T45*$GF15*1000000</f>
        <v>8829.6910652751976</v>
      </c>
      <c r="GP15" s="1">
        <f>Sheet4!U45*$GF15*1000000</f>
        <v>6487.1199663246343</v>
      </c>
      <c r="GQ15" s="1">
        <f>Sheet4!V45*$GF15*1000000</f>
        <v>4966.7012242172977</v>
      </c>
      <c r="GR15" s="1">
        <f>Sheet4!W45*$GF15*1000000</f>
        <v>3924.3071401223096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0.01</v>
      </c>
      <c r="HF15" s="1">
        <v>1.25E-3</v>
      </c>
      <c r="HG15" s="1">
        <v>2.7500000000000002E-4</v>
      </c>
      <c r="HH15" s="1">
        <v>1E-4</v>
      </c>
      <c r="HI15" s="1">
        <v>1.7499999999999998E-5</v>
      </c>
      <c r="HJ15" s="1">
        <v>4.5000000000000001E-6</v>
      </c>
      <c r="HK15" s="1">
        <v>4.5000000000000001E-6</v>
      </c>
      <c r="HL15" s="1">
        <v>9.9999999999999995E-8</v>
      </c>
      <c r="HM15" s="1">
        <v>6.2499999999999997E-8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Table1567891112131415[[#This Row],[Total_Cost_MUSD]]*1000000*Table1567891112131415[[#This Row],[prob500-failure_rating1]]/500</f>
        <v>794.67219587476768</v>
      </c>
      <c r="IG15" s="1">
        <f>Table1567891112131415[[#This Row],[Total_Cost_MUSD]]*1000000*Table1567891112131415[[#This Row],[prob500-failure_rating2]]/500</f>
        <v>397.33609793738384</v>
      </c>
      <c r="IH15" s="1">
        <f>Table1567891112131415[[#This Row],[Total_Cost_MUSD]]*1000000*Table1567891112131415[[#This Row],[prob500-failure_rating3]]/500</f>
        <v>87.41394154622445</v>
      </c>
      <c r="II15" s="1">
        <f>Table1567891112131415[[#This Row],[Total_Cost_MUSD]]*1000000*Table1567891112131415[[#This Row],[prob500-failure_rating4]]/500</f>
        <v>31.786887834990711</v>
      </c>
      <c r="IJ15" s="1">
        <f>Table1567891112131415[[#This Row],[Total_Cost_MUSD]]*1000000*Table1567891112131415[[#This Row],[prob500-failure_rating5]]/500</f>
        <v>5.562705371123374</v>
      </c>
      <c r="IK15" s="1">
        <f>Table1567891112131415[[#This Row],[Total_Cost_MUSD]]*1000000*Table1567891112131415[[#This Row],[prob500-failure_rating6]]/500</f>
        <v>1.4304099525745819</v>
      </c>
      <c r="IL15" s="1">
        <f>Table1567891112131415[[#This Row],[Total_Cost_MUSD]]*1000000*Table1567891112131415[[#This Row],[prob500-failure_rating7]]/500</f>
        <v>1.4304099525745819</v>
      </c>
      <c r="IM15" s="1">
        <f>Table1567891112131415[[#This Row],[Total_Cost_MUSD]]*1000000*Table1567891112131415[[#This Row],[prob500-failure_rating8]]/500</f>
        <v>3.1786887834990708E-2</v>
      </c>
      <c r="IN15" s="1">
        <f>Table1567891112131415[[#This Row],[Total_Cost_MUSD]]*1000000*Table1567891112131415[[#This Row],[prob500-failure_rating9]]/500</f>
        <v>1.9866804896869195E-2</v>
      </c>
      <c r="IO15" s="1">
        <f>Table1567891112131415[[#This Row],[Total_Cost_MUSD]]*1000000*Table1567891112131415[[#This Row],[prob100-failure_rating1]]/100</f>
        <v>3973.3609793738387</v>
      </c>
      <c r="IP15" s="1">
        <f>Table1567891112131415[[#This Row],[Total_Cost_MUSD]]*1000000*Table1567891112131415[[#This Row],[prob100-failure_rating2]]/100</f>
        <v>496.67012242172984</v>
      </c>
      <c r="IQ15" s="1">
        <f>Table1567891112131415[[#This Row],[Total_Cost_MUSD]]*1000000*Table1567891112131415[[#This Row],[prob100-failure_rating3]]/100</f>
        <v>109.26742693278057</v>
      </c>
      <c r="IR15" s="1">
        <f>Table1567891112131415[[#This Row],[Total_Cost_MUSD]]*1000000*Table1567891112131415[[#This Row],[prob100-failure_rating4]]/100</f>
        <v>39.733609793738388</v>
      </c>
      <c r="IS15" s="1">
        <f>Table1567891112131415[[#This Row],[Total_Cost_MUSD]]*1000000*Table1567891112131415[[#This Row],[prob100-failure_rating5]]/100</f>
        <v>6.9533817139042178</v>
      </c>
      <c r="IT15" s="1">
        <f>Table1567891112131415[[#This Row],[Total_Cost_MUSD]]*1000000*Table1567891112131415[[#This Row],[prob100-failure_rating6]]/100</f>
        <v>1.7880124407182274</v>
      </c>
      <c r="IU15" s="1">
        <f>Table1567891112131415[[#This Row],[Total_Cost_MUSD]]*1000000*Table1567891112131415[[#This Row],[prob100-failure_rating7]]/100</f>
        <v>1.7880124407182274</v>
      </c>
      <c r="IV15" s="1">
        <f>Table1567891112131415[[#This Row],[Total_Cost_MUSD]]*1000000*Table1567891112131415[[#This Row],[prob100-failure_rating8]]/100</f>
        <v>3.9733609793738384E-2</v>
      </c>
      <c r="IW15" s="1">
        <f>Table1567891112131415[[#This Row],[Total_Cost_MUSD]]*1000000*Table1567891112131415[[#This Row],[prob100-failure_rating9]]/100</f>
        <v>2.4833506121086493E-2</v>
      </c>
      <c r="IX15" s="1">
        <f>Table1567891112131415[[#This Row],[Total_Cost_MUSD]]*1000000*Table1567891112131415[[#This Row],[prob50-failure_rating1]]/50</f>
        <v>7946.7219587476775</v>
      </c>
      <c r="IY15" s="1">
        <f>Table1567891112131415[[#This Row],[Total_Cost_MUSD]]*1000000*Table1567891112131415[[#This Row],[prob50-failure_rating2]]/50</f>
        <v>662.22682989563987</v>
      </c>
      <c r="IZ15" s="1">
        <f>Table1567891112131415[[#This Row],[Total_Cost_MUSD]]*1000000*Table1567891112131415[[#This Row],[prob50-failure_rating3]]/50</f>
        <v>145.68990257704075</v>
      </c>
      <c r="JA15" s="1">
        <f>Table1567891112131415[[#This Row],[Total_Cost_MUSD]]*1000000*Table1567891112131415[[#This Row],[prob50-failure_rating4]]/50</f>
        <v>52.978146391651187</v>
      </c>
      <c r="JB15" s="1">
        <f>Table1567891112131415[[#This Row],[Total_Cost_MUSD]]*1000000*Table1567891112131415[[#This Row],[prob50-failure_rating5]]/50</f>
        <v>9.2711756185389564</v>
      </c>
      <c r="JC15" s="1">
        <f>Table1567891112131415[[#This Row],[Total_Cost_MUSD]]*1000000*Table1567891112131415[[#This Row],[prob50-failure_rating6]]/50</f>
        <v>2.3840165876243034</v>
      </c>
      <c r="JD15" s="1">
        <f>Table1567891112131415[[#This Row],[Total_Cost_MUSD]]*1000000*Table1567891112131415[[#This Row],[prob50-failure_rating7]]/50</f>
        <v>2.3840165876243034</v>
      </c>
      <c r="JE15" s="1">
        <f>Table1567891112131415[[#This Row],[Total_Cost_MUSD]]*1000000*Table1567891112131415[[#This Row],[prob50-failure_rating8]]/50</f>
        <v>5.2978146391651187E-2</v>
      </c>
      <c r="JF15" s="1">
        <f>Table1567891112131415[[#This Row],[Total_Cost_MUSD]]*1000000*Table1567891112131415[[#This Row],[prob50-failure_rating9]]/50</f>
        <v>3.3111341494781989E-2</v>
      </c>
      <c r="JG15" s="1">
        <f>Table1567891112131415[[#This Row],[Total_Cost_MUSD]]*1000000*Table1567891112131415[[#This Row],[prob10-failure_rating1]]/10</f>
        <v>39733.609793738389</v>
      </c>
      <c r="JH15" s="1">
        <f>Table1567891112131415[[#This Row],[Total_Cost_MUSD]]*1000000*Table1567891112131415[[#This Row],[prob10-failure_rating2]]/10</f>
        <v>1986.6804896869194</v>
      </c>
      <c r="JI15" s="1">
        <f>Table1567891112131415[[#This Row],[Total_Cost_MUSD]]*1000000*Table1567891112131415[[#This Row],[prob10-failure_rating3]]/10</f>
        <v>437.06970773112226</v>
      </c>
      <c r="JJ15" s="1">
        <f>Table1567891112131415[[#This Row],[Total_Cost_MUSD]]*1000000*Table1567891112131415[[#This Row],[prob10-failure_rating4]]/10</f>
        <v>158.93443917495355</v>
      </c>
      <c r="JK15" s="1">
        <f>Table1567891112131415[[#This Row],[Total_Cost_MUSD]]*1000000*Table1567891112131415[[#This Row],[prob10-failure_rating5]]/10</f>
        <v>27.813526855616868</v>
      </c>
      <c r="JL15" s="1">
        <f>Table1567891112131415[[#This Row],[Total_Cost_MUSD]]*1000000*Table1567891112131415[[#This Row],[prob10-failure_rating6]]/10</f>
        <v>7.1520497628729105</v>
      </c>
      <c r="JM15" s="1">
        <f>Table1567891112131415[[#This Row],[Total_Cost_MUSD]]*1000000*Table1567891112131415[[#This Row],[prob10-failure_rating7]]/10</f>
        <v>7.1520497628729105</v>
      </c>
      <c r="JN15" s="1">
        <f>Table1567891112131415[[#This Row],[Total_Cost_MUSD]]*1000000*Table1567891112131415[[#This Row],[prob10-failure_rating8]]/10</f>
        <v>0.15893443917495356</v>
      </c>
      <c r="JO15" s="1">
        <f>Table1567891112131415[[#This Row],[Total_Cost_MUSD]]*1000000*Table1567891112131415[[#This Row],[prob10-failure_rating9]]/10</f>
        <v>9.9334024484345959E-2</v>
      </c>
      <c r="JP15" s="1">
        <f>Table1567891112131415[[#This Row],[FailureCost_Rating1]]</f>
        <v>3542.9135399416728</v>
      </c>
      <c r="JQ15" s="1">
        <f>Table1567891112131415[[#This Row],[FailureCost_Rating2]]</f>
        <v>3542.9135399416728</v>
      </c>
      <c r="JR15" s="1">
        <f>(Table1567891112131415[[#This Row],[failurecost500_rating2]]+Table1567891112131415[[#This Row],[failurecost100_rating2]]+Table1567891112131415[[#This Row],[failurecost50_rating2]]+Table1567891112131415[[#This Row],[failurecost10_rating2]])</f>
        <v>3542.9135399416728</v>
      </c>
      <c r="JS15" s="1">
        <f>(Table1567891112131415[[#This Row],[failurecost500_rating3]]+Table1567891112131415[[#This Row],[failurecost100_rating3]]+Table1567891112131415[[#This Row],[failurecost50_rating3]]+Table1567891112131415[[#This Row],[failurecost10_rating3]])</f>
        <v>779.44097878716798</v>
      </c>
      <c r="JT15" s="1">
        <f>(Table1567891112131415[[#This Row],[failurecost500_rating4]]+Table1567891112131415[[#This Row],[failurecost100_rating4]]+Table1567891112131415[[#This Row],[failurecost50_rating4]]+Table1567891112131415[[#This Row],[failurecost10_rating4]])</f>
        <v>283.43308319533384</v>
      </c>
      <c r="JU15" s="1">
        <f>(Table1567891112131415[[#This Row],[failurecost500_rating5]]+Table1567891112131415[[#This Row],[failurecost100_rating5]]+Table1567891112131415[[#This Row],[failurecost50_rating5]]+Table1567891112131415[[#This Row],[failurecost10_rating5]])</f>
        <v>49.600789559183411</v>
      </c>
      <c r="JV15" s="1">
        <f>(Table1567891112131415[[#This Row],[failurecost500_rating6]]+Table1567891112131415[[#This Row],[failurecost100_rating6]]+Table1567891112131415[[#This Row],[failurecost50_rating6]]+Table1567891112131415[[#This Row],[failurecost10_rating6]])</f>
        <v>12.754488743790024</v>
      </c>
      <c r="JW15" s="1">
        <f>(Table1567891112131415[[#This Row],[failurecost500_rating7]]+Table1567891112131415[[#This Row],[failurecost100_rating7]]+Table1567891112131415[[#This Row],[failurecost50_rating7]]+Table1567891112131415[[#This Row],[failurecost10_rating7]])</f>
        <v>12.754488743790024</v>
      </c>
      <c r="JX15" s="1">
        <f>(Table1567891112131415[[#This Row],[failurecost500_rating8]]+Table1567891112131415[[#This Row],[failurecost100_rating8]]+Table1567891112131415[[#This Row],[failurecost50_rating8]]+Table1567891112131415[[#This Row],[failurecost10_rating8]])</f>
        <v>0.28343308319533383</v>
      </c>
      <c r="JY15" s="1">
        <f>(Table1567891112131415[[#This Row],[failurecost500_rating9]]+Table1567891112131415[[#This Row],[failurecost100_rating9]]+Table1567891112131415[[#This Row],[failurecost50_rating9]]+Table1567891112131415[[#This Row],[failurecost10_rating9]])</f>
        <v>0.17714567699708361</v>
      </c>
    </row>
    <row r="16" spans="1:285" ht="28.8" x14ac:dyDescent="0.3">
      <c r="A16" s="1">
        <v>14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6758.7093437956364</v>
      </c>
      <c r="AR16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7157.860599196707</v>
      </c>
      <c r="AS16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7335.7235370312192</v>
      </c>
      <c r="AT16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0.66</v>
      </c>
      <c r="GF16" s="1">
        <v>29.323675290989993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Sheet4!Q46*$GF16*1000000</f>
        <v>26065.489147546661</v>
      </c>
      <c r="GM16" s="1">
        <f>Sheet4!R46*$GF16*1000000</f>
        <v>14661.837645494992</v>
      </c>
      <c r="GN16" s="1">
        <f>Sheet4!S46*$GF16*1000000</f>
        <v>9383.576093116797</v>
      </c>
      <c r="GO16" s="1">
        <f>Sheet4!T46*$GF16*1000000</f>
        <v>6516.3722868866653</v>
      </c>
      <c r="GP16" s="1">
        <f>Sheet4!U46*$GF16*1000000</f>
        <v>4787.5388230187746</v>
      </c>
      <c r="GQ16" s="1">
        <f>Sheet4!V46*$GF16*1000000</f>
        <v>3665.459411373748</v>
      </c>
      <c r="GR16" s="1">
        <f>Sheet4!W46*$GF16*1000000</f>
        <v>2896.1654608385174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0.01</v>
      </c>
      <c r="HF16" s="1">
        <v>1.25E-3</v>
      </c>
      <c r="HG16" s="1">
        <v>2.7500000000000002E-4</v>
      </c>
      <c r="HH16" s="1">
        <v>1E-4</v>
      </c>
      <c r="HI16" s="1">
        <v>1.7499999999999998E-5</v>
      </c>
      <c r="HJ16" s="1">
        <v>4.5000000000000001E-6</v>
      </c>
      <c r="HK16" s="1">
        <v>4.5000000000000001E-6</v>
      </c>
      <c r="HL16" s="1">
        <v>9.9999999999999995E-8</v>
      </c>
      <c r="HM16" s="1">
        <v>6.2499999999999997E-8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Table1567891112131415[[#This Row],[Total_Cost_MUSD]]*1000000*Table1567891112131415[[#This Row],[prob500-failure_rating1]]/500</f>
        <v>586.47350581979981</v>
      </c>
      <c r="IG16" s="1">
        <f>Table1567891112131415[[#This Row],[Total_Cost_MUSD]]*1000000*Table1567891112131415[[#This Row],[prob500-failure_rating2]]/500</f>
        <v>293.23675290989991</v>
      </c>
      <c r="IH16" s="1">
        <f>Table1567891112131415[[#This Row],[Total_Cost_MUSD]]*1000000*Table1567891112131415[[#This Row],[prob500-failure_rating3]]/500</f>
        <v>64.512085640177986</v>
      </c>
      <c r="II16" s="1">
        <f>Table1567891112131415[[#This Row],[Total_Cost_MUSD]]*1000000*Table1567891112131415[[#This Row],[prob500-failure_rating4]]/500</f>
        <v>23.458940232791992</v>
      </c>
      <c r="IJ16" s="1">
        <f>Table1567891112131415[[#This Row],[Total_Cost_MUSD]]*1000000*Table1567891112131415[[#This Row],[prob500-failure_rating5]]/500</f>
        <v>4.1053145407385978</v>
      </c>
      <c r="IK16" s="1">
        <f>Table1567891112131415[[#This Row],[Total_Cost_MUSD]]*1000000*Table1567891112131415[[#This Row],[prob500-failure_rating6]]/500</f>
        <v>1.0556523104756397</v>
      </c>
      <c r="IL16" s="1">
        <f>Table1567891112131415[[#This Row],[Total_Cost_MUSD]]*1000000*Table1567891112131415[[#This Row],[prob500-failure_rating7]]/500</f>
        <v>1.0556523104756397</v>
      </c>
      <c r="IM16" s="1">
        <f>Table1567891112131415[[#This Row],[Total_Cost_MUSD]]*1000000*Table1567891112131415[[#This Row],[prob500-failure_rating8]]/500</f>
        <v>2.3458940232791992E-2</v>
      </c>
      <c r="IN16" s="1">
        <f>Table1567891112131415[[#This Row],[Total_Cost_MUSD]]*1000000*Table1567891112131415[[#This Row],[prob500-failure_rating9]]/500</f>
        <v>1.4661837645494995E-2</v>
      </c>
      <c r="IO16" s="1">
        <f>Table1567891112131415[[#This Row],[Total_Cost_MUSD]]*1000000*Table1567891112131415[[#This Row],[prob100-failure_rating1]]/100</f>
        <v>2932.3675290989991</v>
      </c>
      <c r="IP16" s="1">
        <f>Table1567891112131415[[#This Row],[Total_Cost_MUSD]]*1000000*Table1567891112131415[[#This Row],[prob100-failure_rating2]]/100</f>
        <v>366.54594113737488</v>
      </c>
      <c r="IQ16" s="1">
        <f>Table1567891112131415[[#This Row],[Total_Cost_MUSD]]*1000000*Table1567891112131415[[#This Row],[prob100-failure_rating3]]/100</f>
        <v>80.640107050222483</v>
      </c>
      <c r="IR16" s="1">
        <f>Table1567891112131415[[#This Row],[Total_Cost_MUSD]]*1000000*Table1567891112131415[[#This Row],[prob100-failure_rating4]]/100</f>
        <v>29.323675290989989</v>
      </c>
      <c r="IS16" s="1">
        <f>Table1567891112131415[[#This Row],[Total_Cost_MUSD]]*1000000*Table1567891112131415[[#This Row],[prob100-failure_rating5]]/100</f>
        <v>5.1316431759232479</v>
      </c>
      <c r="IT16" s="1">
        <f>Table1567891112131415[[#This Row],[Total_Cost_MUSD]]*1000000*Table1567891112131415[[#This Row],[prob100-failure_rating6]]/100</f>
        <v>1.3195653880945497</v>
      </c>
      <c r="IU16" s="1">
        <f>Table1567891112131415[[#This Row],[Total_Cost_MUSD]]*1000000*Table1567891112131415[[#This Row],[prob100-failure_rating7]]/100</f>
        <v>1.3195653880945497</v>
      </c>
      <c r="IV16" s="1">
        <f>Table1567891112131415[[#This Row],[Total_Cost_MUSD]]*1000000*Table1567891112131415[[#This Row],[prob100-failure_rating8]]/100</f>
        <v>2.9323675290989989E-2</v>
      </c>
      <c r="IW16" s="1">
        <f>Table1567891112131415[[#This Row],[Total_Cost_MUSD]]*1000000*Table1567891112131415[[#This Row],[prob100-failure_rating9]]/100</f>
        <v>1.8327297056868742E-2</v>
      </c>
      <c r="IX16" s="1">
        <f>Table1567891112131415[[#This Row],[Total_Cost_MUSD]]*1000000*Table1567891112131415[[#This Row],[prob50-failure_rating1]]/50</f>
        <v>5864.7350581979981</v>
      </c>
      <c r="IY16" s="1">
        <f>Table1567891112131415[[#This Row],[Total_Cost_MUSD]]*1000000*Table1567891112131415[[#This Row],[prob50-failure_rating2]]/50</f>
        <v>488.72792151649992</v>
      </c>
      <c r="IZ16" s="1">
        <f>Table1567891112131415[[#This Row],[Total_Cost_MUSD]]*1000000*Table1567891112131415[[#This Row],[prob50-failure_rating3]]/50</f>
        <v>107.52014273362997</v>
      </c>
      <c r="JA16" s="1">
        <f>Table1567891112131415[[#This Row],[Total_Cost_MUSD]]*1000000*Table1567891112131415[[#This Row],[prob50-failure_rating4]]/50</f>
        <v>39.098233721319986</v>
      </c>
      <c r="JB16" s="1">
        <f>Table1567891112131415[[#This Row],[Total_Cost_MUSD]]*1000000*Table1567891112131415[[#This Row],[prob50-failure_rating5]]/50</f>
        <v>6.8421909012309978</v>
      </c>
      <c r="JC16" s="1">
        <f>Table1567891112131415[[#This Row],[Total_Cost_MUSD]]*1000000*Table1567891112131415[[#This Row],[prob50-failure_rating6]]/50</f>
        <v>1.7594205174593995</v>
      </c>
      <c r="JD16" s="1">
        <f>Table1567891112131415[[#This Row],[Total_Cost_MUSD]]*1000000*Table1567891112131415[[#This Row],[prob50-failure_rating7]]/50</f>
        <v>1.7594205174593995</v>
      </c>
      <c r="JE16" s="1">
        <f>Table1567891112131415[[#This Row],[Total_Cost_MUSD]]*1000000*Table1567891112131415[[#This Row],[prob50-failure_rating8]]/50</f>
        <v>3.9098233721319986E-2</v>
      </c>
      <c r="JF16" s="1">
        <f>Table1567891112131415[[#This Row],[Total_Cost_MUSD]]*1000000*Table1567891112131415[[#This Row],[prob50-failure_rating9]]/50</f>
        <v>2.4436396075824991E-2</v>
      </c>
      <c r="JG16" s="1">
        <f>Table1567891112131415[[#This Row],[Total_Cost_MUSD]]*1000000*Table1567891112131415[[#This Row],[prob10-failure_rating1]]/10</f>
        <v>29323.675290989991</v>
      </c>
      <c r="JH16" s="1">
        <f>Table1567891112131415[[#This Row],[Total_Cost_MUSD]]*1000000*Table1567891112131415[[#This Row],[prob10-failure_rating2]]/10</f>
        <v>1466.1837645494995</v>
      </c>
      <c r="JI16" s="1">
        <f>Table1567891112131415[[#This Row],[Total_Cost_MUSD]]*1000000*Table1567891112131415[[#This Row],[prob10-failure_rating3]]/10</f>
        <v>322.56042820088993</v>
      </c>
      <c r="JJ16" s="1">
        <f>Table1567891112131415[[#This Row],[Total_Cost_MUSD]]*1000000*Table1567891112131415[[#This Row],[prob10-failure_rating4]]/10</f>
        <v>117.29470116395999</v>
      </c>
      <c r="JK16" s="1">
        <f>Table1567891112131415[[#This Row],[Total_Cost_MUSD]]*1000000*Table1567891112131415[[#This Row],[prob10-failure_rating5]]/10</f>
        <v>20.526572703692992</v>
      </c>
      <c r="JL16" s="1">
        <f>Table1567891112131415[[#This Row],[Total_Cost_MUSD]]*1000000*Table1567891112131415[[#This Row],[prob10-failure_rating6]]/10</f>
        <v>5.2782615523781988</v>
      </c>
      <c r="JM16" s="1">
        <f>Table1567891112131415[[#This Row],[Total_Cost_MUSD]]*1000000*Table1567891112131415[[#This Row],[prob10-failure_rating7]]/10</f>
        <v>5.2782615523781988</v>
      </c>
      <c r="JN16" s="1">
        <f>Table1567891112131415[[#This Row],[Total_Cost_MUSD]]*1000000*Table1567891112131415[[#This Row],[prob10-failure_rating8]]/10</f>
        <v>0.11729470116395997</v>
      </c>
      <c r="JO16" s="1">
        <f>Table1567891112131415[[#This Row],[Total_Cost_MUSD]]*1000000*Table1567891112131415[[#This Row],[prob10-failure_rating9]]/10</f>
        <v>7.3309188227474981E-2</v>
      </c>
      <c r="JP16" s="1">
        <f>Table1567891112131415[[#This Row],[FailureCost_Rating1]]</f>
        <v>2614.6943801132743</v>
      </c>
      <c r="JQ16" s="1">
        <f>Table1567891112131415[[#This Row],[FailureCost_Rating2]]</f>
        <v>2614.6943801132743</v>
      </c>
      <c r="JR16" s="1">
        <f>(Table1567891112131415[[#This Row],[failurecost500_rating2]]+Table1567891112131415[[#This Row],[failurecost100_rating2]]+Table1567891112131415[[#This Row],[failurecost50_rating2]]+Table1567891112131415[[#This Row],[failurecost10_rating2]])</f>
        <v>2614.6943801132743</v>
      </c>
      <c r="JS16" s="1">
        <f>(Table1567891112131415[[#This Row],[failurecost500_rating3]]+Table1567891112131415[[#This Row],[failurecost100_rating3]]+Table1567891112131415[[#This Row],[failurecost50_rating3]]+Table1567891112131415[[#This Row],[failurecost10_rating3]])</f>
        <v>575.23276362492038</v>
      </c>
      <c r="JT16" s="1">
        <f>(Table1567891112131415[[#This Row],[failurecost500_rating4]]+Table1567891112131415[[#This Row],[failurecost100_rating4]]+Table1567891112131415[[#This Row],[failurecost50_rating4]]+Table1567891112131415[[#This Row],[failurecost10_rating4]])</f>
        <v>209.17555040906194</v>
      </c>
      <c r="JU16" s="1">
        <f>(Table1567891112131415[[#This Row],[failurecost500_rating5]]+Table1567891112131415[[#This Row],[failurecost100_rating5]]+Table1567891112131415[[#This Row],[failurecost50_rating5]]+Table1567891112131415[[#This Row],[failurecost10_rating5]])</f>
        <v>36.605721321585833</v>
      </c>
      <c r="JV16" s="1">
        <f>(Table1567891112131415[[#This Row],[failurecost500_rating6]]+Table1567891112131415[[#This Row],[failurecost100_rating6]]+Table1567891112131415[[#This Row],[failurecost50_rating6]]+Table1567891112131415[[#This Row],[failurecost10_rating6]])</f>
        <v>9.4128997684077866</v>
      </c>
      <c r="JW16" s="1">
        <f>(Table1567891112131415[[#This Row],[failurecost500_rating7]]+Table1567891112131415[[#This Row],[failurecost100_rating7]]+Table1567891112131415[[#This Row],[failurecost50_rating7]]+Table1567891112131415[[#This Row],[failurecost10_rating7]])</f>
        <v>9.4128997684077866</v>
      </c>
      <c r="JX16" s="1">
        <f>(Table1567891112131415[[#This Row],[failurecost500_rating8]]+Table1567891112131415[[#This Row],[failurecost100_rating8]]+Table1567891112131415[[#This Row],[failurecost50_rating8]]+Table1567891112131415[[#This Row],[failurecost10_rating8]])</f>
        <v>0.20917555040906194</v>
      </c>
      <c r="JY16" s="1">
        <f>(Table1567891112131415[[#This Row],[failurecost500_rating9]]+Table1567891112131415[[#This Row],[failurecost100_rating9]]+Table1567891112131415[[#This Row],[failurecost50_rating9]]+Table1567891112131415[[#This Row],[failurecost10_rating9]])</f>
        <v>0.13073471900566372</v>
      </c>
    </row>
    <row r="17" spans="1:285" ht="28.8" x14ac:dyDescent="0.3">
      <c r="A17" s="1">
        <v>15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0</v>
      </c>
      <c r="AR17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73.925295948361111</v>
      </c>
      <c r="AS17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101.29876563204503</v>
      </c>
      <c r="AT17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0.22800000000000001</v>
      </c>
      <c r="GF17" s="1">
        <v>27.13565811109607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Sheet4!Q47*$GF17*1000000</f>
        <v>24120.584987640948</v>
      </c>
      <c r="GM17" s="1">
        <f>Sheet4!R47*$GF17*1000000</f>
        <v>13567.829055548038</v>
      </c>
      <c r="GN17" s="1">
        <f>Sheet4!S47*$GF17*1000000</f>
        <v>8683.4105955507439</v>
      </c>
      <c r="GO17" s="1">
        <f>Sheet4!T47*$GF17*1000000</f>
        <v>6030.1462469102371</v>
      </c>
      <c r="GP17" s="1">
        <f>Sheet4!U47*$GF17*1000000</f>
        <v>4430.3115283422158</v>
      </c>
      <c r="GQ17" s="1">
        <f>Sheet4!V47*$GF17*1000000</f>
        <v>3391.9572638870095</v>
      </c>
      <c r="GR17" s="1">
        <f>Sheet4!W47*$GF17*1000000</f>
        <v>2680.0649986267726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0.01</v>
      </c>
      <c r="HF17" s="1">
        <v>1.25E-3</v>
      </c>
      <c r="HG17" s="1">
        <v>2.7500000000000002E-4</v>
      </c>
      <c r="HH17" s="1">
        <v>1E-4</v>
      </c>
      <c r="HI17" s="1">
        <v>1.7499999999999998E-5</v>
      </c>
      <c r="HJ17" s="1">
        <v>4.5000000000000001E-6</v>
      </c>
      <c r="HK17" s="1">
        <v>4.5000000000000001E-6</v>
      </c>
      <c r="HL17" s="1">
        <v>9.9999999999999995E-8</v>
      </c>
      <c r="HM17" s="1">
        <v>6.2499999999999997E-8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Table1567891112131415[[#This Row],[Total_Cost_MUSD]]*1000000*Table1567891112131415[[#This Row],[prob500-failure_rating1]]/500</f>
        <v>542.71316222192138</v>
      </c>
      <c r="IG17" s="1">
        <f>Table1567891112131415[[#This Row],[Total_Cost_MUSD]]*1000000*Table1567891112131415[[#This Row],[prob500-failure_rating2]]/500</f>
        <v>271.35658111096069</v>
      </c>
      <c r="IH17" s="1">
        <f>Table1567891112131415[[#This Row],[Total_Cost_MUSD]]*1000000*Table1567891112131415[[#This Row],[prob500-failure_rating3]]/500</f>
        <v>59.698447844411355</v>
      </c>
      <c r="II17" s="1">
        <f>Table1567891112131415[[#This Row],[Total_Cost_MUSD]]*1000000*Table1567891112131415[[#This Row],[prob500-failure_rating4]]/500</f>
        <v>21.708526488876856</v>
      </c>
      <c r="IJ17" s="1">
        <f>Table1567891112131415[[#This Row],[Total_Cost_MUSD]]*1000000*Table1567891112131415[[#This Row],[prob500-failure_rating5]]/500</f>
        <v>3.7989921355534495</v>
      </c>
      <c r="IK17" s="1">
        <f>Table1567891112131415[[#This Row],[Total_Cost_MUSD]]*1000000*Table1567891112131415[[#This Row],[prob500-failure_rating6]]/500</f>
        <v>0.97688369199945846</v>
      </c>
      <c r="IL17" s="1">
        <f>Table1567891112131415[[#This Row],[Total_Cost_MUSD]]*1000000*Table1567891112131415[[#This Row],[prob500-failure_rating7]]/500</f>
        <v>0.97688369199945846</v>
      </c>
      <c r="IM17" s="1">
        <f>Table1567891112131415[[#This Row],[Total_Cost_MUSD]]*1000000*Table1567891112131415[[#This Row],[prob500-failure_rating8]]/500</f>
        <v>2.1708526488876854E-2</v>
      </c>
      <c r="IN17" s="1">
        <f>Table1567891112131415[[#This Row],[Total_Cost_MUSD]]*1000000*Table1567891112131415[[#This Row],[prob500-failure_rating9]]/500</f>
        <v>1.3567829055548033E-2</v>
      </c>
      <c r="IO17" s="1">
        <f>Table1567891112131415[[#This Row],[Total_Cost_MUSD]]*1000000*Table1567891112131415[[#This Row],[prob100-failure_rating1]]/100</f>
        <v>2713.5658111096068</v>
      </c>
      <c r="IP17" s="1">
        <f>Table1567891112131415[[#This Row],[Total_Cost_MUSD]]*1000000*Table1567891112131415[[#This Row],[prob100-failure_rating2]]/100</f>
        <v>339.19572638870085</v>
      </c>
      <c r="IQ17" s="1">
        <f>Table1567891112131415[[#This Row],[Total_Cost_MUSD]]*1000000*Table1567891112131415[[#This Row],[prob100-failure_rating3]]/100</f>
        <v>74.623059805514188</v>
      </c>
      <c r="IR17" s="1">
        <f>Table1567891112131415[[#This Row],[Total_Cost_MUSD]]*1000000*Table1567891112131415[[#This Row],[prob100-failure_rating4]]/100</f>
        <v>27.135658111096074</v>
      </c>
      <c r="IS17" s="1">
        <f>Table1567891112131415[[#This Row],[Total_Cost_MUSD]]*1000000*Table1567891112131415[[#This Row],[prob100-failure_rating5]]/100</f>
        <v>4.7487401694418114</v>
      </c>
      <c r="IT17" s="1">
        <f>Table1567891112131415[[#This Row],[Total_Cost_MUSD]]*1000000*Table1567891112131415[[#This Row],[prob100-failure_rating6]]/100</f>
        <v>1.2211046149993232</v>
      </c>
      <c r="IU17" s="1">
        <f>Table1567891112131415[[#This Row],[Total_Cost_MUSD]]*1000000*Table1567891112131415[[#This Row],[prob100-failure_rating7]]/100</f>
        <v>1.2211046149993232</v>
      </c>
      <c r="IV17" s="1">
        <f>Table1567891112131415[[#This Row],[Total_Cost_MUSD]]*1000000*Table1567891112131415[[#This Row],[prob100-failure_rating8]]/100</f>
        <v>2.7135658111096066E-2</v>
      </c>
      <c r="IW17" s="1">
        <f>Table1567891112131415[[#This Row],[Total_Cost_MUSD]]*1000000*Table1567891112131415[[#This Row],[prob100-failure_rating9]]/100</f>
        <v>1.6959786319435042E-2</v>
      </c>
      <c r="IX17" s="1">
        <f>Table1567891112131415[[#This Row],[Total_Cost_MUSD]]*1000000*Table1567891112131415[[#This Row],[prob50-failure_rating1]]/50</f>
        <v>5427.1316222192136</v>
      </c>
      <c r="IY17" s="1">
        <f>Table1567891112131415[[#This Row],[Total_Cost_MUSD]]*1000000*Table1567891112131415[[#This Row],[prob50-failure_rating2]]/50</f>
        <v>452.26096851826782</v>
      </c>
      <c r="IZ17" s="1">
        <f>Table1567891112131415[[#This Row],[Total_Cost_MUSD]]*1000000*Table1567891112131415[[#This Row],[prob50-failure_rating3]]/50</f>
        <v>99.497413074018908</v>
      </c>
      <c r="JA17" s="1">
        <f>Table1567891112131415[[#This Row],[Total_Cost_MUSD]]*1000000*Table1567891112131415[[#This Row],[prob50-failure_rating4]]/50</f>
        <v>36.180877481461422</v>
      </c>
      <c r="JB17" s="1">
        <f>Table1567891112131415[[#This Row],[Total_Cost_MUSD]]*1000000*Table1567891112131415[[#This Row],[prob50-failure_rating5]]/50</f>
        <v>6.3316535592557486</v>
      </c>
      <c r="JC17" s="1">
        <f>Table1567891112131415[[#This Row],[Total_Cost_MUSD]]*1000000*Table1567891112131415[[#This Row],[prob50-failure_rating6]]/50</f>
        <v>1.6281394866657641</v>
      </c>
      <c r="JD17" s="1">
        <f>Table1567891112131415[[#This Row],[Total_Cost_MUSD]]*1000000*Table1567891112131415[[#This Row],[prob50-failure_rating7]]/50</f>
        <v>1.6281394866657641</v>
      </c>
      <c r="JE17" s="1">
        <f>Table1567891112131415[[#This Row],[Total_Cost_MUSD]]*1000000*Table1567891112131415[[#This Row],[prob50-failure_rating8]]/50</f>
        <v>3.6180877481461426E-2</v>
      </c>
      <c r="JF17" s="1">
        <f>Table1567891112131415[[#This Row],[Total_Cost_MUSD]]*1000000*Table1567891112131415[[#This Row],[prob50-failure_rating9]]/50</f>
        <v>2.2613048425913388E-2</v>
      </c>
      <c r="JG17" s="1">
        <f>Table1567891112131415[[#This Row],[Total_Cost_MUSD]]*1000000*Table1567891112131415[[#This Row],[prob10-failure_rating1]]/10</f>
        <v>27135.658111096069</v>
      </c>
      <c r="JH17" s="1">
        <f>Table1567891112131415[[#This Row],[Total_Cost_MUSD]]*1000000*Table1567891112131415[[#This Row],[prob10-failure_rating2]]/10</f>
        <v>1356.7829055548034</v>
      </c>
      <c r="JI17" s="1">
        <f>Table1567891112131415[[#This Row],[Total_Cost_MUSD]]*1000000*Table1567891112131415[[#This Row],[prob10-failure_rating3]]/10</f>
        <v>298.49223922205681</v>
      </c>
      <c r="JJ17" s="1">
        <f>Table1567891112131415[[#This Row],[Total_Cost_MUSD]]*1000000*Table1567891112131415[[#This Row],[prob10-failure_rating4]]/10</f>
        <v>108.54263244438428</v>
      </c>
      <c r="JK17" s="1">
        <f>Table1567891112131415[[#This Row],[Total_Cost_MUSD]]*1000000*Table1567891112131415[[#This Row],[prob10-failure_rating5]]/10</f>
        <v>18.994960677767246</v>
      </c>
      <c r="JL17" s="1">
        <f>Table1567891112131415[[#This Row],[Total_Cost_MUSD]]*1000000*Table1567891112131415[[#This Row],[prob10-failure_rating6]]/10</f>
        <v>4.8844184599972928</v>
      </c>
      <c r="JM17" s="1">
        <f>Table1567891112131415[[#This Row],[Total_Cost_MUSD]]*1000000*Table1567891112131415[[#This Row],[prob10-failure_rating7]]/10</f>
        <v>4.8844184599972928</v>
      </c>
      <c r="JN17" s="1">
        <f>Table1567891112131415[[#This Row],[Total_Cost_MUSD]]*1000000*Table1567891112131415[[#This Row],[prob10-failure_rating8]]/10</f>
        <v>0.10854263244438427</v>
      </c>
      <c r="JO17" s="1">
        <f>Table1567891112131415[[#This Row],[Total_Cost_MUSD]]*1000000*Table1567891112131415[[#This Row],[prob10-failure_rating9]]/10</f>
        <v>6.7839145277740168E-2</v>
      </c>
      <c r="JP17" s="1">
        <f>Table1567891112131415[[#This Row],[FailureCost_Rating1]]</f>
        <v>2419.5961815727328</v>
      </c>
      <c r="JQ17" s="1">
        <f>Table1567891112131415[[#This Row],[FailureCost_Rating2]]</f>
        <v>2419.5961815727328</v>
      </c>
      <c r="JR17" s="1">
        <f>(Table1567891112131415[[#This Row],[failurecost500_rating2]]+Table1567891112131415[[#This Row],[failurecost100_rating2]]+Table1567891112131415[[#This Row],[failurecost50_rating2]]+Table1567891112131415[[#This Row],[failurecost10_rating2]])</f>
        <v>2419.5961815727328</v>
      </c>
      <c r="JS17" s="1">
        <f>(Table1567891112131415[[#This Row],[failurecost500_rating3]]+Table1567891112131415[[#This Row],[failurecost100_rating3]]+Table1567891112131415[[#This Row],[failurecost50_rating3]]+Table1567891112131415[[#This Row],[failurecost10_rating3]])</f>
        <v>532.31115994600123</v>
      </c>
      <c r="JT17" s="1">
        <f>(Table1567891112131415[[#This Row],[failurecost500_rating4]]+Table1567891112131415[[#This Row],[failurecost100_rating4]]+Table1567891112131415[[#This Row],[failurecost50_rating4]]+Table1567891112131415[[#This Row],[failurecost10_rating4]])</f>
        <v>193.56769452581864</v>
      </c>
      <c r="JU17" s="1">
        <f>(Table1567891112131415[[#This Row],[failurecost500_rating5]]+Table1567891112131415[[#This Row],[failurecost100_rating5]]+Table1567891112131415[[#This Row],[failurecost50_rating5]]+Table1567891112131415[[#This Row],[failurecost10_rating5]])</f>
        <v>33.874346542018259</v>
      </c>
      <c r="JV17" s="1">
        <f>(Table1567891112131415[[#This Row],[failurecost500_rating6]]+Table1567891112131415[[#This Row],[failurecost100_rating6]]+Table1567891112131415[[#This Row],[failurecost50_rating6]]+Table1567891112131415[[#This Row],[failurecost10_rating6]])</f>
        <v>8.710546253661839</v>
      </c>
      <c r="JW17" s="1">
        <f>(Table1567891112131415[[#This Row],[failurecost500_rating7]]+Table1567891112131415[[#This Row],[failurecost100_rating7]]+Table1567891112131415[[#This Row],[failurecost50_rating7]]+Table1567891112131415[[#This Row],[failurecost10_rating7]])</f>
        <v>8.710546253661839</v>
      </c>
      <c r="JX17" s="1">
        <f>(Table1567891112131415[[#This Row],[failurecost500_rating8]]+Table1567891112131415[[#This Row],[failurecost100_rating8]]+Table1567891112131415[[#This Row],[failurecost50_rating8]]+Table1567891112131415[[#This Row],[failurecost10_rating8]])</f>
        <v>0.19356769452581862</v>
      </c>
      <c r="JY17" s="1">
        <f>(Table1567891112131415[[#This Row],[failurecost500_rating9]]+Table1567891112131415[[#This Row],[failurecost100_rating9]]+Table1567891112131415[[#This Row],[failurecost50_rating9]]+Table1567891112131415[[#This Row],[failurecost10_rating9]])</f>
        <v>0.12097980907863663</v>
      </c>
    </row>
    <row r="18" spans="1:285" ht="28.8" x14ac:dyDescent="0.3">
      <c r="A18" s="1">
        <v>16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15354.595084739485</v>
      </c>
      <c r="AR18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13414.428771618834</v>
      </c>
      <c r="AS18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13976.739331979787</v>
      </c>
      <c r="AT18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0.52800000000000002</v>
      </c>
      <c r="GF18" s="1">
        <v>26.778402950728445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Sheet4!Q48*$GF18*1000000</f>
        <v>23803.02484509195</v>
      </c>
      <c r="GM18" s="1">
        <f>Sheet4!R48*$GF18*1000000</f>
        <v>13389.201475364223</v>
      </c>
      <c r="GN18" s="1">
        <f>Sheet4!S48*$GF18*1000000</f>
        <v>8569.0889442331045</v>
      </c>
      <c r="GO18" s="1">
        <f>Sheet4!T48*$GF18*1000000</f>
        <v>5950.7562112729875</v>
      </c>
      <c r="GP18" s="1">
        <f>Sheet4!U48*$GF18*1000000</f>
        <v>4371.98415522097</v>
      </c>
      <c r="GQ18" s="1">
        <f>Sheet4!V48*$GF18*1000000</f>
        <v>3347.3003688410558</v>
      </c>
      <c r="GR18" s="1">
        <f>Sheet4!W48*$GF18*1000000</f>
        <v>2644.7805383435502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0.01</v>
      </c>
      <c r="HF18" s="1">
        <v>1.25E-3</v>
      </c>
      <c r="HG18" s="1">
        <v>2.7500000000000002E-4</v>
      </c>
      <c r="HH18" s="1">
        <v>1E-4</v>
      </c>
      <c r="HI18" s="1">
        <v>1.7499999999999998E-5</v>
      </c>
      <c r="HJ18" s="1">
        <v>4.5000000000000001E-6</v>
      </c>
      <c r="HK18" s="1">
        <v>4.5000000000000001E-6</v>
      </c>
      <c r="HL18" s="1">
        <v>9.9999999999999995E-8</v>
      </c>
      <c r="HM18" s="1">
        <v>6.2499999999999997E-8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Table1567891112131415[[#This Row],[Total_Cost_MUSD]]*1000000*Table1567891112131415[[#This Row],[prob500-failure_rating1]]/500</f>
        <v>535.56805901456892</v>
      </c>
      <c r="IG18" s="1">
        <f>Table1567891112131415[[#This Row],[Total_Cost_MUSD]]*1000000*Table1567891112131415[[#This Row],[prob500-failure_rating2]]/500</f>
        <v>267.78402950728446</v>
      </c>
      <c r="IH18" s="1">
        <f>Table1567891112131415[[#This Row],[Total_Cost_MUSD]]*1000000*Table1567891112131415[[#This Row],[prob500-failure_rating3]]/500</f>
        <v>58.912486491602586</v>
      </c>
      <c r="II18" s="1">
        <f>Table1567891112131415[[#This Row],[Total_Cost_MUSD]]*1000000*Table1567891112131415[[#This Row],[prob500-failure_rating4]]/500</f>
        <v>21.422722360582757</v>
      </c>
      <c r="IJ18" s="1">
        <f>Table1567891112131415[[#This Row],[Total_Cost_MUSD]]*1000000*Table1567891112131415[[#This Row],[prob500-failure_rating5]]/500</f>
        <v>3.7489764131019818</v>
      </c>
      <c r="IK18" s="1">
        <f>Table1567891112131415[[#This Row],[Total_Cost_MUSD]]*1000000*Table1567891112131415[[#This Row],[prob500-failure_rating6]]/500</f>
        <v>0.9640225062262241</v>
      </c>
      <c r="IL18" s="1">
        <f>Table1567891112131415[[#This Row],[Total_Cost_MUSD]]*1000000*Table1567891112131415[[#This Row],[prob500-failure_rating7]]/500</f>
        <v>0.9640225062262241</v>
      </c>
      <c r="IM18" s="1">
        <f>Table1567891112131415[[#This Row],[Total_Cost_MUSD]]*1000000*Table1567891112131415[[#This Row],[prob500-failure_rating8]]/500</f>
        <v>2.1422722360582756E-2</v>
      </c>
      <c r="IN18" s="1">
        <f>Table1567891112131415[[#This Row],[Total_Cost_MUSD]]*1000000*Table1567891112131415[[#This Row],[prob500-failure_rating9]]/500</f>
        <v>1.3389201475364222E-2</v>
      </c>
      <c r="IO18" s="1">
        <f>Table1567891112131415[[#This Row],[Total_Cost_MUSD]]*1000000*Table1567891112131415[[#This Row],[prob100-failure_rating1]]/100</f>
        <v>2677.8402950728446</v>
      </c>
      <c r="IP18" s="1">
        <f>Table1567891112131415[[#This Row],[Total_Cost_MUSD]]*1000000*Table1567891112131415[[#This Row],[prob100-failure_rating2]]/100</f>
        <v>334.73003688410557</v>
      </c>
      <c r="IQ18" s="1">
        <f>Table1567891112131415[[#This Row],[Total_Cost_MUSD]]*1000000*Table1567891112131415[[#This Row],[prob100-failure_rating3]]/100</f>
        <v>73.640608114503223</v>
      </c>
      <c r="IR18" s="1">
        <f>Table1567891112131415[[#This Row],[Total_Cost_MUSD]]*1000000*Table1567891112131415[[#This Row],[prob100-failure_rating4]]/100</f>
        <v>26.778402950728445</v>
      </c>
      <c r="IS18" s="1">
        <f>Table1567891112131415[[#This Row],[Total_Cost_MUSD]]*1000000*Table1567891112131415[[#This Row],[prob100-failure_rating5]]/100</f>
        <v>4.6862205163774773</v>
      </c>
      <c r="IT18" s="1">
        <f>Table1567891112131415[[#This Row],[Total_Cost_MUSD]]*1000000*Table1567891112131415[[#This Row],[prob100-failure_rating6]]/100</f>
        <v>1.2050281327827801</v>
      </c>
      <c r="IU18" s="1">
        <f>Table1567891112131415[[#This Row],[Total_Cost_MUSD]]*1000000*Table1567891112131415[[#This Row],[prob100-failure_rating7]]/100</f>
        <v>1.2050281327827801</v>
      </c>
      <c r="IV18" s="1">
        <f>Table1567891112131415[[#This Row],[Total_Cost_MUSD]]*1000000*Table1567891112131415[[#This Row],[prob100-failure_rating8]]/100</f>
        <v>2.6778402950728447E-2</v>
      </c>
      <c r="IW18" s="1">
        <f>Table1567891112131415[[#This Row],[Total_Cost_MUSD]]*1000000*Table1567891112131415[[#This Row],[prob100-failure_rating9]]/100</f>
        <v>1.6736501844205279E-2</v>
      </c>
      <c r="IX18" s="1">
        <f>Table1567891112131415[[#This Row],[Total_Cost_MUSD]]*1000000*Table1567891112131415[[#This Row],[prob50-failure_rating1]]/50</f>
        <v>5355.6805901456892</v>
      </c>
      <c r="IY18" s="1">
        <f>Table1567891112131415[[#This Row],[Total_Cost_MUSD]]*1000000*Table1567891112131415[[#This Row],[prob50-failure_rating2]]/50</f>
        <v>446.30671584547412</v>
      </c>
      <c r="IZ18" s="1">
        <f>Table1567891112131415[[#This Row],[Total_Cost_MUSD]]*1000000*Table1567891112131415[[#This Row],[prob50-failure_rating3]]/50</f>
        <v>98.187477486004298</v>
      </c>
      <c r="JA18" s="1">
        <f>Table1567891112131415[[#This Row],[Total_Cost_MUSD]]*1000000*Table1567891112131415[[#This Row],[prob50-failure_rating4]]/50</f>
        <v>35.704537267637932</v>
      </c>
      <c r="JB18" s="1">
        <f>Table1567891112131415[[#This Row],[Total_Cost_MUSD]]*1000000*Table1567891112131415[[#This Row],[prob50-failure_rating5]]/50</f>
        <v>6.2482940218366378</v>
      </c>
      <c r="JC18" s="1">
        <f>Table1567891112131415[[#This Row],[Total_Cost_MUSD]]*1000000*Table1567891112131415[[#This Row],[prob50-failure_rating6]]/50</f>
        <v>1.6067041770437069</v>
      </c>
      <c r="JD18" s="1">
        <f>Table1567891112131415[[#This Row],[Total_Cost_MUSD]]*1000000*Table1567891112131415[[#This Row],[prob50-failure_rating7]]/50</f>
        <v>1.6067041770437069</v>
      </c>
      <c r="JE18" s="1">
        <f>Table1567891112131415[[#This Row],[Total_Cost_MUSD]]*1000000*Table1567891112131415[[#This Row],[prob50-failure_rating8]]/50</f>
        <v>3.5704537267637927E-2</v>
      </c>
      <c r="JF18" s="1">
        <f>Table1567891112131415[[#This Row],[Total_Cost_MUSD]]*1000000*Table1567891112131415[[#This Row],[prob50-failure_rating9]]/50</f>
        <v>2.2315335792273704E-2</v>
      </c>
      <c r="JG18" s="1">
        <f>Table1567891112131415[[#This Row],[Total_Cost_MUSD]]*1000000*Table1567891112131415[[#This Row],[prob10-failure_rating1]]/10</f>
        <v>26778.402950728447</v>
      </c>
      <c r="JH18" s="1">
        <f>Table1567891112131415[[#This Row],[Total_Cost_MUSD]]*1000000*Table1567891112131415[[#This Row],[prob10-failure_rating2]]/10</f>
        <v>1338.9201475364223</v>
      </c>
      <c r="JI18" s="1">
        <f>Table1567891112131415[[#This Row],[Total_Cost_MUSD]]*1000000*Table1567891112131415[[#This Row],[prob10-failure_rating3]]/10</f>
        <v>294.56243245801295</v>
      </c>
      <c r="JJ18" s="1">
        <f>Table1567891112131415[[#This Row],[Total_Cost_MUSD]]*1000000*Table1567891112131415[[#This Row],[prob10-failure_rating4]]/10</f>
        <v>107.11361180291378</v>
      </c>
      <c r="JK18" s="1">
        <f>Table1567891112131415[[#This Row],[Total_Cost_MUSD]]*1000000*Table1567891112131415[[#This Row],[prob10-failure_rating5]]/10</f>
        <v>18.744882065509909</v>
      </c>
      <c r="JL18" s="1">
        <f>Table1567891112131415[[#This Row],[Total_Cost_MUSD]]*1000000*Table1567891112131415[[#This Row],[prob10-failure_rating6]]/10</f>
        <v>4.8201125311311213</v>
      </c>
      <c r="JM18" s="1">
        <f>Table1567891112131415[[#This Row],[Total_Cost_MUSD]]*1000000*Table1567891112131415[[#This Row],[prob10-failure_rating7]]/10</f>
        <v>4.8201125311311213</v>
      </c>
      <c r="JN18" s="1">
        <f>Table1567891112131415[[#This Row],[Total_Cost_MUSD]]*1000000*Table1567891112131415[[#This Row],[prob10-failure_rating8]]/10</f>
        <v>0.10711361180291379</v>
      </c>
      <c r="JO18" s="1">
        <f>Table1567891112131415[[#This Row],[Total_Cost_MUSD]]*1000000*Table1567891112131415[[#This Row],[prob10-failure_rating9]]/10</f>
        <v>6.6946007376821118E-2</v>
      </c>
      <c r="JP18" s="1">
        <f>Table1567891112131415[[#This Row],[FailureCost_Rating1]]</f>
        <v>2387.7409297732866</v>
      </c>
      <c r="JQ18" s="1">
        <f>Table1567891112131415[[#This Row],[FailureCost_Rating2]]</f>
        <v>2387.7409297732866</v>
      </c>
      <c r="JR18" s="1">
        <f>(Table1567891112131415[[#This Row],[failurecost500_rating2]]+Table1567891112131415[[#This Row],[failurecost100_rating2]]+Table1567891112131415[[#This Row],[failurecost50_rating2]]+Table1567891112131415[[#This Row],[failurecost10_rating2]])</f>
        <v>2387.7409297732866</v>
      </c>
      <c r="JS18" s="1">
        <f>(Table1567891112131415[[#This Row],[failurecost500_rating3]]+Table1567891112131415[[#This Row],[failurecost100_rating3]]+Table1567891112131415[[#This Row],[failurecost50_rating3]]+Table1567891112131415[[#This Row],[failurecost10_rating3]])</f>
        <v>525.30300455012309</v>
      </c>
      <c r="JT18" s="1">
        <f>(Table1567891112131415[[#This Row],[failurecost500_rating4]]+Table1567891112131415[[#This Row],[failurecost100_rating4]]+Table1567891112131415[[#This Row],[failurecost50_rating4]]+Table1567891112131415[[#This Row],[failurecost10_rating4]])</f>
        <v>191.01927438186291</v>
      </c>
      <c r="JU18" s="1">
        <f>(Table1567891112131415[[#This Row],[failurecost500_rating5]]+Table1567891112131415[[#This Row],[failurecost100_rating5]]+Table1567891112131415[[#This Row],[failurecost50_rating5]]+Table1567891112131415[[#This Row],[failurecost10_rating5]])</f>
        <v>33.428373016826008</v>
      </c>
      <c r="JV18" s="1">
        <f>(Table1567891112131415[[#This Row],[failurecost500_rating6]]+Table1567891112131415[[#This Row],[failurecost100_rating6]]+Table1567891112131415[[#This Row],[failurecost50_rating6]]+Table1567891112131415[[#This Row],[failurecost10_rating6]])</f>
        <v>8.5958673471838321</v>
      </c>
      <c r="JW18" s="1">
        <f>(Table1567891112131415[[#This Row],[failurecost500_rating7]]+Table1567891112131415[[#This Row],[failurecost100_rating7]]+Table1567891112131415[[#This Row],[failurecost50_rating7]]+Table1567891112131415[[#This Row],[failurecost10_rating7]])</f>
        <v>8.5958673471838321</v>
      </c>
      <c r="JX18" s="1">
        <f>(Table1567891112131415[[#This Row],[failurecost500_rating8]]+Table1567891112131415[[#This Row],[failurecost100_rating8]]+Table1567891112131415[[#This Row],[failurecost50_rating8]]+Table1567891112131415[[#This Row],[failurecost10_rating8]])</f>
        <v>0.19101927438186292</v>
      </c>
      <c r="JY18" s="1">
        <f>(Table1567891112131415[[#This Row],[failurecost500_rating9]]+Table1567891112131415[[#This Row],[failurecost100_rating9]]+Table1567891112131415[[#This Row],[failurecost50_rating9]]+Table1567891112131415[[#This Row],[failurecost10_rating9]])</f>
        <v>0.11938704648866433</v>
      </c>
    </row>
    <row r="19" spans="1:285" ht="28.8" x14ac:dyDescent="0.3">
      <c r="A19" s="1">
        <v>17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10223.699035708925</v>
      </c>
      <c r="AR19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11295.880242844603</v>
      </c>
      <c r="AS19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11757.366155411924</v>
      </c>
      <c r="AT19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0.79200000000000004</v>
      </c>
      <c r="GF19" s="1">
        <v>26.948998414104054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Sheet4!Q49*$GF19*1000000</f>
        <v>23954.665256981381</v>
      </c>
      <c r="GM19" s="1">
        <f>Sheet4!R49*$GF19*1000000</f>
        <v>13474.499207052027</v>
      </c>
      <c r="GN19" s="1">
        <f>Sheet4!S49*$GF19*1000000</f>
        <v>8623.6794925132981</v>
      </c>
      <c r="GO19" s="1">
        <f>Sheet4!T49*$GF19*1000000</f>
        <v>5988.6663142453453</v>
      </c>
      <c r="GP19" s="1">
        <f>Sheet4!U49*$GF19*1000000</f>
        <v>4399.836475772091</v>
      </c>
      <c r="GQ19" s="1">
        <f>Sheet4!V49*$GF19*1000000</f>
        <v>3368.6248017630069</v>
      </c>
      <c r="GR19" s="1">
        <f>Sheet4!W49*$GF19*1000000</f>
        <v>2661.6294729979313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0.01</v>
      </c>
      <c r="HF19" s="1">
        <v>1.25E-3</v>
      </c>
      <c r="HG19" s="1">
        <v>2.7500000000000002E-4</v>
      </c>
      <c r="HH19" s="1">
        <v>1E-4</v>
      </c>
      <c r="HI19" s="1">
        <v>1.7499999999999998E-5</v>
      </c>
      <c r="HJ19" s="1">
        <v>4.5000000000000001E-6</v>
      </c>
      <c r="HK19" s="1">
        <v>4.5000000000000001E-6</v>
      </c>
      <c r="HL19" s="1">
        <v>9.9999999999999995E-8</v>
      </c>
      <c r="HM19" s="1">
        <v>6.2499999999999997E-8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Table1567891112131415[[#This Row],[Total_Cost_MUSD]]*1000000*Table1567891112131415[[#This Row],[prob500-failure_rating1]]/500</f>
        <v>538.97996828208102</v>
      </c>
      <c r="IG19" s="1">
        <f>Table1567891112131415[[#This Row],[Total_Cost_MUSD]]*1000000*Table1567891112131415[[#This Row],[prob500-failure_rating2]]/500</f>
        <v>269.48998414104051</v>
      </c>
      <c r="IH19" s="1">
        <f>Table1567891112131415[[#This Row],[Total_Cost_MUSD]]*1000000*Table1567891112131415[[#This Row],[prob500-failure_rating3]]/500</f>
        <v>59.287796511028915</v>
      </c>
      <c r="II19" s="1">
        <f>Table1567891112131415[[#This Row],[Total_Cost_MUSD]]*1000000*Table1567891112131415[[#This Row],[prob500-failure_rating4]]/500</f>
        <v>21.559198731283242</v>
      </c>
      <c r="IJ19" s="1">
        <f>Table1567891112131415[[#This Row],[Total_Cost_MUSD]]*1000000*Table1567891112131415[[#This Row],[prob500-failure_rating5]]/500</f>
        <v>3.772859777974567</v>
      </c>
      <c r="IK19" s="1">
        <f>Table1567891112131415[[#This Row],[Total_Cost_MUSD]]*1000000*Table1567891112131415[[#This Row],[prob500-failure_rating6]]/500</f>
        <v>0.97016394290774588</v>
      </c>
      <c r="IL19" s="1">
        <f>Table1567891112131415[[#This Row],[Total_Cost_MUSD]]*1000000*Table1567891112131415[[#This Row],[prob500-failure_rating7]]/500</f>
        <v>0.97016394290774588</v>
      </c>
      <c r="IM19" s="1">
        <f>Table1567891112131415[[#This Row],[Total_Cost_MUSD]]*1000000*Table1567891112131415[[#This Row],[prob500-failure_rating8]]/500</f>
        <v>2.1559198731283244E-2</v>
      </c>
      <c r="IN19" s="1">
        <f>Table1567891112131415[[#This Row],[Total_Cost_MUSD]]*1000000*Table1567891112131415[[#This Row],[prob500-failure_rating9]]/500</f>
        <v>1.3474499207052026E-2</v>
      </c>
      <c r="IO19" s="1">
        <f>Table1567891112131415[[#This Row],[Total_Cost_MUSD]]*1000000*Table1567891112131415[[#This Row],[prob100-failure_rating1]]/100</f>
        <v>2694.8998414104053</v>
      </c>
      <c r="IP19" s="1">
        <f>Table1567891112131415[[#This Row],[Total_Cost_MUSD]]*1000000*Table1567891112131415[[#This Row],[prob100-failure_rating2]]/100</f>
        <v>336.86248017630066</v>
      </c>
      <c r="IQ19" s="1">
        <f>Table1567891112131415[[#This Row],[Total_Cost_MUSD]]*1000000*Table1567891112131415[[#This Row],[prob100-failure_rating3]]/100</f>
        <v>74.109745638786137</v>
      </c>
      <c r="IR19" s="1">
        <f>Table1567891112131415[[#This Row],[Total_Cost_MUSD]]*1000000*Table1567891112131415[[#This Row],[prob100-failure_rating4]]/100</f>
        <v>26.948998414104054</v>
      </c>
      <c r="IS19" s="1">
        <f>Table1567891112131415[[#This Row],[Total_Cost_MUSD]]*1000000*Table1567891112131415[[#This Row],[prob100-failure_rating5]]/100</f>
        <v>4.7160747224682087</v>
      </c>
      <c r="IT19" s="1">
        <f>Table1567891112131415[[#This Row],[Total_Cost_MUSD]]*1000000*Table1567891112131415[[#This Row],[prob100-failure_rating6]]/100</f>
        <v>1.2127049286346823</v>
      </c>
      <c r="IU19" s="1">
        <f>Table1567891112131415[[#This Row],[Total_Cost_MUSD]]*1000000*Table1567891112131415[[#This Row],[prob100-failure_rating7]]/100</f>
        <v>1.2127049286346823</v>
      </c>
      <c r="IV19" s="1">
        <f>Table1567891112131415[[#This Row],[Total_Cost_MUSD]]*1000000*Table1567891112131415[[#This Row],[prob100-failure_rating8]]/100</f>
        <v>2.6948998414104051E-2</v>
      </c>
      <c r="IW19" s="1">
        <f>Table1567891112131415[[#This Row],[Total_Cost_MUSD]]*1000000*Table1567891112131415[[#This Row],[prob100-failure_rating9]]/100</f>
        <v>1.6843124008815033E-2</v>
      </c>
      <c r="IX19" s="1">
        <f>Table1567891112131415[[#This Row],[Total_Cost_MUSD]]*1000000*Table1567891112131415[[#This Row],[prob50-failure_rating1]]/50</f>
        <v>5389.7996828208106</v>
      </c>
      <c r="IY19" s="1">
        <f>Table1567891112131415[[#This Row],[Total_Cost_MUSD]]*1000000*Table1567891112131415[[#This Row],[prob50-failure_rating2]]/50</f>
        <v>449.14997356840087</v>
      </c>
      <c r="IZ19" s="1">
        <f>Table1567891112131415[[#This Row],[Total_Cost_MUSD]]*1000000*Table1567891112131415[[#This Row],[prob50-failure_rating3]]/50</f>
        <v>98.812994185048197</v>
      </c>
      <c r="JA19" s="1">
        <f>Table1567891112131415[[#This Row],[Total_Cost_MUSD]]*1000000*Table1567891112131415[[#This Row],[prob50-failure_rating4]]/50</f>
        <v>35.931997885472072</v>
      </c>
      <c r="JB19" s="1">
        <f>Table1567891112131415[[#This Row],[Total_Cost_MUSD]]*1000000*Table1567891112131415[[#This Row],[prob50-failure_rating5]]/50</f>
        <v>6.2880996299576122</v>
      </c>
      <c r="JC19" s="1">
        <f>Table1567891112131415[[#This Row],[Total_Cost_MUSD]]*1000000*Table1567891112131415[[#This Row],[prob50-failure_rating6]]/50</f>
        <v>1.6169399048462432</v>
      </c>
      <c r="JD19" s="1">
        <f>Table1567891112131415[[#This Row],[Total_Cost_MUSD]]*1000000*Table1567891112131415[[#This Row],[prob50-failure_rating7]]/50</f>
        <v>1.6169399048462432</v>
      </c>
      <c r="JE19" s="1">
        <f>Table1567891112131415[[#This Row],[Total_Cost_MUSD]]*1000000*Table1567891112131415[[#This Row],[prob50-failure_rating8]]/50</f>
        <v>3.5931997885472071E-2</v>
      </c>
      <c r="JF19" s="1">
        <f>Table1567891112131415[[#This Row],[Total_Cost_MUSD]]*1000000*Table1567891112131415[[#This Row],[prob50-failure_rating9]]/50</f>
        <v>2.2457498678420042E-2</v>
      </c>
      <c r="JG19" s="1">
        <f>Table1567891112131415[[#This Row],[Total_Cost_MUSD]]*1000000*Table1567891112131415[[#This Row],[prob10-failure_rating1]]/10</f>
        <v>26948.998414104055</v>
      </c>
      <c r="JH19" s="1">
        <f>Table1567891112131415[[#This Row],[Total_Cost_MUSD]]*1000000*Table1567891112131415[[#This Row],[prob10-failure_rating2]]/10</f>
        <v>1347.4499207052027</v>
      </c>
      <c r="JI19" s="1">
        <f>Table1567891112131415[[#This Row],[Total_Cost_MUSD]]*1000000*Table1567891112131415[[#This Row],[prob10-failure_rating3]]/10</f>
        <v>296.43898255514461</v>
      </c>
      <c r="JJ19" s="1">
        <f>Table1567891112131415[[#This Row],[Total_Cost_MUSD]]*1000000*Table1567891112131415[[#This Row],[prob10-failure_rating4]]/10</f>
        <v>107.79599365641623</v>
      </c>
      <c r="JK19" s="1">
        <f>Table1567891112131415[[#This Row],[Total_Cost_MUSD]]*1000000*Table1567891112131415[[#This Row],[prob10-failure_rating5]]/10</f>
        <v>18.864298889872835</v>
      </c>
      <c r="JL19" s="1">
        <f>Table1567891112131415[[#This Row],[Total_Cost_MUSD]]*1000000*Table1567891112131415[[#This Row],[prob10-failure_rating6]]/10</f>
        <v>4.85081971453873</v>
      </c>
      <c r="JM19" s="1">
        <f>Table1567891112131415[[#This Row],[Total_Cost_MUSD]]*1000000*Table1567891112131415[[#This Row],[prob10-failure_rating7]]/10</f>
        <v>4.85081971453873</v>
      </c>
      <c r="JN19" s="1">
        <f>Table1567891112131415[[#This Row],[Total_Cost_MUSD]]*1000000*Table1567891112131415[[#This Row],[prob10-failure_rating8]]/10</f>
        <v>0.10779599365641621</v>
      </c>
      <c r="JO19" s="1">
        <f>Table1567891112131415[[#This Row],[Total_Cost_MUSD]]*1000000*Table1567891112131415[[#This Row],[prob10-failure_rating9]]/10</f>
        <v>6.7372496035260132E-2</v>
      </c>
      <c r="JP19" s="1">
        <f>Table1567891112131415[[#This Row],[FailureCost_Rating1]]</f>
        <v>2402.9523585909446</v>
      </c>
      <c r="JQ19" s="1">
        <f>Table1567891112131415[[#This Row],[FailureCost_Rating2]]</f>
        <v>2402.9523585909446</v>
      </c>
      <c r="JR19" s="1">
        <f>(Table1567891112131415[[#This Row],[failurecost500_rating2]]+Table1567891112131415[[#This Row],[failurecost100_rating2]]+Table1567891112131415[[#This Row],[failurecost50_rating2]]+Table1567891112131415[[#This Row],[failurecost10_rating2]])</f>
        <v>2402.9523585909446</v>
      </c>
      <c r="JS19" s="1">
        <f>(Table1567891112131415[[#This Row],[failurecost500_rating3]]+Table1567891112131415[[#This Row],[failurecost100_rating3]]+Table1567891112131415[[#This Row],[failurecost50_rating3]]+Table1567891112131415[[#This Row],[failurecost10_rating3]])</f>
        <v>528.64951889000781</v>
      </c>
      <c r="JT19" s="1">
        <f>(Table1567891112131415[[#This Row],[failurecost500_rating4]]+Table1567891112131415[[#This Row],[failurecost100_rating4]]+Table1567891112131415[[#This Row],[failurecost50_rating4]]+Table1567891112131415[[#This Row],[failurecost10_rating4]])</f>
        <v>192.23618868727561</v>
      </c>
      <c r="JU19" s="1">
        <f>(Table1567891112131415[[#This Row],[failurecost500_rating5]]+Table1567891112131415[[#This Row],[failurecost100_rating5]]+Table1567891112131415[[#This Row],[failurecost50_rating5]]+Table1567891112131415[[#This Row],[failurecost10_rating5]])</f>
        <v>33.641333020273223</v>
      </c>
      <c r="JV19" s="1">
        <f>(Table1567891112131415[[#This Row],[failurecost500_rating6]]+Table1567891112131415[[#This Row],[failurecost100_rating6]]+Table1567891112131415[[#This Row],[failurecost50_rating6]]+Table1567891112131415[[#This Row],[failurecost10_rating6]])</f>
        <v>8.6506284909274012</v>
      </c>
      <c r="JW19" s="1">
        <f>(Table1567891112131415[[#This Row],[failurecost500_rating7]]+Table1567891112131415[[#This Row],[failurecost100_rating7]]+Table1567891112131415[[#This Row],[failurecost50_rating7]]+Table1567891112131415[[#This Row],[failurecost10_rating7]])</f>
        <v>8.6506284909274012</v>
      </c>
      <c r="JX19" s="1">
        <f>(Table1567891112131415[[#This Row],[failurecost500_rating8]]+Table1567891112131415[[#This Row],[failurecost100_rating8]]+Table1567891112131415[[#This Row],[failurecost50_rating8]]+Table1567891112131415[[#This Row],[failurecost10_rating8]])</f>
        <v>0.19223618868727557</v>
      </c>
      <c r="JY19" s="1">
        <f>(Table1567891112131415[[#This Row],[failurecost500_rating9]]+Table1567891112131415[[#This Row],[failurecost100_rating9]]+Table1567891112131415[[#This Row],[failurecost50_rating9]]+Table1567891112131415[[#This Row],[failurecost10_rating9]])</f>
        <v>0.12014761792954723</v>
      </c>
    </row>
    <row r="20" spans="1:285" ht="28.8" x14ac:dyDescent="0.3">
      <c r="A20" s="1">
        <v>18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Table1567891112131415[[#This Row],[Depth10_Soil_vol]]*(9.353+9.027)+(Table1567891112131415[[#This Row],[Depth10_Soil_vol]]/2.5)*20*1.053+(PI()*Table1567891112131415[[#This Row],[Depth10_Scour]])*Table1567891112131415[[#This Row],[DECK_WIDTH_MT_052]]*1.062</f>
        <v>13853.451944603266</v>
      </c>
      <c r="AR20" s="1">
        <f>Table1567891112131415[[#This Row],[Depth50_Soil_vol]]*(9.353+9.027)+(Table1567891112131415[[#This Row],[Depth50_Soil_vol]]/2.5)*20*1.053+(PI()*Table1567891112131415[[#This Row],[Depth50_Scour]])*Table1567891112131415[[#This Row],[DECK_WIDTH_MT_052]]*1.062</f>
        <v>14885.488907843239</v>
      </c>
      <c r="AS20" s="1">
        <f>Table1567891112131415[[#This Row],[Depth100_Soil_vol]]*(9.353+9.027)+(Table1567891112131415[[#This Row],[Depth100_Soil_vol]]/2.5)*20*1.053+(PI()*Table1567891112131415[[#This Row],[Depth100_Scour]])*Table1567891112131415[[#This Row],[DECK_WIDTH_MT_052]]*1.062</f>
        <v>15342.083437730904</v>
      </c>
      <c r="AT20" s="1">
        <f>Table1567891112131415[[#This Row],[Depth500_Soil_vol]]*(9.353+9.027)+(Table1567891112131415[[#This Row],[Depth500_Soil_vol]]/2.5)*20*1.053+(PI()*Table1567891112131415[[#This Row],[Depth500_Scour]])*Table1567891112131415[[#This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MAX(0,(Table1567891112131415[[#This Row],[Current_rating]]-Table1567891112131415[[#This Row],[Depth10_Rating]])/10+(Table1567891112131415[[#This Row],[Current_rating]]-Table1567891112131415[[#This Row],[Depth50_Rating]])/50+(Table1567891112131415[[#This Row],[Current_rating]]-Table1567891112131415[[#This Row],[Depth100_Rating]])/100+(Table1567891112131415[[#This Row],[Current_rating]]-Table1567891112131415[[#This Row],[Depth500_Rating]])/500)</f>
        <v>0.26400000000000001</v>
      </c>
      <c r="GF20" s="1">
        <v>17.160034144348245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Sheet4!Q50*$GF20*1000000</f>
        <v>15253.363683865107</v>
      </c>
      <c r="GM20" s="1">
        <f>Sheet4!R50*$GF20*1000000</f>
        <v>8580.0170721741233</v>
      </c>
      <c r="GN20" s="1">
        <f>Sheet4!S50*$GF20*1000000</f>
        <v>5491.2109261914384</v>
      </c>
      <c r="GO20" s="1">
        <f>Sheet4!T50*$GF20*1000000</f>
        <v>3813.3409209662768</v>
      </c>
      <c r="GP20" s="1">
        <f>Sheet4!U50*$GF20*1000000</f>
        <v>2801.6382276486934</v>
      </c>
      <c r="GQ20" s="1">
        <f>Sheet4!V50*$GF20*1000000</f>
        <v>2145.0042680435308</v>
      </c>
      <c r="GR20" s="1">
        <f>Sheet4!W50*$GF20*1000000</f>
        <v>1694.8181870961228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0.01</v>
      </c>
      <c r="HF20" s="1">
        <v>1.25E-3</v>
      </c>
      <c r="HG20" s="1">
        <v>2.7500000000000002E-4</v>
      </c>
      <c r="HH20" s="1">
        <v>1E-4</v>
      </c>
      <c r="HI20" s="1">
        <v>1.7499999999999998E-5</v>
      </c>
      <c r="HJ20" s="1">
        <v>4.5000000000000001E-6</v>
      </c>
      <c r="HK20" s="1">
        <v>4.5000000000000001E-6</v>
      </c>
      <c r="HL20" s="1">
        <v>9.9999999999999995E-8</v>
      </c>
      <c r="HM20" s="1">
        <v>6.2499999999999997E-8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Table1567891112131415[[#This Row],[Total_Cost_MUSD]]*1000000*Table1567891112131415[[#This Row],[prob500-failure_rating1]]/500</f>
        <v>343.20068288696496</v>
      </c>
      <c r="IG20" s="1">
        <f>Table1567891112131415[[#This Row],[Total_Cost_MUSD]]*1000000*Table1567891112131415[[#This Row],[prob500-failure_rating2]]/500</f>
        <v>171.60034144348248</v>
      </c>
      <c r="IH20" s="1">
        <f>Table1567891112131415[[#This Row],[Total_Cost_MUSD]]*1000000*Table1567891112131415[[#This Row],[prob500-failure_rating3]]/500</f>
        <v>37.752075117566143</v>
      </c>
      <c r="II20" s="1">
        <f>Table1567891112131415[[#This Row],[Total_Cost_MUSD]]*1000000*Table1567891112131415[[#This Row],[prob500-failure_rating4]]/500</f>
        <v>13.728027315478597</v>
      </c>
      <c r="IJ20" s="1">
        <f>Table1567891112131415[[#This Row],[Total_Cost_MUSD]]*1000000*Table1567891112131415[[#This Row],[prob500-failure_rating5]]/500</f>
        <v>2.4024047802087538</v>
      </c>
      <c r="IK20" s="1">
        <f>Table1567891112131415[[#This Row],[Total_Cost_MUSD]]*1000000*Table1567891112131415[[#This Row],[prob500-failure_rating6]]/500</f>
        <v>0.61776122919653687</v>
      </c>
      <c r="IL20" s="1">
        <f>Table1567891112131415[[#This Row],[Total_Cost_MUSD]]*1000000*Table1567891112131415[[#This Row],[prob500-failure_rating7]]/500</f>
        <v>0.61776122919653687</v>
      </c>
      <c r="IM20" s="1">
        <f>Table1567891112131415[[#This Row],[Total_Cost_MUSD]]*1000000*Table1567891112131415[[#This Row],[prob500-failure_rating8]]/500</f>
        <v>1.3728027315478595E-2</v>
      </c>
      <c r="IN20" s="1">
        <f>Table1567891112131415[[#This Row],[Total_Cost_MUSD]]*1000000*Table1567891112131415[[#This Row],[prob500-failure_rating9]]/500</f>
        <v>8.5800170721741231E-3</v>
      </c>
      <c r="IO20" s="1">
        <f>Table1567891112131415[[#This Row],[Total_Cost_MUSD]]*1000000*Table1567891112131415[[#This Row],[prob100-failure_rating1]]/100</f>
        <v>1716.0034144348247</v>
      </c>
      <c r="IP20" s="1">
        <f>Table1567891112131415[[#This Row],[Total_Cost_MUSD]]*1000000*Table1567891112131415[[#This Row],[prob100-failure_rating2]]/100</f>
        <v>214.50042680435308</v>
      </c>
      <c r="IQ20" s="1">
        <f>Table1567891112131415[[#This Row],[Total_Cost_MUSD]]*1000000*Table1567891112131415[[#This Row],[prob100-failure_rating3]]/100</f>
        <v>47.190093896957677</v>
      </c>
      <c r="IR20" s="1">
        <f>Table1567891112131415[[#This Row],[Total_Cost_MUSD]]*1000000*Table1567891112131415[[#This Row],[prob100-failure_rating4]]/100</f>
        <v>17.160034144348245</v>
      </c>
      <c r="IS20" s="1">
        <f>Table1567891112131415[[#This Row],[Total_Cost_MUSD]]*1000000*Table1567891112131415[[#This Row],[prob100-failure_rating5]]/100</f>
        <v>3.0030059752609422</v>
      </c>
      <c r="IT20" s="1">
        <f>Table1567891112131415[[#This Row],[Total_Cost_MUSD]]*1000000*Table1567891112131415[[#This Row],[prob100-failure_rating6]]/100</f>
        <v>0.77220153649567114</v>
      </c>
      <c r="IU20" s="1">
        <f>Table1567891112131415[[#This Row],[Total_Cost_MUSD]]*1000000*Table1567891112131415[[#This Row],[prob100-failure_rating7]]/100</f>
        <v>0.77220153649567114</v>
      </c>
      <c r="IV20" s="1">
        <f>Table1567891112131415[[#This Row],[Total_Cost_MUSD]]*1000000*Table1567891112131415[[#This Row],[prob100-failure_rating8]]/100</f>
        <v>1.7160034144348243E-2</v>
      </c>
      <c r="IW20" s="1">
        <f>Table1567891112131415[[#This Row],[Total_Cost_MUSD]]*1000000*Table1567891112131415[[#This Row],[prob100-failure_rating9]]/100</f>
        <v>1.0725021340217654E-2</v>
      </c>
      <c r="IX20" s="1">
        <f>Table1567891112131415[[#This Row],[Total_Cost_MUSD]]*1000000*Table1567891112131415[[#This Row],[prob50-failure_rating1]]/50</f>
        <v>3432.0068288696493</v>
      </c>
      <c r="IY20" s="1">
        <f>Table1567891112131415[[#This Row],[Total_Cost_MUSD]]*1000000*Table1567891112131415[[#This Row],[prob50-failure_rating2]]/50</f>
        <v>286.00056907247074</v>
      </c>
      <c r="IZ20" s="1">
        <f>Table1567891112131415[[#This Row],[Total_Cost_MUSD]]*1000000*Table1567891112131415[[#This Row],[prob50-failure_rating3]]/50</f>
        <v>62.920125195943562</v>
      </c>
      <c r="JA20" s="1">
        <f>Table1567891112131415[[#This Row],[Total_Cost_MUSD]]*1000000*Table1567891112131415[[#This Row],[prob50-failure_rating4]]/50</f>
        <v>22.880045525797659</v>
      </c>
      <c r="JB20" s="1">
        <f>Table1567891112131415[[#This Row],[Total_Cost_MUSD]]*1000000*Table1567891112131415[[#This Row],[prob50-failure_rating5]]/50</f>
        <v>4.0040079670145907</v>
      </c>
      <c r="JC20" s="1">
        <f>Table1567891112131415[[#This Row],[Total_Cost_MUSD]]*1000000*Table1567891112131415[[#This Row],[prob50-failure_rating6]]/50</f>
        <v>1.0296020486608948</v>
      </c>
      <c r="JD20" s="1">
        <f>Table1567891112131415[[#This Row],[Total_Cost_MUSD]]*1000000*Table1567891112131415[[#This Row],[prob50-failure_rating7]]/50</f>
        <v>1.0296020486608948</v>
      </c>
      <c r="JE20" s="1">
        <f>Table1567891112131415[[#This Row],[Total_Cost_MUSD]]*1000000*Table1567891112131415[[#This Row],[prob50-failure_rating8]]/50</f>
        <v>2.2880045525797657E-2</v>
      </c>
      <c r="JF20" s="1">
        <f>Table1567891112131415[[#This Row],[Total_Cost_MUSD]]*1000000*Table1567891112131415[[#This Row],[prob50-failure_rating9]]/50</f>
        <v>1.4300028453623537E-2</v>
      </c>
      <c r="JG20" s="1">
        <f>Table1567891112131415[[#This Row],[Total_Cost_MUSD]]*1000000*Table1567891112131415[[#This Row],[prob10-failure_rating1]]/10</f>
        <v>17160.034144348247</v>
      </c>
      <c r="JH20" s="1">
        <f>Table1567891112131415[[#This Row],[Total_Cost_MUSD]]*1000000*Table1567891112131415[[#This Row],[prob10-failure_rating2]]/10</f>
        <v>858.00170721741233</v>
      </c>
      <c r="JI20" s="1">
        <f>Table1567891112131415[[#This Row],[Total_Cost_MUSD]]*1000000*Table1567891112131415[[#This Row],[prob10-failure_rating3]]/10</f>
        <v>188.76037558783071</v>
      </c>
      <c r="JJ20" s="1">
        <f>Table1567891112131415[[#This Row],[Total_Cost_MUSD]]*1000000*Table1567891112131415[[#This Row],[prob10-failure_rating4]]/10</f>
        <v>68.640136577392994</v>
      </c>
      <c r="JK20" s="1">
        <f>Table1567891112131415[[#This Row],[Total_Cost_MUSD]]*1000000*Table1567891112131415[[#This Row],[prob10-failure_rating5]]/10</f>
        <v>12.01202390104377</v>
      </c>
      <c r="JL20" s="1">
        <f>Table1567891112131415[[#This Row],[Total_Cost_MUSD]]*1000000*Table1567891112131415[[#This Row],[prob10-failure_rating6]]/10</f>
        <v>3.0888061459826845</v>
      </c>
      <c r="JM20" s="1">
        <f>Table1567891112131415[[#This Row],[Total_Cost_MUSD]]*1000000*Table1567891112131415[[#This Row],[prob10-failure_rating7]]/10</f>
        <v>3.0888061459826845</v>
      </c>
      <c r="JN20" s="1">
        <f>Table1567891112131415[[#This Row],[Total_Cost_MUSD]]*1000000*Table1567891112131415[[#This Row],[prob10-failure_rating8]]/10</f>
        <v>6.8640136577392985E-2</v>
      </c>
      <c r="JO20" s="1">
        <f>Table1567891112131415[[#This Row],[Total_Cost_MUSD]]*1000000*Table1567891112131415[[#This Row],[prob10-failure_rating9]]/10</f>
        <v>4.2900085360870609E-2</v>
      </c>
      <c r="JP20" s="1">
        <f>Table1567891112131415[[#This Row],[FailureCost_Rating1]]</f>
        <v>1530.1030445377187</v>
      </c>
      <c r="JQ20" s="1">
        <f>Table1567891112131415[[#This Row],[FailureCost_Rating2]]</f>
        <v>1530.1030445377187</v>
      </c>
      <c r="JR20" s="1">
        <f>(Table1567891112131415[[#This Row],[failurecost500_rating2]]+Table1567891112131415[[#This Row],[failurecost100_rating2]]+Table1567891112131415[[#This Row],[failurecost50_rating2]]+Table1567891112131415[[#This Row],[failurecost10_rating2]])</f>
        <v>1530.1030445377187</v>
      </c>
      <c r="JS20" s="1">
        <f>(Table1567891112131415[[#This Row],[failurecost500_rating3]]+Table1567891112131415[[#This Row],[failurecost100_rating3]]+Table1567891112131415[[#This Row],[failurecost50_rating3]]+Table1567891112131415[[#This Row],[failurecost10_rating3]])</f>
        <v>336.62266979829809</v>
      </c>
      <c r="JT20" s="1">
        <f>(Table1567891112131415[[#This Row],[failurecost500_rating4]]+Table1567891112131415[[#This Row],[failurecost100_rating4]]+Table1567891112131415[[#This Row],[failurecost50_rating4]]+Table1567891112131415[[#This Row],[failurecost10_rating4]])</f>
        <v>122.40824356301749</v>
      </c>
      <c r="JU20" s="1">
        <f>(Table1567891112131415[[#This Row],[failurecost500_rating5]]+Table1567891112131415[[#This Row],[failurecost100_rating5]]+Table1567891112131415[[#This Row],[failurecost50_rating5]]+Table1567891112131415[[#This Row],[failurecost10_rating5]])</f>
        <v>21.421442623528058</v>
      </c>
      <c r="JV20" s="1">
        <f>(Table1567891112131415[[#This Row],[failurecost500_rating6]]+Table1567891112131415[[#This Row],[failurecost100_rating6]]+Table1567891112131415[[#This Row],[failurecost50_rating6]]+Table1567891112131415[[#This Row],[failurecost10_rating6]])</f>
        <v>5.5083709603357871</v>
      </c>
      <c r="JW20" s="1">
        <f>(Table1567891112131415[[#This Row],[failurecost500_rating7]]+Table1567891112131415[[#This Row],[failurecost100_rating7]]+Table1567891112131415[[#This Row],[failurecost50_rating7]]+Table1567891112131415[[#This Row],[failurecost10_rating7]])</f>
        <v>5.5083709603357871</v>
      </c>
      <c r="JX20" s="1">
        <f>(Table1567891112131415[[#This Row],[failurecost500_rating8]]+Table1567891112131415[[#This Row],[failurecost100_rating8]]+Table1567891112131415[[#This Row],[failurecost50_rating8]]+Table1567891112131415[[#This Row],[failurecost10_rating8]])</f>
        <v>0.12240824356301748</v>
      </c>
      <c r="JY20" s="1">
        <f>(Table1567891112131415[[#This Row],[failurecost500_rating9]]+Table1567891112131415[[#This Row],[failurecost100_rating9]]+Table1567891112131415[[#This Row],[failurecost50_rating9]]+Table1567891112131415[[#This Row],[failurecost10_rating9]])</f>
        <v>7.650515222688592E-2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9482-3103-4A74-A409-A798B1F16533}">
  <dimension ref="A1:JU20"/>
  <sheetViews>
    <sheetView topLeftCell="IW1" workbookViewId="0">
      <selection activeCell="JR2" sqref="JR2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customWidth="1"/>
    <col min="8" max="9" width="11.44140625" customWidth="1"/>
    <col min="10" max="10" width="14.44140625" customWidth="1"/>
    <col min="11" max="11" width="14" customWidth="1"/>
    <col min="12" max="12" width="15.44140625" customWidth="1"/>
    <col min="13" max="13" width="15" customWidth="1"/>
    <col min="14" max="14" width="15.44140625" customWidth="1"/>
    <col min="15" max="15" width="15" customWidth="1"/>
    <col min="16" max="16" width="16.44140625" customWidth="1"/>
    <col min="17" max="17" width="16" customWidth="1"/>
    <col min="18" max="18" width="16.44140625" customWidth="1"/>
    <col min="19" max="19" width="16" customWidth="1"/>
    <col min="20" max="20" width="24.6640625" customWidth="1"/>
    <col min="21" max="22" width="25.6640625" customWidth="1"/>
    <col min="23" max="24" width="26.6640625" customWidth="1"/>
    <col min="25" max="25" width="8.6640625" customWidth="1"/>
    <col min="26" max="26" width="19.6640625" customWidth="1"/>
    <col min="27" max="28" width="18.44140625" customWidth="1"/>
    <col min="29" max="30" width="19.44140625" customWidth="1"/>
    <col min="31" max="32" width="16.6640625" customWidth="1"/>
    <col min="33" max="34" width="17.6640625" customWidth="1"/>
    <col min="35" max="36" width="16.44140625" customWidth="1"/>
    <col min="37" max="38" width="17.44140625" customWidth="1"/>
    <col min="39" max="40" width="18.44140625" customWidth="1"/>
    <col min="41" max="46" width="19.44140625" customWidth="1"/>
    <col min="47" max="47" width="19.6640625" customWidth="1"/>
    <col min="48" max="48" width="20" customWidth="1"/>
    <col min="49" max="49" width="8.6640625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customWidth="1"/>
    <col min="55" max="55" width="26.44140625" customWidth="1"/>
    <col min="56" max="56" width="10.33203125" customWidth="1"/>
    <col min="57" max="57" width="12.33203125" customWidth="1"/>
    <col min="58" max="58" width="20.6640625" customWidth="1"/>
    <col min="59" max="59" width="21.33203125" customWidth="1"/>
    <col min="60" max="60" width="21.44140625" customWidth="1"/>
    <col min="61" max="61" width="23.44140625" customWidth="1"/>
    <col min="62" max="62" width="17.6640625" customWidth="1"/>
    <col min="63" max="63" width="24.6640625" customWidth="1"/>
    <col min="64" max="64" width="20.44140625" customWidth="1"/>
    <col min="65" max="65" width="18.44140625" customWidth="1"/>
    <col min="66" max="66" width="22.6640625" customWidth="1"/>
    <col min="67" max="67" width="24.44140625" customWidth="1"/>
    <col min="68" max="68" width="23.33203125" customWidth="1"/>
    <col min="69" max="69" width="16.33203125" customWidth="1"/>
    <col min="70" max="70" width="20.44140625" customWidth="1"/>
    <col min="71" max="71" width="16.6640625" customWidth="1"/>
    <col min="72" max="72" width="27.109375" customWidth="1"/>
    <col min="73" max="73" width="22.6640625" customWidth="1"/>
    <col min="74" max="74" width="21.6640625" customWidth="1"/>
    <col min="75" max="75" width="20.44140625" customWidth="1"/>
    <col min="76" max="76" width="11.33203125" customWidth="1"/>
    <col min="77" max="77" width="20.44140625" customWidth="1"/>
    <col min="78" max="78" width="14.109375" customWidth="1"/>
    <col min="79" max="79" width="25" customWidth="1"/>
    <col min="80" max="80" width="17.6640625" customWidth="1"/>
    <col min="81" max="81" width="26" customWidth="1"/>
    <col min="82" max="82" width="27.109375" customWidth="1"/>
    <col min="83" max="83" width="10.6640625" customWidth="1"/>
    <col min="84" max="84" width="16.33203125" customWidth="1"/>
    <col min="85" max="85" width="19.6640625" customWidth="1"/>
    <col min="86" max="86" width="22.6640625" customWidth="1"/>
    <col min="87" max="87" width="20.44140625" customWidth="1"/>
    <col min="88" max="88" width="21.109375" customWidth="1"/>
    <col min="89" max="89" width="25" customWidth="1"/>
    <col min="90" max="90" width="16.6640625" customWidth="1"/>
    <col min="91" max="91" width="20.109375" customWidth="1"/>
    <col min="92" max="92" width="17.6640625" customWidth="1"/>
    <col min="93" max="93" width="22.6640625" customWidth="1"/>
    <col min="94" max="94" width="14.6640625" customWidth="1"/>
    <col min="95" max="95" width="18.6640625" customWidth="1"/>
    <col min="96" max="96" width="24.44140625" customWidth="1"/>
    <col min="97" max="97" width="25.109375" customWidth="1"/>
    <col min="98" max="98" width="27.6640625" customWidth="1"/>
    <col min="99" max="99" width="19.44140625" customWidth="1"/>
    <col min="100" max="100" width="20.44140625" customWidth="1"/>
    <col min="101" max="101" width="24.109375" customWidth="1"/>
    <col min="102" max="102" width="23.6640625" customWidth="1"/>
    <col min="103" max="103" width="18.44140625" customWidth="1"/>
    <col min="104" max="104" width="18.33203125" customWidth="1"/>
    <col min="105" max="105" width="24.44140625" customWidth="1"/>
    <col min="106" max="106" width="18.6640625" customWidth="1"/>
    <col min="107" max="107" width="20.109375" customWidth="1"/>
    <col min="108" max="109" width="25.44140625" customWidth="1"/>
    <col min="110" max="110" width="22" customWidth="1"/>
    <col min="111" max="111" width="23.44140625" customWidth="1"/>
    <col min="112" max="112" width="27.6640625" customWidth="1"/>
    <col min="113" max="113" width="22.6640625" customWidth="1"/>
    <col min="114" max="114" width="25.44140625" customWidth="1"/>
    <col min="115" max="115" width="26.33203125" customWidth="1"/>
    <col min="116" max="116" width="22" customWidth="1"/>
    <col min="117" max="117" width="20.6640625" customWidth="1"/>
    <col min="118" max="118" width="20.44140625" customWidth="1"/>
    <col min="119" max="119" width="24.109375" customWidth="1"/>
    <col min="120" max="120" width="18" customWidth="1"/>
    <col min="121" max="121" width="29.44140625" customWidth="1"/>
    <col min="122" max="122" width="27.33203125" customWidth="1"/>
    <col min="123" max="123" width="21.6640625" customWidth="1"/>
    <col min="124" max="124" width="21.33203125" customWidth="1"/>
    <col min="125" max="125" width="24.6640625" customWidth="1"/>
    <col min="126" max="126" width="25.44140625" customWidth="1"/>
    <col min="127" max="127" width="24.44140625" customWidth="1"/>
    <col min="128" max="128" width="25.44140625" customWidth="1"/>
    <col min="129" max="129" width="24" customWidth="1"/>
    <col min="130" max="130" width="28.109375" customWidth="1"/>
    <col min="131" max="131" width="24.44140625" customWidth="1"/>
    <col min="132" max="132" width="20.44140625" customWidth="1"/>
    <col min="133" max="134" width="23.44140625" customWidth="1"/>
    <col min="135" max="135" width="24.6640625" customWidth="1"/>
    <col min="136" max="136" width="23.44140625" customWidth="1"/>
    <col min="137" max="137" width="18.6640625" customWidth="1"/>
    <col min="138" max="138" width="23.44140625" customWidth="1"/>
    <col min="139" max="139" width="29" customWidth="1"/>
    <col min="140" max="140" width="17.44140625" customWidth="1"/>
    <col min="141" max="141" width="28.6640625" customWidth="1"/>
    <col min="142" max="142" width="20.6640625" customWidth="1"/>
    <col min="143" max="143" width="28.33203125" customWidth="1"/>
    <col min="144" max="144" width="29.44140625" customWidth="1"/>
    <col min="145" max="145" width="23.33203125" customWidth="1"/>
    <col min="146" max="146" width="23.6640625" customWidth="1"/>
    <col min="147" max="147" width="26.6640625" customWidth="1"/>
    <col min="148" max="148" width="22.6640625" customWidth="1"/>
    <col min="149" max="149" width="19.6640625" customWidth="1"/>
    <col min="150" max="150" width="26.44140625" customWidth="1"/>
    <col min="151" max="151" width="26.109375" customWidth="1"/>
    <col min="152" max="152" width="28.6640625" customWidth="1"/>
    <col min="153" max="153" width="26.33203125" customWidth="1"/>
    <col min="154" max="154" width="26.6640625" customWidth="1"/>
    <col min="155" max="155" width="24.6640625" customWidth="1"/>
    <col min="156" max="156" width="23.44140625" customWidth="1"/>
    <col min="157" max="157" width="24.109375" customWidth="1"/>
    <col min="158" max="158" width="21.44140625" customWidth="1"/>
    <col min="159" max="159" width="27.6640625" customWidth="1"/>
    <col min="160" max="160" width="28.33203125" customWidth="1"/>
    <col min="161" max="161" width="21.6640625" customWidth="1"/>
    <col min="162" max="162" width="24.33203125" customWidth="1"/>
    <col min="163" max="163" width="25.109375" customWidth="1"/>
    <col min="164" max="165" width="26.44140625" customWidth="1"/>
    <col min="166" max="166" width="23.33203125" customWidth="1"/>
    <col min="167" max="167" width="22.33203125" customWidth="1"/>
    <col min="168" max="168" width="22" customWidth="1"/>
    <col min="169" max="169" width="18.6640625" customWidth="1"/>
    <col min="170" max="170" width="27.6640625" customWidth="1"/>
    <col min="171" max="171" width="24" customWidth="1"/>
    <col min="172" max="172" width="14.6640625" customWidth="1"/>
    <col min="173" max="173" width="16.6640625" customWidth="1"/>
    <col min="174" max="174" width="21" customWidth="1"/>
    <col min="175" max="175" width="18.33203125" customWidth="1"/>
    <col min="176" max="176" width="13.44140625" customWidth="1"/>
    <col min="177" max="177" width="18" customWidth="1"/>
    <col min="178" max="178" width="32.6640625" customWidth="1"/>
    <col min="179" max="179" width="34" customWidth="1"/>
    <col min="180" max="180" width="38.44140625" customWidth="1"/>
    <col min="181" max="181" width="49" customWidth="1"/>
    <col min="182" max="185" width="30.44140625" customWidth="1"/>
    <col min="186" max="186" width="11.6640625" customWidth="1"/>
    <col min="187" max="189" width="25.44140625" hidden="1" customWidth="1"/>
    <col min="190" max="190" width="24.44140625" hidden="1" customWidth="1"/>
    <col min="191" max="191" width="7.6640625" customWidth="1"/>
    <col min="192" max="192" width="11.33203125" customWidth="1"/>
    <col min="193" max="193" width="11" customWidth="1"/>
    <col min="194" max="194" width="11.109375" customWidth="1"/>
    <col min="195" max="200" width="11.44140625" bestFit="1" customWidth="1"/>
    <col min="201" max="202" width="9.33203125" customWidth="1"/>
    <col min="209" max="209" width="9.44140625" bestFit="1" customWidth="1"/>
    <col min="237" max="237" width="13.6640625" bestFit="1" customWidth="1"/>
    <col min="238" max="263" width="11.44140625" bestFit="1" customWidth="1"/>
    <col min="264" max="272" width="11.44140625" customWidth="1"/>
    <col min="273" max="274" width="11.44140625" bestFit="1" customWidth="1"/>
    <col min="275" max="275" width="10.44140625" bestFit="1" customWidth="1"/>
  </cols>
  <sheetData>
    <row r="1" spans="1:281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181</v>
      </c>
      <c r="GE1" s="2" t="s">
        <v>311</v>
      </c>
      <c r="GF1" s="2" t="s">
        <v>310</v>
      </c>
      <c r="GG1" s="2" t="s">
        <v>309</v>
      </c>
      <c r="GH1" s="2" t="s">
        <v>308</v>
      </c>
      <c r="GI1" s="2" t="s">
        <v>312</v>
      </c>
      <c r="GJ1" s="2" t="s">
        <v>318</v>
      </c>
      <c r="GK1" s="2" t="s">
        <v>319</v>
      </c>
      <c r="GL1" s="2" t="s">
        <v>320</v>
      </c>
      <c r="GM1" s="2" t="s">
        <v>321</v>
      </c>
      <c r="GN1" s="2" t="s">
        <v>322</v>
      </c>
      <c r="GO1" s="2" t="s">
        <v>323</v>
      </c>
      <c r="GP1" s="2" t="s">
        <v>324</v>
      </c>
      <c r="GQ1" s="2" t="s">
        <v>325</v>
      </c>
      <c r="GR1" s="2" t="s">
        <v>326</v>
      </c>
      <c r="GS1" s="2" t="s">
        <v>327</v>
      </c>
      <c r="GT1" s="2" t="s">
        <v>328</v>
      </c>
      <c r="GU1" s="2" t="s">
        <v>329</v>
      </c>
      <c r="GV1" s="2" t="s">
        <v>330</v>
      </c>
      <c r="GW1" s="2" t="s">
        <v>331</v>
      </c>
      <c r="GX1" s="2" t="s">
        <v>332</v>
      </c>
      <c r="GY1" s="2" t="s">
        <v>333</v>
      </c>
      <c r="GZ1" s="2" t="s">
        <v>334</v>
      </c>
      <c r="HA1" s="2" t="s">
        <v>335</v>
      </c>
      <c r="HB1" s="2" t="s">
        <v>336</v>
      </c>
      <c r="HC1" s="2" t="s">
        <v>337</v>
      </c>
      <c r="HD1" s="2" t="s">
        <v>338</v>
      </c>
      <c r="HE1" s="2" t="s">
        <v>339</v>
      </c>
      <c r="HF1" s="2" t="s">
        <v>340</v>
      </c>
      <c r="HG1" s="2" t="s">
        <v>341</v>
      </c>
      <c r="HH1" s="2" t="s">
        <v>342</v>
      </c>
      <c r="HI1" s="2" t="s">
        <v>343</v>
      </c>
      <c r="HJ1" s="2" t="s">
        <v>344</v>
      </c>
      <c r="HK1" s="2" t="s">
        <v>345</v>
      </c>
      <c r="HL1" s="2" t="s">
        <v>346</v>
      </c>
      <c r="HM1" s="2" t="s">
        <v>347</v>
      </c>
      <c r="HN1" s="2" t="s">
        <v>348</v>
      </c>
      <c r="HO1" s="2" t="s">
        <v>349</v>
      </c>
      <c r="HP1" s="2" t="s">
        <v>350</v>
      </c>
      <c r="HQ1" s="2" t="s">
        <v>351</v>
      </c>
      <c r="HR1" s="2" t="s">
        <v>352</v>
      </c>
      <c r="HS1" s="2" t="s">
        <v>353</v>
      </c>
      <c r="HT1" s="2" t="s">
        <v>354</v>
      </c>
      <c r="HU1" s="2" t="s">
        <v>355</v>
      </c>
      <c r="HV1" s="2" t="s">
        <v>356</v>
      </c>
      <c r="HW1" s="2" t="s">
        <v>357</v>
      </c>
      <c r="HX1" s="2" t="s">
        <v>358</v>
      </c>
      <c r="HY1" s="2" t="s">
        <v>359</v>
      </c>
      <c r="HZ1" s="2" t="s">
        <v>360</v>
      </c>
      <c r="IA1" s="2" t="s">
        <v>361</v>
      </c>
      <c r="IB1" s="2" t="s">
        <v>362</v>
      </c>
      <c r="IC1" s="2" t="s">
        <v>363</v>
      </c>
      <c r="ID1" s="2" t="s">
        <v>364</v>
      </c>
      <c r="IE1" s="2" t="s">
        <v>365</v>
      </c>
      <c r="IF1" s="2" t="s">
        <v>366</v>
      </c>
      <c r="IG1" s="2" t="s">
        <v>367</v>
      </c>
      <c r="IH1" s="2" t="s">
        <v>368</v>
      </c>
      <c r="II1" s="2" t="s">
        <v>369</v>
      </c>
      <c r="IJ1" s="2" t="s">
        <v>370</v>
      </c>
      <c r="IK1" s="2" t="s">
        <v>371</v>
      </c>
      <c r="IL1" s="2" t="s">
        <v>372</v>
      </c>
      <c r="IM1" s="2" t="s">
        <v>373</v>
      </c>
      <c r="IN1" s="2" t="s">
        <v>374</v>
      </c>
      <c r="IO1" s="2" t="s">
        <v>375</v>
      </c>
      <c r="IP1" s="2" t="s">
        <v>376</v>
      </c>
      <c r="IQ1" s="2" t="s">
        <v>377</v>
      </c>
      <c r="IR1" s="2" t="s">
        <v>378</v>
      </c>
      <c r="IS1" s="2" t="s">
        <v>379</v>
      </c>
      <c r="IT1" s="2" t="s">
        <v>380</v>
      </c>
      <c r="IU1" s="2" t="s">
        <v>381</v>
      </c>
      <c r="IV1" s="2" t="s">
        <v>382</v>
      </c>
      <c r="IW1" s="2" t="s">
        <v>383</v>
      </c>
      <c r="IX1" s="2" t="s">
        <v>384</v>
      </c>
      <c r="IY1" s="2" t="s">
        <v>385</v>
      </c>
      <c r="IZ1" s="2" t="s">
        <v>386</v>
      </c>
      <c r="JA1" s="2" t="s">
        <v>387</v>
      </c>
      <c r="JB1" s="2" t="s">
        <v>388</v>
      </c>
      <c r="JC1" s="2" t="s">
        <v>389</v>
      </c>
      <c r="JD1" s="2" t="s">
        <v>399</v>
      </c>
      <c r="JE1" s="2" t="s">
        <v>400</v>
      </c>
      <c r="JF1" s="2" t="s">
        <v>401</v>
      </c>
      <c r="JG1" s="2" t="s">
        <v>402</v>
      </c>
      <c r="JH1" s="2" t="s">
        <v>403</v>
      </c>
      <c r="JI1" s="2" t="s">
        <v>404</v>
      </c>
      <c r="JJ1" s="2" t="s">
        <v>405</v>
      </c>
      <c r="JK1" s="2" t="s">
        <v>406</v>
      </c>
      <c r="JL1" s="2" t="s">
        <v>407</v>
      </c>
      <c r="JM1" s="2" t="s">
        <v>390</v>
      </c>
      <c r="JN1" s="2" t="s">
        <v>391</v>
      </c>
      <c r="JO1" s="2" t="s">
        <v>392</v>
      </c>
      <c r="JP1" s="2" t="s">
        <v>393</v>
      </c>
      <c r="JQ1" s="2" t="s">
        <v>394</v>
      </c>
      <c r="JR1" s="2" t="s">
        <v>395</v>
      </c>
      <c r="JS1" s="2" t="s">
        <v>396</v>
      </c>
      <c r="JT1" s="2" t="s">
        <v>397</v>
      </c>
      <c r="JU1" s="2" t="s">
        <v>398</v>
      </c>
    </row>
    <row r="2" spans="1:281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Table14[[#This Row],[Depth10_Soil_vol]]*(9.353+9.027)+(Table14[[#This Row],[Depth10_Soil_vol]]/2.5)*20*1.053+(PI()*Table14[[#This Row],[Depth10_Scour]])*Table14[[#This Row],[DECK_WIDTH_MT_052]]*1.062</f>
        <v>11998.897701083155</v>
      </c>
      <c r="AR2" s="1">
        <f>Table14[[#This Row],[Depth50_Soil_vol]]*(9.353+9.027)+(Table14[[#This Row],[Depth50_Soil_vol]]/2.5)*20*1.053+(PI()*Table14[[#This Row],[Depth50_Scour]])*Table14[[#This Row],[DECK_WIDTH_MT_052]]*1.062</f>
        <v>12798.983727608316</v>
      </c>
      <c r="AS2" s="1">
        <f>Table14[[#This Row],[Depth100_Soil_vol]]*(9.353+9.027)+(Table14[[#This Row],[Depth100_Soil_vol]]/2.5)*20*1.053+(PI()*Table14[[#This Row],[Depth100_Scour]])*Table14[[#This Row],[DECK_WIDTH_MT_052]]*1.062</f>
        <v>13156.203147223239</v>
      </c>
      <c r="AT2" s="1">
        <f>Table14[[#This Row],[Depth500_Soil_vol]]*(9.353+9.027)+(Table14[[#This Row],[Depth500_Soil_vol]]/2.5)*20*1.053+(PI()*Table14[[#This Row],[Depth500_Scour]])*Table14[[#This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>
        <v>28.990788219999999</v>
      </c>
      <c r="GE2" s="1">
        <v>0</v>
      </c>
      <c r="GF2" s="1">
        <v>0</v>
      </c>
      <c r="GG2" s="1">
        <v>0</v>
      </c>
      <c r="GH2" s="1">
        <v>0</v>
      </c>
      <c r="GI2" s="1">
        <v>8</v>
      </c>
      <c r="GJ2" s="1">
        <v>10000</v>
      </c>
      <c r="GK2" s="1">
        <v>10000</v>
      </c>
      <c r="GL2" s="1">
        <v>10000</v>
      </c>
      <c r="GM2" s="1">
        <v>10000</v>
      </c>
      <c r="GN2" s="1">
        <v>10000</v>
      </c>
      <c r="GO2" s="1">
        <v>10000</v>
      </c>
      <c r="GP2" s="1">
        <v>0</v>
      </c>
      <c r="GQ2" s="1">
        <v>0</v>
      </c>
      <c r="GR2" s="1">
        <v>0</v>
      </c>
      <c r="GS2" s="1">
        <f>2.5/100</f>
        <v>2.5000000000000001E-2</v>
      </c>
      <c r="GT2" s="1">
        <v>0.01</v>
      </c>
      <c r="GU2" s="1">
        <v>2.5000000000000001E-3</v>
      </c>
      <c r="GV2" s="1">
        <v>4.0000000000000002E-4</v>
      </c>
      <c r="GW2" s="1">
        <v>6.9999999999999999E-6</v>
      </c>
      <c r="GX2" s="1">
        <v>1.8000000000000001E-4</v>
      </c>
      <c r="GY2" s="1">
        <v>1.8000000000000001E-4</v>
      </c>
      <c r="GZ2" s="1">
        <v>3.9999999999999998E-6</v>
      </c>
      <c r="HA2" s="1">
        <v>2.5000000000000002E-6</v>
      </c>
      <c r="HB2" s="1">
        <f>1.25/100</f>
        <v>1.2500000000000001E-2</v>
      </c>
      <c r="HC2" s="1">
        <v>6.0000000000000001E-3</v>
      </c>
      <c r="HD2" s="1">
        <v>2.5000000000000001E-3</v>
      </c>
      <c r="HE2" s="1">
        <v>5.0000000000000001E-4</v>
      </c>
      <c r="HF2" s="1">
        <v>7.9999999999999996E-6</v>
      </c>
      <c r="HG2" s="1">
        <v>2.5000000000000001E-4</v>
      </c>
      <c r="HH2" s="1">
        <v>2.5000000000000001E-4</v>
      </c>
      <c r="HI2" s="1">
        <v>5.0000000000000004E-6</v>
      </c>
      <c r="HJ2" s="1">
        <v>3.0000000000000001E-6</v>
      </c>
      <c r="HK2" s="1">
        <v>0.01</v>
      </c>
      <c r="HL2" s="1">
        <v>6.0000000000000001E-3</v>
      </c>
      <c r="HM2" s="1">
        <v>1.2999999999999999E-3</v>
      </c>
      <c r="HN2" s="1">
        <v>5.0000000000000001E-4</v>
      </c>
      <c r="HO2" s="1">
        <v>7.9999999999999996E-6</v>
      </c>
      <c r="HP2" s="1">
        <v>2.5000000000000001E-4</v>
      </c>
      <c r="HQ2" s="1">
        <v>2.5000000000000001E-4</v>
      </c>
      <c r="HR2" s="1">
        <v>5.0000000000000004E-6</v>
      </c>
      <c r="HS2" s="1">
        <v>3.0000000000000001E-6</v>
      </c>
      <c r="HT2" s="1">
        <v>0.01</v>
      </c>
      <c r="HU2" s="1">
        <v>8.0000000000000002E-3</v>
      </c>
      <c r="HV2" s="1">
        <v>1.6000000000000001E-3</v>
      </c>
      <c r="HW2" s="1">
        <v>5.9999999999999995E-4</v>
      </c>
      <c r="HX2" s="1">
        <v>4.0000000000000003E-5</v>
      </c>
      <c r="HY2" s="1">
        <v>4.0000000000000002E-4</v>
      </c>
      <c r="HZ2" s="1">
        <v>4.0000000000000002E-4</v>
      </c>
      <c r="IA2" s="1">
        <v>2.0000000000000002E-5</v>
      </c>
      <c r="IB2" s="1">
        <v>3.9999999999999998E-6</v>
      </c>
      <c r="IC2" s="1">
        <f>Table14[[#This Row],[Total_Cost_MUSD]]*Table14[[#This Row],[prob500-failure_rating1]]*1000000/500</f>
        <v>1449.5394109999997</v>
      </c>
      <c r="ID2" s="1">
        <f>Table14[[#This Row],[Total_Cost_MUSD]]*Table14[[#This Row],[prob500-failure_rating2]]*1000000/500</f>
        <v>579.81576440000015</v>
      </c>
      <c r="IE2" s="1">
        <f>Table14[[#This Row],[Total_Cost_MUSD]]*Table14[[#This Row],[prob500-failure_rating3]]*1000000/500</f>
        <v>144.95394110000004</v>
      </c>
      <c r="IF2" s="1">
        <f>Table14[[#This Row],[Total_Cost_MUSD]]*Table14[[#This Row],[prob500-failure_rating4]]*1000000/500</f>
        <v>23.192630575999999</v>
      </c>
      <c r="IG2" s="1">
        <f>Table14[[#This Row],[Total_Cost_MUSD]]*Table14[[#This Row],[prob500-failure_rating5]]*1000000/500</f>
        <v>0.40587103507999994</v>
      </c>
      <c r="IH2" s="1">
        <f>Table14[[#This Row],[Total_Cost_MUSD]]*Table14[[#This Row],[prob500-failure_rating6]]*1000000/500</f>
        <v>10.436683759199999</v>
      </c>
      <c r="II2" s="1">
        <f>Table14[[#This Row],[Total_Cost_MUSD]]*Table14[[#This Row],[prob500-failure_rating7]]*1000000/500</f>
        <v>10.436683759199999</v>
      </c>
      <c r="IJ2" s="1">
        <f>Table14[[#This Row],[Total_Cost_MUSD]]*Table14[[#This Row],[prob500-failure_rating8]]*1000000/500</f>
        <v>0.23192630575999995</v>
      </c>
      <c r="IK2" s="1">
        <f>Table14[[#This Row],[Total_Cost_MUSD]]*Table14[[#This Row],[prob500-failure_rating9]]*1000000/500</f>
        <v>0.14495394110000001</v>
      </c>
      <c r="IL2" s="1">
        <f>Table14[[#This Row],[Total_Cost_MUSD]]*Table14[[#This Row],[prob100-failure_rating1]]*1000000/100</f>
        <v>3623.8485274999998</v>
      </c>
      <c r="IM2" s="1">
        <f>Table14[[#This Row],[Total_Cost_MUSD]]*Table14[[#This Row],[prob100-failure_rating2]]*1000000/100</f>
        <v>1739.4472931999999</v>
      </c>
      <c r="IN2" s="1">
        <f>Table14[[#This Row],[Total_Cost_MUSD]]*Table14[[#This Row],[prob100-failure_rating3]]*1000000/100</f>
        <v>724.7697055000001</v>
      </c>
      <c r="IO2" s="1">
        <f>Table14[[#This Row],[Total_Cost_MUSD]]*Table14[[#This Row],[prob100-failure_rating4]]*1000000/100</f>
        <v>144.95394110000001</v>
      </c>
      <c r="IP2" s="1">
        <f>Table14[[#This Row],[Total_Cost_MUSD]]*Table14[[#This Row],[prob100-failure_rating5]]*1000000/100</f>
        <v>2.3192630575999997</v>
      </c>
      <c r="IQ2" s="1">
        <f>Table14[[#This Row],[Total_Cost_MUSD]]*Table14[[#This Row],[prob100-failure_rating6]]*1000000/100</f>
        <v>72.476970550000004</v>
      </c>
      <c r="IR2" s="1">
        <f>Table14[[#This Row],[Total_Cost_MUSD]]*Table14[[#This Row],[prob100-failure_rating7]]*1000000/100</f>
        <v>72.476970550000004</v>
      </c>
      <c r="IS2" s="1">
        <f>Table14[[#This Row],[Total_Cost_MUSD]]*Table14[[#This Row],[prob100-failure_rating8]]*1000000/100</f>
        <v>1.4495394110000002</v>
      </c>
      <c r="IT2" s="1">
        <f>Table14[[#This Row],[Total_Cost_MUSD]]*Table14[[#This Row],[prob100-failure_rating9]]*1000000/100</f>
        <v>0.86972364660000001</v>
      </c>
      <c r="IU2" s="1">
        <f>Table14[[#This Row],[Total_Cost_MUSD]]*Table14[[#This Row],[prob50-failure_rating1]]*1000000/50</f>
        <v>5798.1576440000008</v>
      </c>
      <c r="IV2" s="1">
        <f>Table14[[#This Row],[Total_Cost_MUSD]]*Table14[[#This Row],[prob50-failure_rating2]]*1000000/50</f>
        <v>3478.8945863999998</v>
      </c>
      <c r="IW2" s="1">
        <f>Table14[[#This Row],[Total_Cost_MUSD]]*Table14[[#This Row],[prob50-failure_rating3]]*1000000/50</f>
        <v>753.76049371999989</v>
      </c>
      <c r="IX2" s="1">
        <f>Table14[[#This Row],[Total_Cost_MUSD]]*Table14[[#This Row],[prob50-failure_rating4]]*1000000/50</f>
        <v>289.90788220000002</v>
      </c>
      <c r="IY2" s="1">
        <f>Table14[[#This Row],[Total_Cost_MUSD]]*Table14[[#This Row],[prob50-failure_rating5]]*1000000/50</f>
        <v>4.6385261151999995</v>
      </c>
      <c r="IZ2" s="1">
        <f>Table14[[#This Row],[Total_Cost_MUSD]]*Table14[[#This Row],[prob50-failure_rating6]]*1000000/50</f>
        <v>144.95394110000001</v>
      </c>
      <c r="JA2" s="1">
        <f>Table14[[#This Row],[Total_Cost_MUSD]]*Table14[[#This Row],[prob50-failure_rating7]]*1000000/50</f>
        <v>144.95394110000001</v>
      </c>
      <c r="JB2" s="1">
        <f>Table14[[#This Row],[Total_Cost_MUSD]]*Table14[[#This Row],[prob50-failure_rating8]]*1000000/50</f>
        <v>2.8990788220000003</v>
      </c>
      <c r="JC2" s="1">
        <f>Table14[[#This Row],[Total_Cost_MUSD]]*Table14[[#This Row],[prob50-failure_rating9]]*1000000/50</f>
        <v>1.7394472932</v>
      </c>
      <c r="JD2" s="1">
        <f>Table14[[#This Row],[Total_Cost_MUSD]]*Table14[[#This Row],[prob10-failure_rating1]]*1000000/10</f>
        <v>28990.788220000006</v>
      </c>
      <c r="JE2" s="1">
        <f>Table14[[#This Row],[Total_Cost_MUSD]]*Table14[[#This Row],[prob10-failure_rating2]]*1000000/10</f>
        <v>23192.630576000003</v>
      </c>
      <c r="JF2" s="1">
        <f>Table14[[#This Row],[Total_Cost_MUSD]]*Table14[[#This Row],[prob10-failure_rating3]]*1000000/10</f>
        <v>4638.5261152000003</v>
      </c>
      <c r="JG2" s="1">
        <f>Table14[[#This Row],[Total_Cost_MUSD]]*Table14[[#This Row],[prob10-failure_rating4]]*1000000/10</f>
        <v>1739.4472932000001</v>
      </c>
      <c r="JH2" s="1">
        <f>Table14[[#This Row],[Total_Cost_MUSD]]*Table14[[#This Row],[prob10-failure_rating5]]*1000000/10</f>
        <v>115.96315288000001</v>
      </c>
      <c r="JI2" s="1">
        <f>Table14[[#This Row],[Total_Cost_MUSD]]*Table14[[#This Row],[prob10-failure_rating6]]*1000000/10</f>
        <v>1159.6315288000001</v>
      </c>
      <c r="JJ2" s="1">
        <f>Table14[[#This Row],[Total_Cost_MUSD]]*Table14[[#This Row],[prob10-failure_rating7]]*1000000/10</f>
        <v>1159.6315288000001</v>
      </c>
      <c r="JK2" s="1">
        <f>Table14[[#This Row],[Total_Cost_MUSD]]*Table14[[#This Row],[prob10-failure_rating8]]*1000000/10</f>
        <v>57.981576440000005</v>
      </c>
      <c r="JL2" s="1">
        <f>Table14[[#This Row],[Total_Cost_MUSD]]*Table14[[#This Row],[prob10-failure_rating9]]*1000000/10</f>
        <v>11.596315287999998</v>
      </c>
      <c r="JM2" s="1">
        <f>Table14[[#This Row],[failurecost500_rating1]]+Table14[[#This Row],[failurecost100_rating1]]+Table14[[#This Row],[failurecost50_rating1]]+Table14[[#This Row],[failurecost10_rating1]]</f>
        <v>39862.333802500005</v>
      </c>
      <c r="JN2" s="1">
        <f>Table14[[#This Row],[failurecost500_rating2]]+Table14[[#This Row],[failurecost100_rating2]]+Table14[[#This Row],[failurecost50_rating2]]+Table14[[#This Row],[failurecost10_rating2]]</f>
        <v>28990.788220000002</v>
      </c>
      <c r="JO2" s="1">
        <f>Table14[[#This Row],[failurecost500_rating3]]+Table14[[#This Row],[failurecost100_rating3]]+Table14[[#This Row],[failurecost50_rating3]]+Table14[[#This Row],[failurecost10_rating3]]</f>
        <v>6262.0102555200001</v>
      </c>
      <c r="JP2" s="1">
        <f>Table14[[#This Row],[failurecost500_rating4]]+Table14[[#This Row],[failurecost100_rating4]]+Table14[[#This Row],[failurecost50_rating4]]+Table14[[#This Row],[failurecost10_rating4]]</f>
        <v>2197.5017470760004</v>
      </c>
      <c r="JQ2" s="1">
        <f>Table14[[#This Row],[failurecost500_rating5]]+Table14[[#This Row],[failurecost100_rating5]]+Table14[[#This Row],[failurecost50_rating5]]+Table14[[#This Row],[failurecost10_rating5]]</f>
        <v>123.32681308788001</v>
      </c>
      <c r="JR2" s="1">
        <f>Table14[[#This Row],[failurecost500_rating6]]+Table14[[#This Row],[failurecost100_rating6]]+Table14[[#This Row],[failurecost50_rating6]]+Table14[[#This Row],[failurecost10_rating6]]</f>
        <v>1387.4991242092001</v>
      </c>
      <c r="JS2" s="1">
        <f>Table14[[#This Row],[failurecost500_rating7]]+Table14[[#This Row],[failurecost100_rating7]]+Table14[[#This Row],[failurecost50_rating7]]+Table14[[#This Row],[failurecost10_rating7]]</f>
        <v>1387.4991242092001</v>
      </c>
      <c r="JT2" s="1">
        <f>Table14[[#This Row],[failurecost500_rating8]]+Table14[[#This Row],[failurecost100_rating8]]+Table14[[#This Row],[failurecost50_rating8]]+Table14[[#This Row],[failurecost10_rating8]]</f>
        <v>62.562120978760007</v>
      </c>
      <c r="JU2" s="1">
        <f>Table14[[#This Row],[failurecost500_rating9]]+Table14[[#This Row],[failurecost100_rating9]]+Table14[[#This Row],[failurecost50_rating9]]+Table14[[#This Row],[failurecost10_rating9]]</f>
        <v>14.350440168899997</v>
      </c>
    </row>
    <row r="3" spans="1:281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Table14[[#This Row],[Depth10_Soil_vol]]*(9.353+9.027)+(Table14[[#This Row],[Depth10_Soil_vol]]/2.5)*20*1.053+(PI()*Table14[[#This Row],[Depth10_Scour]])*Table14[[#This Row],[DECK_WIDTH_MT_052]]*1.062</f>
        <v>0</v>
      </c>
      <c r="AR3" s="1">
        <f>Table14[[#This Row],[Depth50_Soil_vol]]*(9.353+9.027)+(Table14[[#This Row],[Depth50_Soil_vol]]/2.5)*20*1.053+(PI()*Table14[[#This Row],[Depth50_Scour]])*Table14[[#This Row],[DECK_WIDTH_MT_052]]*1.062</f>
        <v>9520.728233804819</v>
      </c>
      <c r="AS3" s="1">
        <f>Table14[[#This Row],[Depth100_Soil_vol]]*(9.353+9.027)+(Table14[[#This Row],[Depth100_Soil_vol]]/2.5)*20*1.053+(PI()*Table14[[#This Row],[Depth100_Scour]])*Table14[[#This Row],[DECK_WIDTH_MT_052]]*1.062</f>
        <v>9985.7559384332872</v>
      </c>
      <c r="AT3" s="1">
        <f>Table14[[#This Row],[Depth500_Soil_vol]]*(9.353+9.027)+(Table14[[#This Row],[Depth500_Soil_vol]]/2.5)*20*1.053+(PI()*Table14[[#This Row],[Depth500_Scour]])*Table14[[#This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>
        <v>18.95289927</v>
      </c>
      <c r="GE3" s="1">
        <v>0</v>
      </c>
      <c r="GF3" s="1">
        <v>0</v>
      </c>
      <c r="GG3" s="1">
        <v>0</v>
      </c>
      <c r="GH3" s="1">
        <v>0</v>
      </c>
      <c r="GI3" s="1">
        <v>5</v>
      </c>
      <c r="GJ3" s="1">
        <v>10000</v>
      </c>
      <c r="GK3" s="1">
        <v>10000</v>
      </c>
      <c r="GL3" s="1">
        <v>10000</v>
      </c>
      <c r="GM3" s="1">
        <v>10000</v>
      </c>
      <c r="GN3" s="1">
        <v>10000</v>
      </c>
      <c r="GO3" s="1">
        <v>10000</v>
      </c>
      <c r="GP3" s="1">
        <v>0</v>
      </c>
      <c r="GQ3" s="1">
        <v>0</v>
      </c>
      <c r="GR3" s="1">
        <v>0</v>
      </c>
      <c r="GS3" s="1">
        <f t="shared" ref="GS3:GS20" si="0">2.5/100</f>
        <v>2.5000000000000001E-2</v>
      </c>
      <c r="GT3" s="1">
        <v>0.01</v>
      </c>
      <c r="GU3" s="1">
        <v>2.5000000000000001E-3</v>
      </c>
      <c r="GV3" s="1">
        <v>4.0000000000000002E-4</v>
      </c>
      <c r="GW3" s="1">
        <v>6.9999999999999999E-6</v>
      </c>
      <c r="GX3" s="1">
        <v>1.8000000000000001E-4</v>
      </c>
      <c r="GY3" s="1">
        <v>1.8000000000000001E-4</v>
      </c>
      <c r="GZ3" s="1">
        <v>3.9999999999999998E-6</v>
      </c>
      <c r="HA3" s="1">
        <v>2.5000000000000002E-6</v>
      </c>
      <c r="HB3" s="1">
        <f t="shared" ref="HB3:HB20" si="1">1.25/100</f>
        <v>1.2500000000000001E-2</v>
      </c>
      <c r="HC3" s="1">
        <v>6.0000000000000001E-3</v>
      </c>
      <c r="HD3" s="1">
        <v>2.5000000000000001E-3</v>
      </c>
      <c r="HE3" s="1">
        <v>5.0000000000000001E-4</v>
      </c>
      <c r="HF3" s="1">
        <v>7.9999999999999996E-6</v>
      </c>
      <c r="HG3" s="1">
        <v>2.5000000000000001E-4</v>
      </c>
      <c r="HH3" s="1">
        <v>2.5000000000000001E-4</v>
      </c>
      <c r="HI3" s="1">
        <v>5.0000000000000004E-6</v>
      </c>
      <c r="HJ3" s="1">
        <v>3.0000000000000001E-6</v>
      </c>
      <c r="HK3" s="1">
        <v>0.01</v>
      </c>
      <c r="HL3" s="1">
        <v>6.0000000000000001E-3</v>
      </c>
      <c r="HM3" s="1">
        <v>1.2999999999999999E-3</v>
      </c>
      <c r="HN3" s="1">
        <v>5.0000000000000001E-4</v>
      </c>
      <c r="HO3" s="1">
        <v>7.9999999999999996E-6</v>
      </c>
      <c r="HP3" s="1">
        <v>2.5000000000000001E-4</v>
      </c>
      <c r="HQ3" s="1">
        <v>2.5000000000000001E-4</v>
      </c>
      <c r="HR3" s="1">
        <v>5.0000000000000004E-6</v>
      </c>
      <c r="HS3" s="1">
        <v>3.0000000000000001E-6</v>
      </c>
      <c r="HT3" s="1">
        <v>0.01</v>
      </c>
      <c r="HU3" s="1">
        <v>8.0000000000000002E-3</v>
      </c>
      <c r="HV3" s="1">
        <v>1.6000000000000001E-3</v>
      </c>
      <c r="HW3" s="1">
        <v>5.9999999999999995E-4</v>
      </c>
      <c r="HX3" s="1">
        <v>4.0000000000000003E-5</v>
      </c>
      <c r="HY3" s="1">
        <v>4.0000000000000002E-4</v>
      </c>
      <c r="HZ3" s="1">
        <v>4.0000000000000002E-4</v>
      </c>
      <c r="IA3" s="1">
        <v>2.0000000000000002E-5</v>
      </c>
      <c r="IB3" s="1">
        <v>3.9999999999999998E-6</v>
      </c>
      <c r="IC3" s="1">
        <f>Table14[[#This Row],[Total_Cost_MUSD]]*Table14[[#This Row],[prob500-failure_rating1]]*1000000/500</f>
        <v>947.64496350000002</v>
      </c>
      <c r="ID3" s="1">
        <f>Table14[[#This Row],[Total_Cost_MUSD]]*Table14[[#This Row],[prob500-failure_rating2]]*1000000/500</f>
        <v>379.05798540000001</v>
      </c>
      <c r="IE3" s="1">
        <f>Table14[[#This Row],[Total_Cost_MUSD]]*Table14[[#This Row],[prob500-failure_rating3]]*1000000/500</f>
        <v>94.764496350000002</v>
      </c>
      <c r="IF3" s="1">
        <f>Table14[[#This Row],[Total_Cost_MUSD]]*Table14[[#This Row],[prob500-failure_rating4]]*1000000/500</f>
        <v>15.162319416000001</v>
      </c>
      <c r="IG3" s="1">
        <f>Table14[[#This Row],[Total_Cost_MUSD]]*Table14[[#This Row],[prob500-failure_rating5]]*1000000/500</f>
        <v>0.26534058978000002</v>
      </c>
      <c r="IH3" s="1">
        <f>Table14[[#This Row],[Total_Cost_MUSD]]*Table14[[#This Row],[prob500-failure_rating6]]*1000000/500</f>
        <v>6.8230437372000008</v>
      </c>
      <c r="II3" s="1">
        <f>Table14[[#This Row],[Total_Cost_MUSD]]*Table14[[#This Row],[prob500-failure_rating7]]*1000000/500</f>
        <v>6.8230437372000008</v>
      </c>
      <c r="IJ3" s="1">
        <f>Table14[[#This Row],[Total_Cost_MUSD]]*Table14[[#This Row],[prob500-failure_rating8]]*1000000/500</f>
        <v>0.15162319416</v>
      </c>
      <c r="IK3" s="1">
        <f>Table14[[#This Row],[Total_Cost_MUSD]]*Table14[[#This Row],[prob500-failure_rating9]]*1000000/500</f>
        <v>9.4764496350000005E-2</v>
      </c>
      <c r="IL3" s="1">
        <f>Table14[[#This Row],[Total_Cost_MUSD]]*Table14[[#This Row],[prob100-failure_rating1]]*1000000/100</f>
        <v>2369.1124087500002</v>
      </c>
      <c r="IM3" s="1">
        <f>Table14[[#This Row],[Total_Cost_MUSD]]*Table14[[#This Row],[prob100-failure_rating2]]*1000000/100</f>
        <v>1137.1739562</v>
      </c>
      <c r="IN3" s="1">
        <f>Table14[[#This Row],[Total_Cost_MUSD]]*Table14[[#This Row],[prob100-failure_rating3]]*1000000/100</f>
        <v>473.82248175000001</v>
      </c>
      <c r="IO3" s="1">
        <f>Table14[[#This Row],[Total_Cost_MUSD]]*Table14[[#This Row],[prob100-failure_rating4]]*1000000/100</f>
        <v>94.764496350000002</v>
      </c>
      <c r="IP3" s="1">
        <f>Table14[[#This Row],[Total_Cost_MUSD]]*Table14[[#This Row],[prob100-failure_rating5]]*1000000/100</f>
        <v>1.5162319416000001</v>
      </c>
      <c r="IQ3" s="1">
        <f>Table14[[#This Row],[Total_Cost_MUSD]]*Table14[[#This Row],[prob100-failure_rating6]]*1000000/100</f>
        <v>47.382248175000001</v>
      </c>
      <c r="IR3" s="1">
        <f>Table14[[#This Row],[Total_Cost_MUSD]]*Table14[[#This Row],[prob100-failure_rating7]]*1000000/100</f>
        <v>47.382248175000001</v>
      </c>
      <c r="IS3" s="1">
        <f>Table14[[#This Row],[Total_Cost_MUSD]]*Table14[[#This Row],[prob100-failure_rating8]]*1000000/100</f>
        <v>0.94764496350000005</v>
      </c>
      <c r="IT3" s="1">
        <f>Table14[[#This Row],[Total_Cost_MUSD]]*Table14[[#This Row],[prob100-failure_rating9]]*1000000/100</f>
        <v>0.56858697810000003</v>
      </c>
      <c r="IU3" s="1">
        <f>Table14[[#This Row],[Total_Cost_MUSD]]*Table14[[#This Row],[prob50-failure_rating1]]*1000000/50</f>
        <v>3790.5798540000001</v>
      </c>
      <c r="IV3" s="1">
        <f>Table14[[#This Row],[Total_Cost_MUSD]]*Table14[[#This Row],[prob50-failure_rating2]]*1000000/50</f>
        <v>2274.3479124</v>
      </c>
      <c r="IW3" s="1">
        <f>Table14[[#This Row],[Total_Cost_MUSD]]*Table14[[#This Row],[prob50-failure_rating3]]*1000000/50</f>
        <v>492.77538101999994</v>
      </c>
      <c r="IX3" s="1">
        <f>Table14[[#This Row],[Total_Cost_MUSD]]*Table14[[#This Row],[prob50-failure_rating4]]*1000000/50</f>
        <v>189.5289927</v>
      </c>
      <c r="IY3" s="1">
        <f>Table14[[#This Row],[Total_Cost_MUSD]]*Table14[[#This Row],[prob50-failure_rating5]]*1000000/50</f>
        <v>3.0324638832000002</v>
      </c>
      <c r="IZ3" s="1">
        <f>Table14[[#This Row],[Total_Cost_MUSD]]*Table14[[#This Row],[prob50-failure_rating6]]*1000000/50</f>
        <v>94.764496350000002</v>
      </c>
      <c r="JA3" s="1">
        <f>Table14[[#This Row],[Total_Cost_MUSD]]*Table14[[#This Row],[prob50-failure_rating7]]*1000000/50</f>
        <v>94.764496350000002</v>
      </c>
      <c r="JB3" s="1">
        <f>Table14[[#This Row],[Total_Cost_MUSD]]*Table14[[#This Row],[prob50-failure_rating8]]*1000000/50</f>
        <v>1.8952899270000001</v>
      </c>
      <c r="JC3" s="1">
        <f>Table14[[#This Row],[Total_Cost_MUSD]]*Table14[[#This Row],[prob50-failure_rating9]]*1000000/50</f>
        <v>1.1371739562000001</v>
      </c>
      <c r="JD3" s="1">
        <f>Table14[[#This Row],[Total_Cost_MUSD]]*Table14[[#This Row],[prob10-failure_rating1]]*1000000/10</f>
        <v>18952.899270000002</v>
      </c>
      <c r="JE3" s="1">
        <f>Table14[[#This Row],[Total_Cost_MUSD]]*Table14[[#This Row],[prob10-failure_rating2]]*1000000/10</f>
        <v>15162.319416000002</v>
      </c>
      <c r="JF3" s="1">
        <f>Table14[[#This Row],[Total_Cost_MUSD]]*Table14[[#This Row],[prob10-failure_rating3]]*1000000/10</f>
        <v>3032.4638832000001</v>
      </c>
      <c r="JG3" s="1">
        <f>Table14[[#This Row],[Total_Cost_MUSD]]*Table14[[#This Row],[prob10-failure_rating4]]*1000000/10</f>
        <v>1137.1739561999998</v>
      </c>
      <c r="JH3" s="1">
        <f>Table14[[#This Row],[Total_Cost_MUSD]]*Table14[[#This Row],[prob10-failure_rating5]]*1000000/10</f>
        <v>75.811597079999999</v>
      </c>
      <c r="JI3" s="1">
        <f>Table14[[#This Row],[Total_Cost_MUSD]]*Table14[[#This Row],[prob10-failure_rating6]]*1000000/10</f>
        <v>758.11597080000001</v>
      </c>
      <c r="JJ3" s="1">
        <f>Table14[[#This Row],[Total_Cost_MUSD]]*Table14[[#This Row],[prob10-failure_rating7]]*1000000/10</f>
        <v>758.11597080000001</v>
      </c>
      <c r="JK3" s="1">
        <f>Table14[[#This Row],[Total_Cost_MUSD]]*Table14[[#This Row],[prob10-failure_rating8]]*1000000/10</f>
        <v>37.905798539999999</v>
      </c>
      <c r="JL3" s="1">
        <f>Table14[[#This Row],[Total_Cost_MUSD]]*Table14[[#This Row],[prob10-failure_rating9]]*1000000/10</f>
        <v>7.5811597079999995</v>
      </c>
      <c r="JM3" s="1">
        <f>Table14[[#This Row],[failurecost500_rating1]]+Table14[[#This Row],[failurecost100_rating1]]+Table14[[#This Row],[failurecost50_rating1]]+Table14[[#This Row],[failurecost10_rating1]]</f>
        <v>26060.23649625</v>
      </c>
      <c r="JN3" s="1">
        <f>Table14[[#This Row],[failurecost500_rating2]]+Table14[[#This Row],[failurecost100_rating2]]+Table14[[#This Row],[failurecost50_rating2]]+Table14[[#This Row],[failurecost10_rating2]]</f>
        <v>18952.899270000002</v>
      </c>
      <c r="JO3" s="1">
        <f>Table14[[#This Row],[failurecost500_rating2]]+Table14[[#This Row],[failurecost100_rating2]]+Table14[[#This Row],[failurecost50_rating2]]+Table14[[#This Row],[failurecost10_rating2]]</f>
        <v>18952.899270000002</v>
      </c>
      <c r="JP3" s="1">
        <f>Table14[[#This Row],[failurecost500_rating3]]+Table14[[#This Row],[failurecost100_rating3]]+Table14[[#This Row],[failurecost50_rating3]]+Table14[[#This Row],[failurecost10_rating3]]</f>
        <v>4093.8262423199999</v>
      </c>
      <c r="JQ3" s="1">
        <f>Table14[[#This Row],[failurecost500_rating3]]+Table14[[#This Row],[failurecost100_rating3]]+Table14[[#This Row],[failurecost50_rating3]]+Table14[[#This Row],[failurecost10_rating3]]</f>
        <v>4093.8262423199999</v>
      </c>
      <c r="JR3" s="1">
        <f>Table14[[#This Row],[failurecost500_rating4]]+Table14[[#This Row],[failurecost100_rating4]]+Table14[[#This Row],[failurecost50_rating4]]+Table14[[#This Row],[failurecost10_rating4]]</f>
        <v>1436.6297646659998</v>
      </c>
      <c r="JS3" s="1">
        <f>Table14[[#This Row],[failurecost500_rating4]]+Table14[[#This Row],[failurecost100_rating4]]+Table14[[#This Row],[failurecost50_rating4]]+Table14[[#This Row],[failurecost10_rating4]]</f>
        <v>1436.6297646659998</v>
      </c>
      <c r="JT3" s="1">
        <f>Table14[[#This Row],[failurecost500_rating5]]+Table14[[#This Row],[failurecost100_rating5]]+Table14[[#This Row],[failurecost50_rating5]]+Table14[[#This Row],[failurecost10_rating5]]</f>
        <v>80.625633494580001</v>
      </c>
      <c r="JU3" s="1">
        <f>Table14[[#This Row],[failurecost500_rating5]]+Table14[[#This Row],[failurecost100_rating5]]+Table14[[#This Row],[failurecost50_rating5]]+Table14[[#This Row],[failurecost10_rating5]]</f>
        <v>80.625633494580001</v>
      </c>
    </row>
    <row r="4" spans="1:281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Table14[[#This Row],[Depth10_Soil_vol]]*(9.353+9.027)+(Table14[[#This Row],[Depth10_Soil_vol]]/2.5)*20*1.053+(PI()*Table14[[#This Row],[Depth10_Scour]])*Table14[[#This Row],[DECK_WIDTH_MT_052]]*1.062</f>
        <v>0</v>
      </c>
      <c r="AR4" s="1">
        <f>Table14[[#This Row],[Depth50_Soil_vol]]*(9.353+9.027)+(Table14[[#This Row],[Depth50_Soil_vol]]/2.5)*20*1.053+(PI()*Table14[[#This Row],[Depth50_Scour]])*Table14[[#This Row],[DECK_WIDTH_MT_052]]*1.062</f>
        <v>5183.5345730170238</v>
      </c>
      <c r="AS4" s="1">
        <f>Table14[[#This Row],[Depth100_Soil_vol]]*(9.353+9.027)+(Table14[[#This Row],[Depth100_Soil_vol]]/2.5)*20*1.053+(PI()*Table14[[#This Row],[Depth100_Scour]])*Table14[[#This Row],[DECK_WIDTH_MT_052]]*1.062</f>
        <v>5452.2219529566692</v>
      </c>
      <c r="AT4" s="1">
        <f>Table14[[#This Row],[Depth500_Soil_vol]]*(9.353+9.027)+(Table14[[#This Row],[Depth500_Soil_vol]]/2.5)*20*1.053+(PI()*Table14[[#This Row],[Depth500_Scour]])*Table14[[#This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>
        <v>36.37292137</v>
      </c>
      <c r="GE4" s="1">
        <v>0</v>
      </c>
      <c r="GF4" s="1">
        <v>0</v>
      </c>
      <c r="GG4" s="1">
        <v>0</v>
      </c>
      <c r="GH4" s="1">
        <v>0</v>
      </c>
      <c r="GI4" s="1">
        <v>8</v>
      </c>
      <c r="GJ4" s="1">
        <v>10000</v>
      </c>
      <c r="GK4" s="1">
        <v>10000</v>
      </c>
      <c r="GL4" s="1">
        <v>10000</v>
      </c>
      <c r="GM4" s="1">
        <v>10000</v>
      </c>
      <c r="GN4" s="1">
        <v>10000</v>
      </c>
      <c r="GO4" s="1">
        <v>10000</v>
      </c>
      <c r="GP4" s="1">
        <v>0</v>
      </c>
      <c r="GQ4" s="1">
        <v>0</v>
      </c>
      <c r="GR4" s="1">
        <v>0</v>
      </c>
      <c r="GS4" s="1">
        <f t="shared" si="0"/>
        <v>2.5000000000000001E-2</v>
      </c>
      <c r="GT4" s="1">
        <v>0.01</v>
      </c>
      <c r="GU4" s="1">
        <v>2.5000000000000001E-3</v>
      </c>
      <c r="GV4" s="1">
        <v>4.0000000000000002E-4</v>
      </c>
      <c r="GW4" s="1">
        <v>6.9999999999999999E-6</v>
      </c>
      <c r="GX4" s="1">
        <v>1.8000000000000001E-4</v>
      </c>
      <c r="GY4" s="1">
        <v>1.8000000000000001E-4</v>
      </c>
      <c r="GZ4" s="1">
        <v>3.9999999999999998E-6</v>
      </c>
      <c r="HA4" s="1">
        <v>2.5000000000000002E-6</v>
      </c>
      <c r="HB4" s="1">
        <f t="shared" si="1"/>
        <v>1.2500000000000001E-2</v>
      </c>
      <c r="HC4" s="1">
        <v>6.0000000000000001E-3</v>
      </c>
      <c r="HD4" s="1">
        <v>2.5000000000000001E-3</v>
      </c>
      <c r="HE4" s="1">
        <v>5.0000000000000001E-4</v>
      </c>
      <c r="HF4" s="1">
        <v>7.9999999999999996E-6</v>
      </c>
      <c r="HG4" s="1">
        <v>2.5000000000000001E-4</v>
      </c>
      <c r="HH4" s="1">
        <v>2.5000000000000001E-4</v>
      </c>
      <c r="HI4" s="1">
        <v>5.0000000000000004E-6</v>
      </c>
      <c r="HJ4" s="1">
        <v>3.0000000000000001E-6</v>
      </c>
      <c r="HK4" s="1">
        <v>0.01</v>
      </c>
      <c r="HL4" s="1">
        <v>6.0000000000000001E-3</v>
      </c>
      <c r="HM4" s="1">
        <v>1.2999999999999999E-3</v>
      </c>
      <c r="HN4" s="1">
        <v>5.0000000000000001E-4</v>
      </c>
      <c r="HO4" s="1">
        <v>7.9999999999999996E-6</v>
      </c>
      <c r="HP4" s="1">
        <v>2.5000000000000001E-4</v>
      </c>
      <c r="HQ4" s="1">
        <v>2.5000000000000001E-4</v>
      </c>
      <c r="HR4" s="1">
        <v>5.0000000000000004E-6</v>
      </c>
      <c r="HS4" s="1">
        <v>3.0000000000000001E-6</v>
      </c>
      <c r="HT4" s="1">
        <v>0.01</v>
      </c>
      <c r="HU4" s="1">
        <v>8.0000000000000002E-3</v>
      </c>
      <c r="HV4" s="1">
        <v>1.6000000000000001E-3</v>
      </c>
      <c r="HW4" s="1">
        <v>5.9999999999999995E-4</v>
      </c>
      <c r="HX4" s="1">
        <v>4.0000000000000003E-5</v>
      </c>
      <c r="HY4" s="1">
        <v>4.0000000000000002E-4</v>
      </c>
      <c r="HZ4" s="1">
        <v>4.0000000000000002E-4</v>
      </c>
      <c r="IA4" s="1">
        <v>2.0000000000000002E-5</v>
      </c>
      <c r="IB4" s="1">
        <v>3.9999999999999998E-6</v>
      </c>
      <c r="IC4" s="1">
        <f>Table14[[#This Row],[Total_Cost_MUSD]]*Table14[[#This Row],[prob500-failure_rating1]]*1000000/500</f>
        <v>1818.6460685</v>
      </c>
      <c r="ID4" s="1">
        <f>Table14[[#This Row],[Total_Cost_MUSD]]*Table14[[#This Row],[prob500-failure_rating2]]*1000000/500</f>
        <v>727.45842740000001</v>
      </c>
      <c r="IE4" s="1">
        <f>Table14[[#This Row],[Total_Cost_MUSD]]*Table14[[#This Row],[prob500-failure_rating3]]*1000000/500</f>
        <v>181.86460685</v>
      </c>
      <c r="IF4" s="1">
        <f>Table14[[#This Row],[Total_Cost_MUSD]]*Table14[[#This Row],[prob500-failure_rating4]]*1000000/500</f>
        <v>29.098337096000002</v>
      </c>
      <c r="IG4" s="1">
        <f>Table14[[#This Row],[Total_Cost_MUSD]]*Table14[[#This Row],[prob500-failure_rating5]]*1000000/500</f>
        <v>0.50922089918000002</v>
      </c>
      <c r="IH4" s="1">
        <f>Table14[[#This Row],[Total_Cost_MUSD]]*Table14[[#This Row],[prob500-failure_rating6]]*1000000/500</f>
        <v>13.0942516932</v>
      </c>
      <c r="II4" s="1">
        <f>Table14[[#This Row],[Total_Cost_MUSD]]*Table14[[#This Row],[prob500-failure_rating7]]*1000000/500</f>
        <v>13.0942516932</v>
      </c>
      <c r="IJ4" s="1">
        <f>Table14[[#This Row],[Total_Cost_MUSD]]*Table14[[#This Row],[prob500-failure_rating8]]*1000000/500</f>
        <v>0.29098337095999999</v>
      </c>
      <c r="IK4" s="1">
        <f>Table14[[#This Row],[Total_Cost_MUSD]]*Table14[[#This Row],[prob500-failure_rating9]]*1000000/500</f>
        <v>0.18186460685000003</v>
      </c>
      <c r="IL4" s="1">
        <f>Table14[[#This Row],[Total_Cost_MUSD]]*Table14[[#This Row],[prob100-failure_rating1]]*1000000/100</f>
        <v>4546.6151712500005</v>
      </c>
      <c r="IM4" s="1">
        <f>Table14[[#This Row],[Total_Cost_MUSD]]*Table14[[#This Row],[prob100-failure_rating2]]*1000000/100</f>
        <v>2182.3752822000001</v>
      </c>
      <c r="IN4" s="1">
        <f>Table14[[#This Row],[Total_Cost_MUSD]]*Table14[[#This Row],[prob100-failure_rating3]]*1000000/100</f>
        <v>909.32303425000009</v>
      </c>
      <c r="IO4" s="1">
        <f>Table14[[#This Row],[Total_Cost_MUSD]]*Table14[[#This Row],[prob100-failure_rating4]]*1000000/100</f>
        <v>181.86460684999997</v>
      </c>
      <c r="IP4" s="1">
        <f>Table14[[#This Row],[Total_Cost_MUSD]]*Table14[[#This Row],[prob100-failure_rating5]]*1000000/100</f>
        <v>2.9098337096</v>
      </c>
      <c r="IQ4" s="1">
        <f>Table14[[#This Row],[Total_Cost_MUSD]]*Table14[[#This Row],[prob100-failure_rating6]]*1000000/100</f>
        <v>90.932303424999986</v>
      </c>
      <c r="IR4" s="1">
        <f>Table14[[#This Row],[Total_Cost_MUSD]]*Table14[[#This Row],[prob100-failure_rating7]]*1000000/100</f>
        <v>90.932303424999986</v>
      </c>
      <c r="IS4" s="1">
        <f>Table14[[#This Row],[Total_Cost_MUSD]]*Table14[[#This Row],[prob100-failure_rating8]]*1000000/100</f>
        <v>1.8186460685000003</v>
      </c>
      <c r="IT4" s="1">
        <f>Table14[[#This Row],[Total_Cost_MUSD]]*Table14[[#This Row],[prob100-failure_rating9]]*1000000/100</f>
        <v>1.0911876411000001</v>
      </c>
      <c r="IU4" s="1">
        <f>Table14[[#This Row],[Total_Cost_MUSD]]*Table14[[#This Row],[prob50-failure_rating1]]*1000000/50</f>
        <v>7274.5842740000007</v>
      </c>
      <c r="IV4" s="1">
        <f>Table14[[#This Row],[Total_Cost_MUSD]]*Table14[[#This Row],[prob50-failure_rating2]]*1000000/50</f>
        <v>4364.7505644000003</v>
      </c>
      <c r="IW4" s="1">
        <f>Table14[[#This Row],[Total_Cost_MUSD]]*Table14[[#This Row],[prob50-failure_rating3]]*1000000/50</f>
        <v>945.69595561999984</v>
      </c>
      <c r="IX4" s="1">
        <f>Table14[[#This Row],[Total_Cost_MUSD]]*Table14[[#This Row],[prob50-failure_rating4]]*1000000/50</f>
        <v>363.72921369999995</v>
      </c>
      <c r="IY4" s="1">
        <f>Table14[[#This Row],[Total_Cost_MUSD]]*Table14[[#This Row],[prob50-failure_rating5]]*1000000/50</f>
        <v>5.8196674192</v>
      </c>
      <c r="IZ4" s="1">
        <f>Table14[[#This Row],[Total_Cost_MUSD]]*Table14[[#This Row],[prob50-failure_rating6]]*1000000/50</f>
        <v>181.86460684999997</v>
      </c>
      <c r="JA4" s="1">
        <f>Table14[[#This Row],[Total_Cost_MUSD]]*Table14[[#This Row],[prob50-failure_rating7]]*1000000/50</f>
        <v>181.86460684999997</v>
      </c>
      <c r="JB4" s="1">
        <f>Table14[[#This Row],[Total_Cost_MUSD]]*Table14[[#This Row],[prob50-failure_rating8]]*1000000/50</f>
        <v>3.6372921370000006</v>
      </c>
      <c r="JC4" s="1">
        <f>Table14[[#This Row],[Total_Cost_MUSD]]*Table14[[#This Row],[prob50-failure_rating9]]*1000000/50</f>
        <v>2.1823752822000002</v>
      </c>
      <c r="JD4" s="1">
        <f>Table14[[#This Row],[Total_Cost_MUSD]]*Table14[[#This Row],[prob10-failure_rating1]]*1000000/10</f>
        <v>36372.921370000004</v>
      </c>
      <c r="JE4" s="1">
        <f>Table14[[#This Row],[Total_Cost_MUSD]]*Table14[[#This Row],[prob10-failure_rating2]]*1000000/10</f>
        <v>29098.337095999996</v>
      </c>
      <c r="JF4" s="1">
        <f>Table14[[#This Row],[Total_Cost_MUSD]]*Table14[[#This Row],[prob10-failure_rating3]]*1000000/10</f>
        <v>5819.6674192000009</v>
      </c>
      <c r="JG4" s="1">
        <f>Table14[[#This Row],[Total_Cost_MUSD]]*Table14[[#This Row],[prob10-failure_rating4]]*1000000/10</f>
        <v>2182.3752821999997</v>
      </c>
      <c r="JH4" s="1">
        <f>Table14[[#This Row],[Total_Cost_MUSD]]*Table14[[#This Row],[prob10-failure_rating5]]*1000000/10</f>
        <v>145.49168548000003</v>
      </c>
      <c r="JI4" s="1">
        <f>Table14[[#This Row],[Total_Cost_MUSD]]*Table14[[#This Row],[prob10-failure_rating6]]*1000000/10</f>
        <v>1454.9168548000002</v>
      </c>
      <c r="JJ4" s="1">
        <f>Table14[[#This Row],[Total_Cost_MUSD]]*Table14[[#This Row],[prob10-failure_rating7]]*1000000/10</f>
        <v>1454.9168548000002</v>
      </c>
      <c r="JK4" s="1">
        <f>Table14[[#This Row],[Total_Cost_MUSD]]*Table14[[#This Row],[prob10-failure_rating8]]*1000000/10</f>
        <v>72.745842740000015</v>
      </c>
      <c r="JL4" s="1">
        <f>Table14[[#This Row],[Total_Cost_MUSD]]*Table14[[#This Row],[prob10-failure_rating9]]*1000000/10</f>
        <v>14.549168548000001</v>
      </c>
      <c r="JM4" s="1">
        <f>Table14[[#This Row],[failurecost500_rating1]]+Table14[[#This Row],[failurecost100_rating1]]+Table14[[#This Row],[failurecost50_rating1]]+Table14[[#This Row],[failurecost10_rating1]]</f>
        <v>50012.76688375001</v>
      </c>
      <c r="JN4" s="1">
        <f>Table14[[#This Row],[failurecost500_rating2]]+Table14[[#This Row],[failurecost100_rating2]]+Table14[[#This Row],[failurecost50_rating2]]+Table14[[#This Row],[failurecost10_rating2]]</f>
        <v>36372.921369999996</v>
      </c>
      <c r="JO4" s="1">
        <f>Table14[[#This Row],[failurecost500_rating2]]+Table14[[#This Row],[failurecost100_rating2]]+Table14[[#This Row],[failurecost50_rating2]]+Table14[[#This Row],[failurecost10_rating2]]</f>
        <v>36372.921369999996</v>
      </c>
      <c r="JP4" s="1">
        <f>Table14[[#This Row],[failurecost500_rating3]]+Table14[[#This Row],[failurecost100_rating3]]+Table14[[#This Row],[failurecost50_rating3]]+Table14[[#This Row],[failurecost10_rating3]]</f>
        <v>7856.5510159200003</v>
      </c>
      <c r="JQ4" s="1">
        <f>Table14[[#This Row],[failurecost500_rating3]]+Table14[[#This Row],[failurecost100_rating3]]+Table14[[#This Row],[failurecost50_rating3]]+Table14[[#This Row],[failurecost10_rating3]]</f>
        <v>7856.5510159200003</v>
      </c>
      <c r="JR4" s="1">
        <f>Table14[[#This Row],[failurecost500_rating4]]+Table14[[#This Row],[failurecost100_rating4]]+Table14[[#This Row],[failurecost50_rating4]]+Table14[[#This Row],[failurecost10_rating4]]</f>
        <v>2757.0674398459996</v>
      </c>
      <c r="JS4" s="1">
        <f>Table14[[#This Row],[failurecost500_rating4]]+Table14[[#This Row],[failurecost100_rating4]]+Table14[[#This Row],[failurecost50_rating4]]+Table14[[#This Row],[failurecost10_rating4]]</f>
        <v>2757.0674398459996</v>
      </c>
      <c r="JT4" s="1">
        <f>Table14[[#This Row],[failurecost500_rating5]]+Table14[[#This Row],[failurecost100_rating5]]+Table14[[#This Row],[failurecost50_rating5]]+Table14[[#This Row],[failurecost10_rating5]]</f>
        <v>154.73040750798003</v>
      </c>
      <c r="JU4" s="1">
        <f>Table14[[#This Row],[failurecost500_rating5]]+Table14[[#This Row],[failurecost100_rating5]]+Table14[[#This Row],[failurecost50_rating5]]+Table14[[#This Row],[failurecost10_rating5]]</f>
        <v>154.73040750798003</v>
      </c>
    </row>
    <row r="5" spans="1:281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Table14[[#This Row],[Depth10_Soil_vol]]*(9.353+9.027)+(Table14[[#This Row],[Depth10_Soil_vol]]/2.5)*20*1.053+(PI()*Table14[[#This Row],[Depth10_Scour]])*Table14[[#This Row],[DECK_WIDTH_MT_052]]*1.062</f>
        <v>0</v>
      </c>
      <c r="AR5" s="1">
        <f>Table14[[#This Row],[Depth50_Soil_vol]]*(9.353+9.027)+(Table14[[#This Row],[Depth50_Soil_vol]]/2.5)*20*1.053+(PI()*Table14[[#This Row],[Depth50_Scour]])*Table14[[#This Row],[DECK_WIDTH_MT_052]]*1.062</f>
        <v>8698.4034732067958</v>
      </c>
      <c r="AS5" s="1">
        <f>Table14[[#This Row],[Depth100_Soil_vol]]*(9.353+9.027)+(Table14[[#This Row],[Depth100_Soil_vol]]/2.5)*20*1.053+(PI()*Table14[[#This Row],[Depth100_Scour]])*Table14[[#This Row],[DECK_WIDTH_MT_052]]*1.062</f>
        <v>10436.848001870483</v>
      </c>
      <c r="AT5" s="1">
        <f>Table14[[#This Row],[Depth500_Soil_vol]]*(9.353+9.027)+(Table14[[#This Row],[Depth500_Soil_vol]]/2.5)*20*1.053+(PI()*Table14[[#This Row],[Depth500_Scour]])*Table14[[#This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>
        <v>16.12521495</v>
      </c>
      <c r="GE5" s="1">
        <v>0</v>
      </c>
      <c r="GF5" s="1">
        <v>0</v>
      </c>
      <c r="GG5" s="1">
        <v>0</v>
      </c>
      <c r="GH5" s="1">
        <v>0</v>
      </c>
      <c r="GI5" s="1">
        <v>8</v>
      </c>
      <c r="GJ5" s="1">
        <v>10000</v>
      </c>
      <c r="GK5" s="1">
        <v>10000</v>
      </c>
      <c r="GL5" s="1">
        <v>10000</v>
      </c>
      <c r="GM5" s="1">
        <v>10000</v>
      </c>
      <c r="GN5" s="1">
        <v>10000</v>
      </c>
      <c r="GO5" s="1">
        <v>10000</v>
      </c>
      <c r="GP5" s="1">
        <v>0</v>
      </c>
      <c r="GQ5" s="1">
        <v>0</v>
      </c>
      <c r="GR5" s="1">
        <v>0</v>
      </c>
      <c r="GS5" s="1">
        <f t="shared" si="0"/>
        <v>2.5000000000000001E-2</v>
      </c>
      <c r="GT5" s="1">
        <v>0.01</v>
      </c>
      <c r="GU5" s="1">
        <v>2.5000000000000001E-3</v>
      </c>
      <c r="GV5" s="1">
        <v>4.0000000000000002E-4</v>
      </c>
      <c r="GW5" s="1">
        <v>6.9999999999999999E-6</v>
      </c>
      <c r="GX5" s="1">
        <v>1.8000000000000001E-4</v>
      </c>
      <c r="GY5" s="1">
        <v>1.8000000000000001E-4</v>
      </c>
      <c r="GZ5" s="1">
        <v>3.9999999999999998E-6</v>
      </c>
      <c r="HA5" s="1">
        <v>2.5000000000000002E-6</v>
      </c>
      <c r="HB5" s="1">
        <f t="shared" si="1"/>
        <v>1.2500000000000001E-2</v>
      </c>
      <c r="HC5" s="1">
        <v>6.0000000000000001E-3</v>
      </c>
      <c r="HD5" s="1">
        <v>2.5000000000000001E-3</v>
      </c>
      <c r="HE5" s="1">
        <v>5.0000000000000001E-4</v>
      </c>
      <c r="HF5" s="1">
        <v>7.9999999999999996E-6</v>
      </c>
      <c r="HG5" s="1">
        <v>2.5000000000000001E-4</v>
      </c>
      <c r="HH5" s="1">
        <v>2.5000000000000001E-4</v>
      </c>
      <c r="HI5" s="1">
        <v>5.0000000000000004E-6</v>
      </c>
      <c r="HJ5" s="1">
        <v>3.0000000000000001E-6</v>
      </c>
      <c r="HK5" s="1">
        <v>0.01</v>
      </c>
      <c r="HL5" s="1">
        <v>6.0000000000000001E-3</v>
      </c>
      <c r="HM5" s="1">
        <v>1.2999999999999999E-3</v>
      </c>
      <c r="HN5" s="1">
        <v>5.0000000000000001E-4</v>
      </c>
      <c r="HO5" s="1">
        <v>7.9999999999999996E-6</v>
      </c>
      <c r="HP5" s="1">
        <v>2.5000000000000001E-4</v>
      </c>
      <c r="HQ5" s="1">
        <v>2.5000000000000001E-4</v>
      </c>
      <c r="HR5" s="1">
        <v>5.0000000000000004E-6</v>
      </c>
      <c r="HS5" s="1">
        <v>3.0000000000000001E-6</v>
      </c>
      <c r="HT5" s="1">
        <v>0.01</v>
      </c>
      <c r="HU5" s="1">
        <v>8.0000000000000002E-3</v>
      </c>
      <c r="HV5" s="1">
        <v>1.6000000000000001E-3</v>
      </c>
      <c r="HW5" s="1">
        <v>5.9999999999999995E-4</v>
      </c>
      <c r="HX5" s="1">
        <v>4.0000000000000003E-5</v>
      </c>
      <c r="HY5" s="1">
        <v>4.0000000000000002E-4</v>
      </c>
      <c r="HZ5" s="1">
        <v>4.0000000000000002E-4</v>
      </c>
      <c r="IA5" s="1">
        <v>2.0000000000000002E-5</v>
      </c>
      <c r="IB5" s="1">
        <v>3.9999999999999998E-6</v>
      </c>
      <c r="IC5" s="1">
        <f>Table14[[#This Row],[Total_Cost_MUSD]]*Table14[[#This Row],[prob500-failure_rating1]]*1000000/500</f>
        <v>806.26074750000009</v>
      </c>
      <c r="ID5" s="1">
        <f>Table14[[#This Row],[Total_Cost_MUSD]]*Table14[[#This Row],[prob500-failure_rating2]]*1000000/500</f>
        <v>322.504299</v>
      </c>
      <c r="IE5" s="1">
        <f>Table14[[#This Row],[Total_Cost_MUSD]]*Table14[[#This Row],[prob500-failure_rating3]]*1000000/500</f>
        <v>80.626074750000001</v>
      </c>
      <c r="IF5" s="1">
        <f>Table14[[#This Row],[Total_Cost_MUSD]]*Table14[[#This Row],[prob500-failure_rating4]]*1000000/500</f>
        <v>12.900171960000002</v>
      </c>
      <c r="IG5" s="1">
        <f>Table14[[#This Row],[Total_Cost_MUSD]]*Table14[[#This Row],[prob500-failure_rating5]]*1000000/500</f>
        <v>0.2257530093</v>
      </c>
      <c r="IH5" s="1">
        <f>Table14[[#This Row],[Total_Cost_MUSD]]*Table14[[#This Row],[prob500-failure_rating6]]*1000000/500</f>
        <v>5.8050773820000003</v>
      </c>
      <c r="II5" s="1">
        <f>Table14[[#This Row],[Total_Cost_MUSD]]*Table14[[#This Row],[prob500-failure_rating7]]*1000000/500</f>
        <v>5.8050773820000003</v>
      </c>
      <c r="IJ5" s="1">
        <f>Table14[[#This Row],[Total_Cost_MUSD]]*Table14[[#This Row],[prob500-failure_rating8]]*1000000/500</f>
        <v>0.12900171959999998</v>
      </c>
      <c r="IK5" s="1">
        <f>Table14[[#This Row],[Total_Cost_MUSD]]*Table14[[#This Row],[prob500-failure_rating9]]*1000000/500</f>
        <v>8.0626074750000012E-2</v>
      </c>
      <c r="IL5" s="1">
        <f>Table14[[#This Row],[Total_Cost_MUSD]]*Table14[[#This Row],[prob100-failure_rating1]]*1000000/100</f>
        <v>2015.6518687500002</v>
      </c>
      <c r="IM5" s="1">
        <f>Table14[[#This Row],[Total_Cost_MUSD]]*Table14[[#This Row],[prob100-failure_rating2]]*1000000/100</f>
        <v>967.51289700000007</v>
      </c>
      <c r="IN5" s="1">
        <f>Table14[[#This Row],[Total_Cost_MUSD]]*Table14[[#This Row],[prob100-failure_rating3]]*1000000/100</f>
        <v>403.13037374999999</v>
      </c>
      <c r="IO5" s="1">
        <f>Table14[[#This Row],[Total_Cost_MUSD]]*Table14[[#This Row],[prob100-failure_rating4]]*1000000/100</f>
        <v>80.626074750000001</v>
      </c>
      <c r="IP5" s="1">
        <f>Table14[[#This Row],[Total_Cost_MUSD]]*Table14[[#This Row],[prob100-failure_rating5]]*1000000/100</f>
        <v>1.2900171959999998</v>
      </c>
      <c r="IQ5" s="1">
        <f>Table14[[#This Row],[Total_Cost_MUSD]]*Table14[[#This Row],[prob100-failure_rating6]]*1000000/100</f>
        <v>40.313037375</v>
      </c>
      <c r="IR5" s="1">
        <f>Table14[[#This Row],[Total_Cost_MUSD]]*Table14[[#This Row],[prob100-failure_rating7]]*1000000/100</f>
        <v>40.313037375</v>
      </c>
      <c r="IS5" s="1">
        <f>Table14[[#This Row],[Total_Cost_MUSD]]*Table14[[#This Row],[prob100-failure_rating8]]*1000000/100</f>
        <v>0.8062607475000001</v>
      </c>
      <c r="IT5" s="1">
        <f>Table14[[#This Row],[Total_Cost_MUSD]]*Table14[[#This Row],[prob100-failure_rating9]]*1000000/100</f>
        <v>0.48375644849999999</v>
      </c>
      <c r="IU5" s="1">
        <f>Table14[[#This Row],[Total_Cost_MUSD]]*Table14[[#This Row],[prob50-failure_rating1]]*1000000/50</f>
        <v>3225.0429899999999</v>
      </c>
      <c r="IV5" s="1">
        <f>Table14[[#This Row],[Total_Cost_MUSD]]*Table14[[#This Row],[prob50-failure_rating2]]*1000000/50</f>
        <v>1935.0257940000001</v>
      </c>
      <c r="IW5" s="1">
        <f>Table14[[#This Row],[Total_Cost_MUSD]]*Table14[[#This Row],[prob50-failure_rating3]]*1000000/50</f>
        <v>419.25558870000003</v>
      </c>
      <c r="IX5" s="1">
        <f>Table14[[#This Row],[Total_Cost_MUSD]]*Table14[[#This Row],[prob50-failure_rating4]]*1000000/50</f>
        <v>161.2521495</v>
      </c>
      <c r="IY5" s="1">
        <f>Table14[[#This Row],[Total_Cost_MUSD]]*Table14[[#This Row],[prob50-failure_rating5]]*1000000/50</f>
        <v>2.5800343919999995</v>
      </c>
      <c r="IZ5" s="1">
        <f>Table14[[#This Row],[Total_Cost_MUSD]]*Table14[[#This Row],[prob50-failure_rating6]]*1000000/50</f>
        <v>80.626074750000001</v>
      </c>
      <c r="JA5" s="1">
        <f>Table14[[#This Row],[Total_Cost_MUSD]]*Table14[[#This Row],[prob50-failure_rating7]]*1000000/50</f>
        <v>80.626074750000001</v>
      </c>
      <c r="JB5" s="1">
        <f>Table14[[#This Row],[Total_Cost_MUSD]]*Table14[[#This Row],[prob50-failure_rating8]]*1000000/50</f>
        <v>1.6125214950000002</v>
      </c>
      <c r="JC5" s="1">
        <f>Table14[[#This Row],[Total_Cost_MUSD]]*Table14[[#This Row],[prob50-failure_rating9]]*1000000/50</f>
        <v>0.96751289699999998</v>
      </c>
      <c r="JD5" s="1">
        <f>Table14[[#This Row],[Total_Cost_MUSD]]*Table14[[#This Row],[prob10-failure_rating1]]*1000000/10</f>
        <v>16125.21495</v>
      </c>
      <c r="JE5" s="1">
        <f>Table14[[#This Row],[Total_Cost_MUSD]]*Table14[[#This Row],[prob10-failure_rating2]]*1000000/10</f>
        <v>12900.171960000001</v>
      </c>
      <c r="JF5" s="1">
        <f>Table14[[#This Row],[Total_Cost_MUSD]]*Table14[[#This Row],[prob10-failure_rating3]]*1000000/10</f>
        <v>2580.0343920000005</v>
      </c>
      <c r="JG5" s="1">
        <f>Table14[[#This Row],[Total_Cost_MUSD]]*Table14[[#This Row],[prob10-failure_rating4]]*1000000/10</f>
        <v>967.51289699999984</v>
      </c>
      <c r="JH5" s="1">
        <f>Table14[[#This Row],[Total_Cost_MUSD]]*Table14[[#This Row],[prob10-failure_rating5]]*1000000/10</f>
        <v>64.500859800000015</v>
      </c>
      <c r="JI5" s="1">
        <f>Table14[[#This Row],[Total_Cost_MUSD]]*Table14[[#This Row],[prob10-failure_rating6]]*1000000/10</f>
        <v>645.00859800000012</v>
      </c>
      <c r="JJ5" s="1">
        <f>Table14[[#This Row],[Total_Cost_MUSD]]*Table14[[#This Row],[prob10-failure_rating7]]*1000000/10</f>
        <v>645.00859800000012</v>
      </c>
      <c r="JK5" s="1">
        <f>Table14[[#This Row],[Total_Cost_MUSD]]*Table14[[#This Row],[prob10-failure_rating8]]*1000000/10</f>
        <v>32.250429900000007</v>
      </c>
      <c r="JL5" s="1">
        <f>Table14[[#This Row],[Total_Cost_MUSD]]*Table14[[#This Row],[prob10-failure_rating9]]*1000000/10</f>
        <v>6.450085979999999</v>
      </c>
      <c r="JM5" s="1">
        <f>Table14[[#This Row],[failurecost500_rating1]]+Table14[[#This Row],[failurecost100_rating1]]+Table14[[#This Row],[failurecost50_rating1]]+Table14[[#This Row],[failurecost10_rating1]]</f>
        <v>22172.170556249999</v>
      </c>
      <c r="JN5" s="1">
        <f>Table14[[#This Row],[failurecost500_rating2]]+Table14[[#This Row],[failurecost100_rating2]]+Table14[[#This Row],[failurecost50_rating2]]+Table14[[#This Row],[failurecost10_rating2]]</f>
        <v>16125.214950000001</v>
      </c>
      <c r="JO5" s="1">
        <f>Table14[[#This Row],[failurecost500_rating2]]+Table14[[#This Row],[failurecost100_rating2]]+Table14[[#This Row],[failurecost50_rating2]]+Table14[[#This Row],[failurecost10_rating2]]</f>
        <v>16125.214950000001</v>
      </c>
      <c r="JP5" s="1">
        <f>Table14[[#This Row],[failurecost500_rating3]]+Table14[[#This Row],[failurecost100_rating3]]+Table14[[#This Row],[failurecost50_rating3]]+Table14[[#This Row],[failurecost10_rating3]]</f>
        <v>3483.0464292000006</v>
      </c>
      <c r="JQ5" s="1">
        <f>Table14[[#This Row],[failurecost500_rating3]]+Table14[[#This Row],[failurecost100_rating3]]+Table14[[#This Row],[failurecost50_rating3]]+Table14[[#This Row],[failurecost10_rating3]]</f>
        <v>3483.0464292000006</v>
      </c>
      <c r="JR5" s="1">
        <f>Table14[[#This Row],[failurecost500_rating4]]+Table14[[#This Row],[failurecost100_rating4]]+Table14[[#This Row],[failurecost50_rating4]]+Table14[[#This Row],[failurecost10_rating4]]</f>
        <v>1222.2912932099998</v>
      </c>
      <c r="JS5" s="1">
        <f>Table14[[#This Row],[failurecost500_rating4]]+Table14[[#This Row],[failurecost100_rating4]]+Table14[[#This Row],[failurecost50_rating4]]+Table14[[#This Row],[failurecost10_rating4]]</f>
        <v>1222.2912932099998</v>
      </c>
      <c r="JT5" s="1">
        <f>Table14[[#This Row],[failurecost500_rating5]]+Table14[[#This Row],[failurecost100_rating5]]+Table14[[#This Row],[failurecost50_rating5]]+Table14[[#This Row],[failurecost10_rating5]]</f>
        <v>68.596664397300017</v>
      </c>
      <c r="JU5" s="1">
        <f>Table14[[#This Row],[failurecost500_rating5]]+Table14[[#This Row],[failurecost100_rating5]]+Table14[[#This Row],[failurecost50_rating5]]+Table14[[#This Row],[failurecost10_rating5]]</f>
        <v>68.596664397300017</v>
      </c>
    </row>
    <row r="6" spans="1:281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Table14[[#This Row],[Depth10_Soil_vol]]*(9.353+9.027)+(Table14[[#This Row],[Depth10_Soil_vol]]/2.5)*20*1.053+(PI()*Table14[[#This Row],[Depth10_Scour]])*Table14[[#This Row],[DECK_WIDTH_MT_052]]*1.062</f>
        <v>16919.4190908581</v>
      </c>
      <c r="AR6" s="1">
        <f>Table14[[#This Row],[Depth50_Soil_vol]]*(9.353+9.027)+(Table14[[#This Row],[Depth50_Soil_vol]]/2.5)*20*1.053+(PI()*Table14[[#This Row],[Depth50_Scour]])*Table14[[#This Row],[DECK_WIDTH_MT_052]]*1.062</f>
        <v>18202.748839783562</v>
      </c>
      <c r="AS6" s="1">
        <f>Table14[[#This Row],[Depth100_Soil_vol]]*(9.353+9.027)+(Table14[[#This Row],[Depth100_Soil_vol]]/2.5)*20*1.053+(PI()*Table14[[#This Row],[Depth100_Scour]])*Table14[[#This Row],[DECK_WIDTH_MT_052]]*1.062</f>
        <v>18769.361851972091</v>
      </c>
      <c r="AT6" s="1">
        <f>Table14[[#This Row],[Depth500_Soil_vol]]*(9.353+9.027)+(Table14[[#This Row],[Depth500_Soil_vol]]/2.5)*20*1.053+(PI()*Table14[[#This Row],[Depth500_Scour]])*Table14[[#This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>
        <v>24.57844167</v>
      </c>
      <c r="GE6" s="1">
        <v>0</v>
      </c>
      <c r="GF6" s="1">
        <v>0</v>
      </c>
      <c r="GG6" s="1">
        <v>0</v>
      </c>
      <c r="GH6" s="1">
        <v>0</v>
      </c>
      <c r="GI6" s="1">
        <v>3</v>
      </c>
      <c r="GJ6" s="1">
        <v>10000</v>
      </c>
      <c r="GK6" s="1">
        <v>10000</v>
      </c>
      <c r="GL6" s="1">
        <v>10000</v>
      </c>
      <c r="GM6" s="1">
        <v>10000</v>
      </c>
      <c r="GN6" s="1">
        <v>10000</v>
      </c>
      <c r="GO6" s="1">
        <v>10000</v>
      </c>
      <c r="GP6" s="1">
        <v>0</v>
      </c>
      <c r="GQ6" s="1">
        <v>0</v>
      </c>
      <c r="GR6" s="1">
        <v>0</v>
      </c>
      <c r="GS6" s="1">
        <f t="shared" si="0"/>
        <v>2.5000000000000001E-2</v>
      </c>
      <c r="GT6" s="1">
        <v>0.01</v>
      </c>
      <c r="GU6" s="1">
        <v>2.5000000000000001E-3</v>
      </c>
      <c r="GV6" s="1">
        <v>4.0000000000000002E-4</v>
      </c>
      <c r="GW6" s="1">
        <v>6.9999999999999999E-6</v>
      </c>
      <c r="GX6" s="1">
        <v>1.8000000000000001E-4</v>
      </c>
      <c r="GY6" s="1">
        <v>1.8000000000000001E-4</v>
      </c>
      <c r="GZ6" s="1">
        <v>3.9999999999999998E-6</v>
      </c>
      <c r="HA6" s="1">
        <v>2.5000000000000002E-6</v>
      </c>
      <c r="HB6" s="1">
        <f t="shared" si="1"/>
        <v>1.2500000000000001E-2</v>
      </c>
      <c r="HC6" s="1">
        <v>6.0000000000000001E-3</v>
      </c>
      <c r="HD6" s="1">
        <v>2.5000000000000001E-3</v>
      </c>
      <c r="HE6" s="1">
        <v>5.0000000000000001E-4</v>
      </c>
      <c r="HF6" s="1">
        <v>7.9999999999999996E-6</v>
      </c>
      <c r="HG6" s="1">
        <v>2.5000000000000001E-4</v>
      </c>
      <c r="HH6" s="1">
        <v>2.5000000000000001E-4</v>
      </c>
      <c r="HI6" s="1">
        <v>5.0000000000000004E-6</v>
      </c>
      <c r="HJ6" s="1">
        <v>3.0000000000000001E-6</v>
      </c>
      <c r="HK6" s="1">
        <v>0.01</v>
      </c>
      <c r="HL6" s="1">
        <v>6.0000000000000001E-3</v>
      </c>
      <c r="HM6" s="1">
        <v>1.2999999999999999E-3</v>
      </c>
      <c r="HN6" s="1">
        <v>5.0000000000000001E-4</v>
      </c>
      <c r="HO6" s="1">
        <v>7.9999999999999996E-6</v>
      </c>
      <c r="HP6" s="1">
        <v>2.5000000000000001E-4</v>
      </c>
      <c r="HQ6" s="1">
        <v>2.5000000000000001E-4</v>
      </c>
      <c r="HR6" s="1">
        <v>5.0000000000000004E-6</v>
      </c>
      <c r="HS6" s="1">
        <v>3.0000000000000001E-6</v>
      </c>
      <c r="HT6" s="1">
        <v>0.01</v>
      </c>
      <c r="HU6" s="1">
        <v>8.0000000000000002E-3</v>
      </c>
      <c r="HV6" s="1">
        <v>1.6000000000000001E-3</v>
      </c>
      <c r="HW6" s="1">
        <v>5.9999999999999995E-4</v>
      </c>
      <c r="HX6" s="1">
        <v>4.0000000000000003E-5</v>
      </c>
      <c r="HY6" s="1">
        <v>4.0000000000000002E-4</v>
      </c>
      <c r="HZ6" s="1">
        <v>4.0000000000000002E-4</v>
      </c>
      <c r="IA6" s="1">
        <v>2.0000000000000002E-5</v>
      </c>
      <c r="IB6" s="1">
        <v>3.9999999999999998E-6</v>
      </c>
      <c r="IC6" s="1">
        <f>Table14[[#This Row],[Total_Cost_MUSD]]*Table14[[#This Row],[prob500-failure_rating1]]*1000000/500</f>
        <v>1228.9220835000001</v>
      </c>
      <c r="ID6" s="1">
        <f>Table14[[#This Row],[Total_Cost_MUSD]]*Table14[[#This Row],[prob500-failure_rating2]]*1000000/500</f>
        <v>491.56883340000002</v>
      </c>
      <c r="IE6" s="1">
        <f>Table14[[#This Row],[Total_Cost_MUSD]]*Table14[[#This Row],[prob500-failure_rating3]]*1000000/500</f>
        <v>122.89220835</v>
      </c>
      <c r="IF6" s="1">
        <f>Table14[[#This Row],[Total_Cost_MUSD]]*Table14[[#This Row],[prob500-failure_rating4]]*1000000/500</f>
        <v>19.662753336000002</v>
      </c>
      <c r="IG6" s="1">
        <f>Table14[[#This Row],[Total_Cost_MUSD]]*Table14[[#This Row],[prob500-failure_rating5]]*1000000/500</f>
        <v>0.34409818337999998</v>
      </c>
      <c r="IH6" s="1">
        <f>Table14[[#This Row],[Total_Cost_MUSD]]*Table14[[#This Row],[prob500-failure_rating6]]*1000000/500</f>
        <v>8.8482390012000014</v>
      </c>
      <c r="II6" s="1">
        <f>Table14[[#This Row],[Total_Cost_MUSD]]*Table14[[#This Row],[prob500-failure_rating7]]*1000000/500</f>
        <v>8.8482390012000014</v>
      </c>
      <c r="IJ6" s="1">
        <f>Table14[[#This Row],[Total_Cost_MUSD]]*Table14[[#This Row],[prob500-failure_rating8]]*1000000/500</f>
        <v>0.19662753336</v>
      </c>
      <c r="IK6" s="1">
        <f>Table14[[#This Row],[Total_Cost_MUSD]]*Table14[[#This Row],[prob500-failure_rating9]]*1000000/500</f>
        <v>0.12289220835</v>
      </c>
      <c r="IL6" s="1">
        <f>Table14[[#This Row],[Total_Cost_MUSD]]*Table14[[#This Row],[prob100-failure_rating1]]*1000000/100</f>
        <v>3072.3052087500005</v>
      </c>
      <c r="IM6" s="1">
        <f>Table14[[#This Row],[Total_Cost_MUSD]]*Table14[[#This Row],[prob100-failure_rating2]]*1000000/100</f>
        <v>1474.7065001999999</v>
      </c>
      <c r="IN6" s="1">
        <f>Table14[[#This Row],[Total_Cost_MUSD]]*Table14[[#This Row],[prob100-failure_rating3]]*1000000/100</f>
        <v>614.46104175000005</v>
      </c>
      <c r="IO6" s="1">
        <f>Table14[[#This Row],[Total_Cost_MUSD]]*Table14[[#This Row],[prob100-failure_rating4]]*1000000/100</f>
        <v>122.89220835</v>
      </c>
      <c r="IP6" s="1">
        <f>Table14[[#This Row],[Total_Cost_MUSD]]*Table14[[#This Row],[prob100-failure_rating5]]*1000000/100</f>
        <v>1.9662753336000001</v>
      </c>
      <c r="IQ6" s="1">
        <f>Table14[[#This Row],[Total_Cost_MUSD]]*Table14[[#This Row],[prob100-failure_rating6]]*1000000/100</f>
        <v>61.446104175000002</v>
      </c>
      <c r="IR6" s="1">
        <f>Table14[[#This Row],[Total_Cost_MUSD]]*Table14[[#This Row],[prob100-failure_rating7]]*1000000/100</f>
        <v>61.446104175000002</v>
      </c>
      <c r="IS6" s="1">
        <f>Table14[[#This Row],[Total_Cost_MUSD]]*Table14[[#This Row],[prob100-failure_rating8]]*1000000/100</f>
        <v>1.2289220835000001</v>
      </c>
      <c r="IT6" s="1">
        <f>Table14[[#This Row],[Total_Cost_MUSD]]*Table14[[#This Row],[prob100-failure_rating9]]*1000000/100</f>
        <v>0.73735325009999997</v>
      </c>
      <c r="IU6" s="1">
        <f>Table14[[#This Row],[Total_Cost_MUSD]]*Table14[[#This Row],[prob50-failure_rating1]]*1000000/50</f>
        <v>4915.6883340000004</v>
      </c>
      <c r="IV6" s="1">
        <f>Table14[[#This Row],[Total_Cost_MUSD]]*Table14[[#This Row],[prob50-failure_rating2]]*1000000/50</f>
        <v>2949.4130003999999</v>
      </c>
      <c r="IW6" s="1">
        <f>Table14[[#This Row],[Total_Cost_MUSD]]*Table14[[#This Row],[prob50-failure_rating3]]*1000000/50</f>
        <v>639.03948342000001</v>
      </c>
      <c r="IX6" s="1">
        <f>Table14[[#This Row],[Total_Cost_MUSD]]*Table14[[#This Row],[prob50-failure_rating4]]*1000000/50</f>
        <v>245.78441670000001</v>
      </c>
      <c r="IY6" s="1">
        <f>Table14[[#This Row],[Total_Cost_MUSD]]*Table14[[#This Row],[prob50-failure_rating5]]*1000000/50</f>
        <v>3.9325506672000001</v>
      </c>
      <c r="IZ6" s="1">
        <f>Table14[[#This Row],[Total_Cost_MUSD]]*Table14[[#This Row],[prob50-failure_rating6]]*1000000/50</f>
        <v>122.89220835</v>
      </c>
      <c r="JA6" s="1">
        <f>Table14[[#This Row],[Total_Cost_MUSD]]*Table14[[#This Row],[prob50-failure_rating7]]*1000000/50</f>
        <v>122.89220835</v>
      </c>
      <c r="JB6" s="1">
        <f>Table14[[#This Row],[Total_Cost_MUSD]]*Table14[[#This Row],[prob50-failure_rating8]]*1000000/50</f>
        <v>2.4578441670000002</v>
      </c>
      <c r="JC6" s="1">
        <f>Table14[[#This Row],[Total_Cost_MUSD]]*Table14[[#This Row],[prob50-failure_rating9]]*1000000/50</f>
        <v>1.4747065001999999</v>
      </c>
      <c r="JD6" s="1">
        <f>Table14[[#This Row],[Total_Cost_MUSD]]*Table14[[#This Row],[prob10-failure_rating1]]*1000000/10</f>
        <v>24578.44167</v>
      </c>
      <c r="JE6" s="1">
        <f>Table14[[#This Row],[Total_Cost_MUSD]]*Table14[[#This Row],[prob10-failure_rating2]]*1000000/10</f>
        <v>19662.753336000002</v>
      </c>
      <c r="JF6" s="1">
        <f>Table14[[#This Row],[Total_Cost_MUSD]]*Table14[[#This Row],[prob10-failure_rating3]]*1000000/10</f>
        <v>3932.5506672000001</v>
      </c>
      <c r="JG6" s="1">
        <f>Table14[[#This Row],[Total_Cost_MUSD]]*Table14[[#This Row],[prob10-failure_rating4]]*1000000/10</f>
        <v>1474.7065001999999</v>
      </c>
      <c r="JH6" s="1">
        <f>Table14[[#This Row],[Total_Cost_MUSD]]*Table14[[#This Row],[prob10-failure_rating5]]*1000000/10</f>
        <v>98.313766680000001</v>
      </c>
      <c r="JI6" s="1">
        <f>Table14[[#This Row],[Total_Cost_MUSD]]*Table14[[#This Row],[prob10-failure_rating6]]*1000000/10</f>
        <v>983.13766680000003</v>
      </c>
      <c r="JJ6" s="1">
        <f>Table14[[#This Row],[Total_Cost_MUSD]]*Table14[[#This Row],[prob10-failure_rating7]]*1000000/10</f>
        <v>983.13766680000003</v>
      </c>
      <c r="JK6" s="1">
        <f>Table14[[#This Row],[Total_Cost_MUSD]]*Table14[[#This Row],[prob10-failure_rating8]]*1000000/10</f>
        <v>49.15688334</v>
      </c>
      <c r="JL6" s="1">
        <f>Table14[[#This Row],[Total_Cost_MUSD]]*Table14[[#This Row],[prob10-failure_rating9]]*1000000/10</f>
        <v>9.8313766680000008</v>
      </c>
      <c r="JM6" s="1">
        <f>Table14[[#This Row],[failurecost500_rating1]]+Table14[[#This Row],[failurecost100_rating1]]+Table14[[#This Row],[failurecost50_rating1]]+Table14[[#This Row],[failurecost10_rating1]]</f>
        <v>33795.357296250004</v>
      </c>
      <c r="JN6" s="1">
        <f>Table14[[#This Row],[failurecost500_rating2]]+Table14[[#This Row],[failurecost100_rating2]]+Table14[[#This Row],[failurecost50_rating2]]+Table14[[#This Row],[failurecost10_rating2]]</f>
        <v>24578.44167</v>
      </c>
      <c r="JO6" s="1">
        <f>Table14[[#This Row],[failurecost500_rating2]]+Table14[[#This Row],[failurecost100_rating2]]+Table14[[#This Row],[failurecost50_rating2]]+Table14[[#This Row],[failurecost10_rating2]]</f>
        <v>24578.44167</v>
      </c>
      <c r="JP6" s="1">
        <f>Table14[[#This Row],[failurecost500_rating3]]+Table14[[#This Row],[failurecost100_rating3]]+Table14[[#This Row],[failurecost50_rating3]]+Table14[[#This Row],[failurecost10_rating3]]</f>
        <v>5308.9434007199998</v>
      </c>
      <c r="JQ6" s="1">
        <f>Table14[[#This Row],[failurecost500_rating3]]+Table14[[#This Row],[failurecost100_rating3]]+Table14[[#This Row],[failurecost50_rating3]]+Table14[[#This Row],[failurecost10_rating3]]</f>
        <v>5308.9434007199998</v>
      </c>
      <c r="JR6" s="1">
        <f>Table14[[#This Row],[failurecost500_rating4]]+Table14[[#This Row],[failurecost100_rating4]]+Table14[[#This Row],[failurecost50_rating4]]+Table14[[#This Row],[failurecost10_rating4]]</f>
        <v>1863.0458785860001</v>
      </c>
      <c r="JS6" s="1">
        <f>Table14[[#This Row],[failurecost500_rating4]]+Table14[[#This Row],[failurecost100_rating4]]+Table14[[#This Row],[failurecost50_rating4]]+Table14[[#This Row],[failurecost10_rating4]]</f>
        <v>1863.0458785860001</v>
      </c>
      <c r="JT6" s="1">
        <f>Table14[[#This Row],[failurecost500_rating5]]+Table14[[#This Row],[failurecost100_rating5]]+Table14[[#This Row],[failurecost50_rating5]]+Table14[[#This Row],[failurecost10_rating5]]</f>
        <v>104.55669086418</v>
      </c>
      <c r="JU6" s="1">
        <f>Table14[[#This Row],[failurecost500_rating5]]+Table14[[#This Row],[failurecost100_rating5]]+Table14[[#This Row],[failurecost50_rating5]]+Table14[[#This Row],[failurecost10_rating5]]</f>
        <v>104.55669086418</v>
      </c>
    </row>
    <row r="7" spans="1:281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Table14[[#This Row],[Depth10_Soil_vol]]*(9.353+9.027)+(Table14[[#This Row],[Depth10_Soil_vol]]/2.5)*20*1.053+(PI()*Table14[[#This Row],[Depth10_Scour]])*Table14[[#This Row],[DECK_WIDTH_MT_052]]*1.062</f>
        <v>11407.250817613454</v>
      </c>
      <c r="AR7" s="1">
        <f>Table14[[#This Row],[Depth50_Soil_vol]]*(9.353+9.027)+(Table14[[#This Row],[Depth50_Soil_vol]]/2.5)*20*1.053+(PI()*Table14[[#This Row],[Depth50_Scour]])*Table14[[#This Row],[DECK_WIDTH_MT_052]]*1.062</f>
        <v>12369.739122689782</v>
      </c>
      <c r="AS7" s="1">
        <f>Table14[[#This Row],[Depth100_Soil_vol]]*(9.353+9.027)+(Table14[[#This Row],[Depth100_Soil_vol]]/2.5)*20*1.053+(PI()*Table14[[#This Row],[Depth100_Scour]])*Table14[[#This Row],[DECK_WIDTH_MT_052]]*1.062</f>
        <v>14750.148906789464</v>
      </c>
      <c r="AT7" s="1">
        <f>Table14[[#This Row],[Depth500_Soil_vol]]*(9.353+9.027)+(Table14[[#This Row],[Depth500_Soil_vol]]/2.5)*20*1.053+(PI()*Table14[[#This Row],[Depth500_Scour]])*Table14[[#This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>
        <v>9.2416624370000005</v>
      </c>
      <c r="GE7" s="1">
        <v>0</v>
      </c>
      <c r="GF7" s="1">
        <v>0</v>
      </c>
      <c r="GG7" s="1">
        <v>0</v>
      </c>
      <c r="GH7" s="1">
        <v>0</v>
      </c>
      <c r="GI7" s="1">
        <v>8</v>
      </c>
      <c r="GJ7" s="1">
        <v>10000</v>
      </c>
      <c r="GK7" s="1">
        <v>10000</v>
      </c>
      <c r="GL7" s="1">
        <v>10000</v>
      </c>
      <c r="GM7" s="1">
        <v>10000</v>
      </c>
      <c r="GN7" s="1">
        <v>10000</v>
      </c>
      <c r="GO7" s="1">
        <v>10000</v>
      </c>
      <c r="GP7" s="1">
        <v>0</v>
      </c>
      <c r="GQ7" s="1">
        <v>0</v>
      </c>
      <c r="GR7" s="1">
        <v>0</v>
      </c>
      <c r="GS7" s="1">
        <f t="shared" si="0"/>
        <v>2.5000000000000001E-2</v>
      </c>
      <c r="GT7" s="1">
        <v>0.01</v>
      </c>
      <c r="GU7" s="1">
        <v>2.5000000000000001E-3</v>
      </c>
      <c r="GV7" s="1">
        <v>4.0000000000000002E-4</v>
      </c>
      <c r="GW7" s="1">
        <v>6.9999999999999999E-6</v>
      </c>
      <c r="GX7" s="1">
        <v>1.8000000000000001E-4</v>
      </c>
      <c r="GY7" s="1">
        <v>1.8000000000000001E-4</v>
      </c>
      <c r="GZ7" s="1">
        <v>3.9999999999999998E-6</v>
      </c>
      <c r="HA7" s="1">
        <v>2.5000000000000002E-6</v>
      </c>
      <c r="HB7" s="1">
        <f t="shared" si="1"/>
        <v>1.2500000000000001E-2</v>
      </c>
      <c r="HC7" s="1">
        <v>6.0000000000000001E-3</v>
      </c>
      <c r="HD7" s="1">
        <v>2.5000000000000001E-3</v>
      </c>
      <c r="HE7" s="1">
        <v>5.0000000000000001E-4</v>
      </c>
      <c r="HF7" s="1">
        <v>7.9999999999999996E-6</v>
      </c>
      <c r="HG7" s="1">
        <v>2.5000000000000001E-4</v>
      </c>
      <c r="HH7" s="1">
        <v>2.5000000000000001E-4</v>
      </c>
      <c r="HI7" s="1">
        <v>5.0000000000000004E-6</v>
      </c>
      <c r="HJ7" s="1">
        <v>3.0000000000000001E-6</v>
      </c>
      <c r="HK7" s="1">
        <v>0.01</v>
      </c>
      <c r="HL7" s="1">
        <v>6.0000000000000001E-3</v>
      </c>
      <c r="HM7" s="1">
        <v>1.2999999999999999E-3</v>
      </c>
      <c r="HN7" s="1">
        <v>5.0000000000000001E-4</v>
      </c>
      <c r="HO7" s="1">
        <v>7.9999999999999996E-6</v>
      </c>
      <c r="HP7" s="1">
        <v>2.5000000000000001E-4</v>
      </c>
      <c r="HQ7" s="1">
        <v>2.5000000000000001E-4</v>
      </c>
      <c r="HR7" s="1">
        <v>5.0000000000000004E-6</v>
      </c>
      <c r="HS7" s="1">
        <v>3.0000000000000001E-6</v>
      </c>
      <c r="HT7" s="1">
        <v>0.01</v>
      </c>
      <c r="HU7" s="1">
        <v>8.0000000000000002E-3</v>
      </c>
      <c r="HV7" s="1">
        <v>1.6000000000000001E-3</v>
      </c>
      <c r="HW7" s="1">
        <v>5.9999999999999995E-4</v>
      </c>
      <c r="HX7" s="1">
        <v>4.0000000000000003E-5</v>
      </c>
      <c r="HY7" s="1">
        <v>4.0000000000000002E-4</v>
      </c>
      <c r="HZ7" s="1">
        <v>4.0000000000000002E-4</v>
      </c>
      <c r="IA7" s="1">
        <v>2.0000000000000002E-5</v>
      </c>
      <c r="IB7" s="1">
        <v>3.9999999999999998E-6</v>
      </c>
      <c r="IC7" s="1">
        <f>Table14[[#This Row],[Total_Cost_MUSD]]*Table14[[#This Row],[prob500-failure_rating1]]*1000000/500</f>
        <v>462.08312185000005</v>
      </c>
      <c r="ID7" s="1">
        <f>Table14[[#This Row],[Total_Cost_MUSD]]*Table14[[#This Row],[prob500-failure_rating2]]*1000000/500</f>
        <v>184.83324874000002</v>
      </c>
      <c r="IE7" s="1">
        <f>Table14[[#This Row],[Total_Cost_MUSD]]*Table14[[#This Row],[prob500-failure_rating3]]*1000000/500</f>
        <v>46.208312185000004</v>
      </c>
      <c r="IF7" s="1">
        <f>Table14[[#This Row],[Total_Cost_MUSD]]*Table14[[#This Row],[prob500-failure_rating4]]*1000000/500</f>
        <v>7.3933299496000009</v>
      </c>
      <c r="IG7" s="1">
        <f>Table14[[#This Row],[Total_Cost_MUSD]]*Table14[[#This Row],[prob500-failure_rating5]]*1000000/500</f>
        <v>0.12938327411799999</v>
      </c>
      <c r="IH7" s="1">
        <f>Table14[[#This Row],[Total_Cost_MUSD]]*Table14[[#This Row],[prob500-failure_rating6]]*1000000/500</f>
        <v>3.3269984773200005</v>
      </c>
      <c r="II7" s="1">
        <f>Table14[[#This Row],[Total_Cost_MUSD]]*Table14[[#This Row],[prob500-failure_rating7]]*1000000/500</f>
        <v>3.3269984773200005</v>
      </c>
      <c r="IJ7" s="1">
        <f>Table14[[#This Row],[Total_Cost_MUSD]]*Table14[[#This Row],[prob500-failure_rating8]]*1000000/500</f>
        <v>7.3933299495999999E-2</v>
      </c>
      <c r="IK7" s="1">
        <f>Table14[[#This Row],[Total_Cost_MUSD]]*Table14[[#This Row],[prob500-failure_rating9]]*1000000/500</f>
        <v>4.6208312185000003E-2</v>
      </c>
      <c r="IL7" s="1">
        <f>Table14[[#This Row],[Total_Cost_MUSD]]*Table14[[#This Row],[prob100-failure_rating1]]*1000000/100</f>
        <v>1155.2078046250001</v>
      </c>
      <c r="IM7" s="1">
        <f>Table14[[#This Row],[Total_Cost_MUSD]]*Table14[[#This Row],[prob100-failure_rating2]]*1000000/100</f>
        <v>554.49974622000013</v>
      </c>
      <c r="IN7" s="1">
        <f>Table14[[#This Row],[Total_Cost_MUSD]]*Table14[[#This Row],[prob100-failure_rating3]]*1000000/100</f>
        <v>231.041560925</v>
      </c>
      <c r="IO7" s="1">
        <f>Table14[[#This Row],[Total_Cost_MUSD]]*Table14[[#This Row],[prob100-failure_rating4]]*1000000/100</f>
        <v>46.208312184999997</v>
      </c>
      <c r="IP7" s="1">
        <f>Table14[[#This Row],[Total_Cost_MUSD]]*Table14[[#This Row],[prob100-failure_rating5]]*1000000/100</f>
        <v>0.73933299496000005</v>
      </c>
      <c r="IQ7" s="1">
        <f>Table14[[#This Row],[Total_Cost_MUSD]]*Table14[[#This Row],[prob100-failure_rating6]]*1000000/100</f>
        <v>23.104156092499998</v>
      </c>
      <c r="IR7" s="1">
        <f>Table14[[#This Row],[Total_Cost_MUSD]]*Table14[[#This Row],[prob100-failure_rating7]]*1000000/100</f>
        <v>23.104156092499998</v>
      </c>
      <c r="IS7" s="1">
        <f>Table14[[#This Row],[Total_Cost_MUSD]]*Table14[[#This Row],[prob100-failure_rating8]]*1000000/100</f>
        <v>0.46208312185000006</v>
      </c>
      <c r="IT7" s="1">
        <f>Table14[[#This Row],[Total_Cost_MUSD]]*Table14[[#This Row],[prob100-failure_rating9]]*1000000/100</f>
        <v>0.27724987311000004</v>
      </c>
      <c r="IU7" s="1">
        <f>Table14[[#This Row],[Total_Cost_MUSD]]*Table14[[#This Row],[prob50-failure_rating1]]*1000000/50</f>
        <v>1848.3324874</v>
      </c>
      <c r="IV7" s="1">
        <f>Table14[[#This Row],[Total_Cost_MUSD]]*Table14[[#This Row],[prob50-failure_rating2]]*1000000/50</f>
        <v>1108.9994924400003</v>
      </c>
      <c r="IW7" s="1">
        <f>Table14[[#This Row],[Total_Cost_MUSD]]*Table14[[#This Row],[prob50-failure_rating3]]*1000000/50</f>
        <v>240.283223362</v>
      </c>
      <c r="IX7" s="1">
        <f>Table14[[#This Row],[Total_Cost_MUSD]]*Table14[[#This Row],[prob50-failure_rating4]]*1000000/50</f>
        <v>92.416624369999994</v>
      </c>
      <c r="IY7" s="1">
        <f>Table14[[#This Row],[Total_Cost_MUSD]]*Table14[[#This Row],[prob50-failure_rating5]]*1000000/50</f>
        <v>1.4786659899200001</v>
      </c>
      <c r="IZ7" s="1">
        <f>Table14[[#This Row],[Total_Cost_MUSD]]*Table14[[#This Row],[prob50-failure_rating6]]*1000000/50</f>
        <v>46.208312184999997</v>
      </c>
      <c r="JA7" s="1">
        <f>Table14[[#This Row],[Total_Cost_MUSD]]*Table14[[#This Row],[prob50-failure_rating7]]*1000000/50</f>
        <v>46.208312184999997</v>
      </c>
      <c r="JB7" s="1">
        <f>Table14[[#This Row],[Total_Cost_MUSD]]*Table14[[#This Row],[prob50-failure_rating8]]*1000000/50</f>
        <v>0.92416624370000011</v>
      </c>
      <c r="JC7" s="1">
        <f>Table14[[#This Row],[Total_Cost_MUSD]]*Table14[[#This Row],[prob50-failure_rating9]]*1000000/50</f>
        <v>0.55449974622000009</v>
      </c>
      <c r="JD7" s="1">
        <f>Table14[[#This Row],[Total_Cost_MUSD]]*Table14[[#This Row],[prob10-failure_rating1]]*1000000/10</f>
        <v>9241.6624370000009</v>
      </c>
      <c r="JE7" s="1">
        <f>Table14[[#This Row],[Total_Cost_MUSD]]*Table14[[#This Row],[prob10-failure_rating2]]*1000000/10</f>
        <v>7393.3299495999991</v>
      </c>
      <c r="JF7" s="1">
        <f>Table14[[#This Row],[Total_Cost_MUSD]]*Table14[[#This Row],[prob10-failure_rating3]]*1000000/10</f>
        <v>1478.6659899200001</v>
      </c>
      <c r="JG7" s="1">
        <f>Table14[[#This Row],[Total_Cost_MUSD]]*Table14[[#This Row],[prob10-failure_rating4]]*1000000/10</f>
        <v>554.49974622000002</v>
      </c>
      <c r="JH7" s="1">
        <f>Table14[[#This Row],[Total_Cost_MUSD]]*Table14[[#This Row],[prob10-failure_rating5]]*1000000/10</f>
        <v>36.966649748000002</v>
      </c>
      <c r="JI7" s="1">
        <f>Table14[[#This Row],[Total_Cost_MUSD]]*Table14[[#This Row],[prob10-failure_rating6]]*1000000/10</f>
        <v>369.66649748000003</v>
      </c>
      <c r="JJ7" s="1">
        <f>Table14[[#This Row],[Total_Cost_MUSD]]*Table14[[#This Row],[prob10-failure_rating7]]*1000000/10</f>
        <v>369.66649748000003</v>
      </c>
      <c r="JK7" s="1">
        <f>Table14[[#This Row],[Total_Cost_MUSD]]*Table14[[#This Row],[prob10-failure_rating8]]*1000000/10</f>
        <v>18.483324874000001</v>
      </c>
      <c r="JL7" s="1">
        <f>Table14[[#This Row],[Total_Cost_MUSD]]*Table14[[#This Row],[prob10-failure_rating9]]*1000000/10</f>
        <v>3.6966649748</v>
      </c>
      <c r="JM7" s="1">
        <f>Table14[[#This Row],[failurecost500_rating1]]+Table14[[#This Row],[failurecost100_rating1]]+Table14[[#This Row],[failurecost50_rating1]]+Table14[[#This Row],[failurecost10_rating1]]</f>
        <v>12707.285850875001</v>
      </c>
      <c r="JN7" s="1">
        <f>Table14[[#This Row],[failurecost500_rating2]]+Table14[[#This Row],[failurecost100_rating2]]+Table14[[#This Row],[failurecost50_rating2]]+Table14[[#This Row],[failurecost10_rating2]]</f>
        <v>9241.662436999999</v>
      </c>
      <c r="JO7" s="1">
        <f>Table14[[#This Row],[failurecost500_rating2]]+Table14[[#This Row],[failurecost100_rating2]]+Table14[[#This Row],[failurecost50_rating2]]+Table14[[#This Row],[failurecost10_rating2]]</f>
        <v>9241.662436999999</v>
      </c>
      <c r="JP7" s="1">
        <f>Table14[[#This Row],[failurecost500_rating3]]+Table14[[#This Row],[failurecost100_rating3]]+Table14[[#This Row],[failurecost50_rating3]]+Table14[[#This Row],[failurecost10_rating3]]</f>
        <v>1996.199086392</v>
      </c>
      <c r="JQ7" s="1">
        <f>Table14[[#This Row],[failurecost500_rating3]]+Table14[[#This Row],[failurecost100_rating3]]+Table14[[#This Row],[failurecost50_rating3]]+Table14[[#This Row],[failurecost10_rating3]]</f>
        <v>1996.199086392</v>
      </c>
      <c r="JR7" s="1">
        <f>Table14[[#This Row],[failurecost500_rating4]]+Table14[[#This Row],[failurecost100_rating4]]+Table14[[#This Row],[failurecost50_rating4]]+Table14[[#This Row],[failurecost10_rating4]]</f>
        <v>700.5180127246</v>
      </c>
      <c r="JS7" s="1">
        <f>Table14[[#This Row],[failurecost500_rating4]]+Table14[[#This Row],[failurecost100_rating4]]+Table14[[#This Row],[failurecost50_rating4]]+Table14[[#This Row],[failurecost10_rating4]]</f>
        <v>700.5180127246</v>
      </c>
      <c r="JT7" s="1">
        <f>Table14[[#This Row],[failurecost500_rating5]]+Table14[[#This Row],[failurecost100_rating5]]+Table14[[#This Row],[failurecost50_rating5]]+Table14[[#This Row],[failurecost10_rating5]]</f>
        <v>39.314032006998005</v>
      </c>
      <c r="JU7" s="1">
        <f>Table14[[#This Row],[failurecost500_rating5]]+Table14[[#This Row],[failurecost100_rating5]]+Table14[[#This Row],[failurecost50_rating5]]+Table14[[#This Row],[failurecost10_rating5]]</f>
        <v>39.314032006998005</v>
      </c>
    </row>
    <row r="8" spans="1:281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Table14[[#This Row],[Depth10_Soil_vol]]*(9.353+9.027)+(Table14[[#This Row],[Depth10_Soil_vol]]/2.5)*20*1.053+(PI()*Table14[[#This Row],[Depth10_Scour]])*Table14[[#This Row],[DECK_WIDTH_MT_052]]*1.062</f>
        <v>16463.256386162553</v>
      </c>
      <c r="AR8" s="1">
        <f>Table14[[#This Row],[Depth50_Soil_vol]]*(9.353+9.027)+(Table14[[#This Row],[Depth50_Soil_vol]]/2.5)*20*1.053+(PI()*Table14[[#This Row],[Depth50_Scour]])*Table14[[#This Row],[DECK_WIDTH_MT_052]]*1.062</f>
        <v>18935.802677782114</v>
      </c>
      <c r="AS8" s="1">
        <f>Table14[[#This Row],[Depth100_Soil_vol]]*(9.353+9.027)+(Table14[[#This Row],[Depth100_Soil_vol]]/2.5)*20*1.053+(PI()*Table14[[#This Row],[Depth100_Scour]])*Table14[[#This Row],[DECK_WIDTH_MT_052]]*1.062</f>
        <v>19959.892643325038</v>
      </c>
      <c r="AT8" s="1">
        <f>Table14[[#This Row],[Depth500_Soil_vol]]*(9.353+9.027)+(Table14[[#This Row],[Depth500_Soil_vol]]/2.5)*20*1.053+(PI()*Table14[[#This Row],[Depth500_Scour]])*Table14[[#This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>
        <v>47.935071469999997</v>
      </c>
      <c r="GE8" s="1">
        <v>0</v>
      </c>
      <c r="GF8" s="1">
        <v>0</v>
      </c>
      <c r="GG8" s="1">
        <v>0</v>
      </c>
      <c r="GH8" s="1">
        <v>0</v>
      </c>
      <c r="GI8" s="1">
        <v>9</v>
      </c>
      <c r="GJ8" s="1">
        <v>10000</v>
      </c>
      <c r="GK8" s="1">
        <v>10000</v>
      </c>
      <c r="GL8" s="1">
        <v>10000</v>
      </c>
      <c r="GM8" s="1">
        <v>10000</v>
      </c>
      <c r="GN8" s="1">
        <v>10000</v>
      </c>
      <c r="GO8" s="1">
        <v>10000</v>
      </c>
      <c r="GP8" s="1">
        <v>0</v>
      </c>
      <c r="GQ8" s="1">
        <v>0</v>
      </c>
      <c r="GR8" s="1">
        <v>0</v>
      </c>
      <c r="GS8" s="1">
        <f t="shared" si="0"/>
        <v>2.5000000000000001E-2</v>
      </c>
      <c r="GT8" s="1">
        <v>0.01</v>
      </c>
      <c r="GU8" s="1">
        <v>2.5000000000000001E-3</v>
      </c>
      <c r="GV8" s="1">
        <v>4.0000000000000002E-4</v>
      </c>
      <c r="GW8" s="1">
        <v>6.9999999999999999E-6</v>
      </c>
      <c r="GX8" s="1">
        <v>1.8000000000000001E-4</v>
      </c>
      <c r="GY8" s="1">
        <v>1.8000000000000001E-4</v>
      </c>
      <c r="GZ8" s="1">
        <v>3.9999999999999998E-6</v>
      </c>
      <c r="HA8" s="1">
        <v>2.5000000000000002E-6</v>
      </c>
      <c r="HB8" s="1">
        <f t="shared" si="1"/>
        <v>1.2500000000000001E-2</v>
      </c>
      <c r="HC8" s="1">
        <v>6.0000000000000001E-3</v>
      </c>
      <c r="HD8" s="1">
        <v>2.5000000000000001E-3</v>
      </c>
      <c r="HE8" s="1">
        <v>5.0000000000000001E-4</v>
      </c>
      <c r="HF8" s="1">
        <v>7.9999999999999996E-6</v>
      </c>
      <c r="HG8" s="1">
        <v>2.5000000000000001E-4</v>
      </c>
      <c r="HH8" s="1">
        <v>2.5000000000000001E-4</v>
      </c>
      <c r="HI8" s="1">
        <v>5.0000000000000004E-6</v>
      </c>
      <c r="HJ8" s="1">
        <v>3.0000000000000001E-6</v>
      </c>
      <c r="HK8" s="1">
        <v>0.01</v>
      </c>
      <c r="HL8" s="1">
        <v>6.0000000000000001E-3</v>
      </c>
      <c r="HM8" s="1">
        <v>1.2999999999999999E-3</v>
      </c>
      <c r="HN8" s="1">
        <v>5.0000000000000001E-4</v>
      </c>
      <c r="HO8" s="1">
        <v>7.9999999999999996E-6</v>
      </c>
      <c r="HP8" s="1">
        <v>2.5000000000000001E-4</v>
      </c>
      <c r="HQ8" s="1">
        <v>2.5000000000000001E-4</v>
      </c>
      <c r="HR8" s="1">
        <v>5.0000000000000004E-6</v>
      </c>
      <c r="HS8" s="1">
        <v>3.0000000000000001E-6</v>
      </c>
      <c r="HT8" s="1">
        <v>0.01</v>
      </c>
      <c r="HU8" s="1">
        <v>8.0000000000000002E-3</v>
      </c>
      <c r="HV8" s="1">
        <v>1.6000000000000001E-3</v>
      </c>
      <c r="HW8" s="1">
        <v>5.9999999999999995E-4</v>
      </c>
      <c r="HX8" s="1">
        <v>4.0000000000000003E-5</v>
      </c>
      <c r="HY8" s="1">
        <v>4.0000000000000002E-4</v>
      </c>
      <c r="HZ8" s="1">
        <v>4.0000000000000002E-4</v>
      </c>
      <c r="IA8" s="1">
        <v>2.0000000000000002E-5</v>
      </c>
      <c r="IB8" s="1">
        <v>3.9999999999999998E-6</v>
      </c>
      <c r="IC8" s="1">
        <f>Table14[[#This Row],[Total_Cost_MUSD]]*Table14[[#This Row],[prob500-failure_rating1]]*1000000/500</f>
        <v>2396.7535735000001</v>
      </c>
      <c r="ID8" s="1">
        <f>Table14[[#This Row],[Total_Cost_MUSD]]*Table14[[#This Row],[prob500-failure_rating2]]*1000000/500</f>
        <v>958.70142939999994</v>
      </c>
      <c r="IE8" s="1">
        <f>Table14[[#This Row],[Total_Cost_MUSD]]*Table14[[#This Row],[prob500-failure_rating3]]*1000000/500</f>
        <v>239.67535734999998</v>
      </c>
      <c r="IF8" s="1">
        <f>Table14[[#This Row],[Total_Cost_MUSD]]*Table14[[#This Row],[prob500-failure_rating4]]*1000000/500</f>
        <v>38.348057175999998</v>
      </c>
      <c r="IG8" s="1">
        <f>Table14[[#This Row],[Total_Cost_MUSD]]*Table14[[#This Row],[prob500-failure_rating5]]*1000000/500</f>
        <v>0.67109100058000004</v>
      </c>
      <c r="IH8" s="1">
        <f>Table14[[#This Row],[Total_Cost_MUSD]]*Table14[[#This Row],[prob500-failure_rating6]]*1000000/500</f>
        <v>17.2566257292</v>
      </c>
      <c r="II8" s="1">
        <f>Table14[[#This Row],[Total_Cost_MUSD]]*Table14[[#This Row],[prob500-failure_rating7]]*1000000/500</f>
        <v>17.2566257292</v>
      </c>
      <c r="IJ8" s="1">
        <f>Table14[[#This Row],[Total_Cost_MUSD]]*Table14[[#This Row],[prob500-failure_rating8]]*1000000/500</f>
        <v>0.38348057176</v>
      </c>
      <c r="IK8" s="1">
        <f>Table14[[#This Row],[Total_Cost_MUSD]]*Table14[[#This Row],[prob500-failure_rating9]]*1000000/500</f>
        <v>0.23967535734999998</v>
      </c>
      <c r="IL8" s="1">
        <f>Table14[[#This Row],[Total_Cost_MUSD]]*Table14[[#This Row],[prob100-failure_rating1]]*1000000/100</f>
        <v>5991.8839337499994</v>
      </c>
      <c r="IM8" s="1">
        <f>Table14[[#This Row],[Total_Cost_MUSD]]*Table14[[#This Row],[prob100-failure_rating2]]*1000000/100</f>
        <v>2876.1042881999997</v>
      </c>
      <c r="IN8" s="1">
        <f>Table14[[#This Row],[Total_Cost_MUSD]]*Table14[[#This Row],[prob100-failure_rating3]]*1000000/100</f>
        <v>1198.3767867499998</v>
      </c>
      <c r="IO8" s="1">
        <f>Table14[[#This Row],[Total_Cost_MUSD]]*Table14[[#This Row],[prob100-failure_rating4]]*1000000/100</f>
        <v>239.67535735000001</v>
      </c>
      <c r="IP8" s="1">
        <f>Table14[[#This Row],[Total_Cost_MUSD]]*Table14[[#This Row],[prob100-failure_rating5]]*1000000/100</f>
        <v>3.8348057175999997</v>
      </c>
      <c r="IQ8" s="1">
        <f>Table14[[#This Row],[Total_Cost_MUSD]]*Table14[[#This Row],[prob100-failure_rating6]]*1000000/100</f>
        <v>119.83767867500001</v>
      </c>
      <c r="IR8" s="1">
        <f>Table14[[#This Row],[Total_Cost_MUSD]]*Table14[[#This Row],[prob100-failure_rating7]]*1000000/100</f>
        <v>119.83767867500001</v>
      </c>
      <c r="IS8" s="1">
        <f>Table14[[#This Row],[Total_Cost_MUSD]]*Table14[[#This Row],[prob100-failure_rating8]]*1000000/100</f>
        <v>2.3967535734999998</v>
      </c>
      <c r="IT8" s="1">
        <f>Table14[[#This Row],[Total_Cost_MUSD]]*Table14[[#This Row],[prob100-failure_rating9]]*1000000/100</f>
        <v>1.4380521440999998</v>
      </c>
      <c r="IU8" s="1">
        <f>Table14[[#This Row],[Total_Cost_MUSD]]*Table14[[#This Row],[prob50-failure_rating1]]*1000000/50</f>
        <v>9587.0142939999987</v>
      </c>
      <c r="IV8" s="1">
        <f>Table14[[#This Row],[Total_Cost_MUSD]]*Table14[[#This Row],[prob50-failure_rating2]]*1000000/50</f>
        <v>5752.2085763999994</v>
      </c>
      <c r="IW8" s="1">
        <f>Table14[[#This Row],[Total_Cost_MUSD]]*Table14[[#This Row],[prob50-failure_rating3]]*1000000/50</f>
        <v>1246.3118582199997</v>
      </c>
      <c r="IX8" s="1">
        <f>Table14[[#This Row],[Total_Cost_MUSD]]*Table14[[#This Row],[prob50-failure_rating4]]*1000000/50</f>
        <v>479.35071470000003</v>
      </c>
      <c r="IY8" s="1">
        <f>Table14[[#This Row],[Total_Cost_MUSD]]*Table14[[#This Row],[prob50-failure_rating5]]*1000000/50</f>
        <v>7.6696114351999993</v>
      </c>
      <c r="IZ8" s="1">
        <f>Table14[[#This Row],[Total_Cost_MUSD]]*Table14[[#This Row],[prob50-failure_rating6]]*1000000/50</f>
        <v>239.67535735000001</v>
      </c>
      <c r="JA8" s="1">
        <f>Table14[[#This Row],[Total_Cost_MUSD]]*Table14[[#This Row],[prob50-failure_rating7]]*1000000/50</f>
        <v>239.67535735000001</v>
      </c>
      <c r="JB8" s="1">
        <f>Table14[[#This Row],[Total_Cost_MUSD]]*Table14[[#This Row],[prob50-failure_rating8]]*1000000/50</f>
        <v>4.7935071469999997</v>
      </c>
      <c r="JC8" s="1">
        <f>Table14[[#This Row],[Total_Cost_MUSD]]*Table14[[#This Row],[prob50-failure_rating9]]*1000000/50</f>
        <v>2.8761042881999996</v>
      </c>
      <c r="JD8" s="1">
        <f>Table14[[#This Row],[Total_Cost_MUSD]]*Table14[[#This Row],[prob10-failure_rating1]]*1000000/10</f>
        <v>47935.071469999995</v>
      </c>
      <c r="JE8" s="1">
        <f>Table14[[#This Row],[Total_Cost_MUSD]]*Table14[[#This Row],[prob10-failure_rating2]]*1000000/10</f>
        <v>38348.057176000002</v>
      </c>
      <c r="JF8" s="1">
        <f>Table14[[#This Row],[Total_Cost_MUSD]]*Table14[[#This Row],[prob10-failure_rating3]]*1000000/10</f>
        <v>7669.6114351999986</v>
      </c>
      <c r="JG8" s="1">
        <f>Table14[[#This Row],[Total_Cost_MUSD]]*Table14[[#This Row],[prob10-failure_rating4]]*1000000/10</f>
        <v>2876.1042881999992</v>
      </c>
      <c r="JH8" s="1">
        <f>Table14[[#This Row],[Total_Cost_MUSD]]*Table14[[#This Row],[prob10-failure_rating5]]*1000000/10</f>
        <v>191.74028587999999</v>
      </c>
      <c r="JI8" s="1">
        <f>Table14[[#This Row],[Total_Cost_MUSD]]*Table14[[#This Row],[prob10-failure_rating6]]*1000000/10</f>
        <v>1917.4028587999996</v>
      </c>
      <c r="JJ8" s="1">
        <f>Table14[[#This Row],[Total_Cost_MUSD]]*Table14[[#This Row],[prob10-failure_rating7]]*1000000/10</f>
        <v>1917.4028587999996</v>
      </c>
      <c r="JK8" s="1">
        <f>Table14[[#This Row],[Total_Cost_MUSD]]*Table14[[#This Row],[prob10-failure_rating8]]*1000000/10</f>
        <v>95.870142939999994</v>
      </c>
      <c r="JL8" s="1">
        <f>Table14[[#This Row],[Total_Cost_MUSD]]*Table14[[#This Row],[prob10-failure_rating9]]*1000000/10</f>
        <v>19.174028587999999</v>
      </c>
      <c r="JM8" s="1">
        <f>Table14[[#This Row],[failurecost500_rating1]]+Table14[[#This Row],[failurecost100_rating1]]+Table14[[#This Row],[failurecost50_rating1]]+Table14[[#This Row],[failurecost10_rating1]]</f>
        <v>65910.723271249997</v>
      </c>
      <c r="JN8" s="1">
        <f>Table14[[#This Row],[failurecost500_rating2]]+Table14[[#This Row],[failurecost100_rating2]]+Table14[[#This Row],[failurecost50_rating2]]+Table14[[#This Row],[failurecost10_rating2]]</f>
        <v>47935.071470000003</v>
      </c>
      <c r="JO8" s="1">
        <f>Table14[[#This Row],[failurecost500_rating2]]+Table14[[#This Row],[failurecost100_rating2]]+Table14[[#This Row],[failurecost50_rating2]]+Table14[[#This Row],[failurecost10_rating2]]</f>
        <v>47935.071470000003</v>
      </c>
      <c r="JP8" s="1">
        <f>Table14[[#This Row],[failurecost500_rating3]]+Table14[[#This Row],[failurecost100_rating3]]+Table14[[#This Row],[failurecost50_rating3]]+Table14[[#This Row],[failurecost10_rating3]]</f>
        <v>10353.975437519999</v>
      </c>
      <c r="JQ8" s="1">
        <f>Table14[[#This Row],[failurecost500_rating3]]+Table14[[#This Row],[failurecost100_rating3]]+Table14[[#This Row],[failurecost50_rating3]]+Table14[[#This Row],[failurecost10_rating3]]</f>
        <v>10353.975437519999</v>
      </c>
      <c r="JR8" s="1">
        <f>Table14[[#This Row],[failurecost500_rating4]]+Table14[[#This Row],[failurecost100_rating4]]+Table14[[#This Row],[failurecost50_rating4]]+Table14[[#This Row],[failurecost10_rating4]]</f>
        <v>3633.4784174259994</v>
      </c>
      <c r="JS8" s="1">
        <f>Table14[[#This Row],[failurecost500_rating4]]+Table14[[#This Row],[failurecost100_rating4]]+Table14[[#This Row],[failurecost50_rating4]]+Table14[[#This Row],[failurecost10_rating4]]</f>
        <v>3633.4784174259994</v>
      </c>
      <c r="JT8" s="1">
        <f>Table14[[#This Row],[failurecost500_rating5]]+Table14[[#This Row],[failurecost100_rating5]]+Table14[[#This Row],[failurecost50_rating5]]+Table14[[#This Row],[failurecost10_rating5]]</f>
        <v>203.91579403338</v>
      </c>
      <c r="JU8" s="1">
        <f>Table14[[#This Row],[failurecost500_rating5]]+Table14[[#This Row],[failurecost100_rating5]]+Table14[[#This Row],[failurecost50_rating5]]+Table14[[#This Row],[failurecost10_rating5]]</f>
        <v>203.91579403338</v>
      </c>
    </row>
    <row r="9" spans="1:281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Table14[[#This Row],[Depth10_Soil_vol]]*(9.353+9.027)+(Table14[[#This Row],[Depth10_Soil_vol]]/2.5)*20*1.053+(PI()*Table14[[#This Row],[Depth10_Scour]])*Table14[[#This Row],[DECK_WIDTH_MT_052]]*1.062</f>
        <v>6829.712539120831</v>
      </c>
      <c r="AR9" s="1">
        <f>Table14[[#This Row],[Depth50_Soil_vol]]*(9.353+9.027)+(Table14[[#This Row],[Depth50_Soil_vol]]/2.5)*20*1.053+(PI()*Table14[[#This Row],[Depth50_Scour]])*Table14[[#This Row],[DECK_WIDTH_MT_052]]*1.062</f>
        <v>7284.9335218547822</v>
      </c>
      <c r="AS9" s="1">
        <f>Table14[[#This Row],[Depth100_Soil_vol]]*(9.353+9.027)+(Table14[[#This Row],[Depth100_Soil_vol]]/2.5)*20*1.053+(PI()*Table14[[#This Row],[Depth100_Scour]])*Table14[[#This Row],[DECK_WIDTH_MT_052]]*1.062</f>
        <v>7678.6049905512346</v>
      </c>
      <c r="AT9" s="1">
        <f>Table14[[#This Row],[Depth500_Soil_vol]]*(9.353+9.027)+(Table14[[#This Row],[Depth500_Soil_vol]]/2.5)*20*1.053+(PI()*Table14[[#This Row],[Depth500_Scour]])*Table14[[#This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>
        <v>42.732621100000003</v>
      </c>
      <c r="GE9" s="1">
        <v>0</v>
      </c>
      <c r="GF9" s="1">
        <v>0</v>
      </c>
      <c r="GG9" s="1">
        <v>0</v>
      </c>
      <c r="GH9" s="1">
        <v>0</v>
      </c>
      <c r="GI9" s="1">
        <v>5</v>
      </c>
      <c r="GJ9" s="1">
        <v>10000</v>
      </c>
      <c r="GK9" s="1">
        <v>10000</v>
      </c>
      <c r="GL9" s="1">
        <v>10000</v>
      </c>
      <c r="GM9" s="1">
        <v>10000</v>
      </c>
      <c r="GN9" s="1">
        <v>10000</v>
      </c>
      <c r="GO9" s="1">
        <v>10000</v>
      </c>
      <c r="GP9" s="1">
        <v>0</v>
      </c>
      <c r="GQ9" s="1">
        <v>0</v>
      </c>
      <c r="GR9" s="1">
        <v>0</v>
      </c>
      <c r="GS9" s="1">
        <f t="shared" si="0"/>
        <v>2.5000000000000001E-2</v>
      </c>
      <c r="GT9" s="1">
        <v>0.01</v>
      </c>
      <c r="GU9" s="1">
        <v>2.5000000000000001E-3</v>
      </c>
      <c r="GV9" s="1">
        <v>4.0000000000000002E-4</v>
      </c>
      <c r="GW9" s="1">
        <v>6.9999999999999999E-6</v>
      </c>
      <c r="GX9" s="1">
        <v>1.8000000000000001E-4</v>
      </c>
      <c r="GY9" s="1">
        <v>1.8000000000000001E-4</v>
      </c>
      <c r="GZ9" s="1">
        <v>3.9999999999999998E-6</v>
      </c>
      <c r="HA9" s="1">
        <v>2.5000000000000002E-6</v>
      </c>
      <c r="HB9" s="1">
        <f t="shared" si="1"/>
        <v>1.2500000000000001E-2</v>
      </c>
      <c r="HC9" s="1">
        <v>6.0000000000000001E-3</v>
      </c>
      <c r="HD9" s="1">
        <v>2.5000000000000001E-3</v>
      </c>
      <c r="HE9" s="1">
        <v>5.0000000000000001E-4</v>
      </c>
      <c r="HF9" s="1">
        <v>7.9999999999999996E-6</v>
      </c>
      <c r="HG9" s="1">
        <v>2.5000000000000001E-4</v>
      </c>
      <c r="HH9" s="1">
        <v>2.5000000000000001E-4</v>
      </c>
      <c r="HI9" s="1">
        <v>5.0000000000000004E-6</v>
      </c>
      <c r="HJ9" s="1">
        <v>3.0000000000000001E-6</v>
      </c>
      <c r="HK9" s="1">
        <v>0.01</v>
      </c>
      <c r="HL9" s="1">
        <v>6.0000000000000001E-3</v>
      </c>
      <c r="HM9" s="1">
        <v>1.2999999999999999E-3</v>
      </c>
      <c r="HN9" s="1">
        <v>5.0000000000000001E-4</v>
      </c>
      <c r="HO9" s="1">
        <v>7.9999999999999996E-6</v>
      </c>
      <c r="HP9" s="1">
        <v>2.5000000000000001E-4</v>
      </c>
      <c r="HQ9" s="1">
        <v>2.5000000000000001E-4</v>
      </c>
      <c r="HR9" s="1">
        <v>5.0000000000000004E-6</v>
      </c>
      <c r="HS9" s="1">
        <v>3.0000000000000001E-6</v>
      </c>
      <c r="HT9" s="1">
        <v>0.01</v>
      </c>
      <c r="HU9" s="1">
        <v>8.0000000000000002E-3</v>
      </c>
      <c r="HV9" s="1">
        <v>1.6000000000000001E-3</v>
      </c>
      <c r="HW9" s="1">
        <v>5.9999999999999995E-4</v>
      </c>
      <c r="HX9" s="1">
        <v>4.0000000000000003E-5</v>
      </c>
      <c r="HY9" s="1">
        <v>4.0000000000000002E-4</v>
      </c>
      <c r="HZ9" s="1">
        <v>4.0000000000000002E-4</v>
      </c>
      <c r="IA9" s="1">
        <v>2.0000000000000002E-5</v>
      </c>
      <c r="IB9" s="1">
        <v>3.9999999999999998E-6</v>
      </c>
      <c r="IC9" s="1">
        <f>Table14[[#This Row],[Total_Cost_MUSD]]*Table14[[#This Row],[prob500-failure_rating1]]*1000000/500</f>
        <v>2136.6310550000003</v>
      </c>
      <c r="ID9" s="1">
        <f>Table14[[#This Row],[Total_Cost_MUSD]]*Table14[[#This Row],[prob500-failure_rating2]]*1000000/500</f>
        <v>854.652422</v>
      </c>
      <c r="IE9" s="1">
        <f>Table14[[#This Row],[Total_Cost_MUSD]]*Table14[[#This Row],[prob500-failure_rating3]]*1000000/500</f>
        <v>213.6631055</v>
      </c>
      <c r="IF9" s="1">
        <f>Table14[[#This Row],[Total_Cost_MUSD]]*Table14[[#This Row],[prob500-failure_rating4]]*1000000/500</f>
        <v>34.186096880000008</v>
      </c>
      <c r="IG9" s="1">
        <f>Table14[[#This Row],[Total_Cost_MUSD]]*Table14[[#This Row],[prob500-failure_rating5]]*1000000/500</f>
        <v>0.59825669540000004</v>
      </c>
      <c r="IH9" s="1">
        <f>Table14[[#This Row],[Total_Cost_MUSD]]*Table14[[#This Row],[prob500-failure_rating6]]*1000000/500</f>
        <v>15.383743596</v>
      </c>
      <c r="II9" s="1">
        <f>Table14[[#This Row],[Total_Cost_MUSD]]*Table14[[#This Row],[prob500-failure_rating7]]*1000000/500</f>
        <v>15.383743596</v>
      </c>
      <c r="IJ9" s="1">
        <f>Table14[[#This Row],[Total_Cost_MUSD]]*Table14[[#This Row],[prob500-failure_rating8]]*1000000/500</f>
        <v>0.3418609688</v>
      </c>
      <c r="IK9" s="1">
        <f>Table14[[#This Row],[Total_Cost_MUSD]]*Table14[[#This Row],[prob500-failure_rating9]]*1000000/500</f>
        <v>0.21366310550000006</v>
      </c>
      <c r="IL9" s="1">
        <f>Table14[[#This Row],[Total_Cost_MUSD]]*Table14[[#This Row],[prob100-failure_rating1]]*1000000/100</f>
        <v>5341.5776375000005</v>
      </c>
      <c r="IM9" s="1">
        <f>Table14[[#This Row],[Total_Cost_MUSD]]*Table14[[#This Row],[prob100-failure_rating2]]*1000000/100</f>
        <v>2563.9572660000003</v>
      </c>
      <c r="IN9" s="1">
        <f>Table14[[#This Row],[Total_Cost_MUSD]]*Table14[[#This Row],[prob100-failure_rating3]]*1000000/100</f>
        <v>1068.3155274999999</v>
      </c>
      <c r="IO9" s="1">
        <f>Table14[[#This Row],[Total_Cost_MUSD]]*Table14[[#This Row],[prob100-failure_rating4]]*1000000/100</f>
        <v>213.66310550000003</v>
      </c>
      <c r="IP9" s="1">
        <f>Table14[[#This Row],[Total_Cost_MUSD]]*Table14[[#This Row],[prob100-failure_rating5]]*1000000/100</f>
        <v>3.4186096880000001</v>
      </c>
      <c r="IQ9" s="1">
        <f>Table14[[#This Row],[Total_Cost_MUSD]]*Table14[[#This Row],[prob100-failure_rating6]]*1000000/100</f>
        <v>106.83155275000001</v>
      </c>
      <c r="IR9" s="1">
        <f>Table14[[#This Row],[Total_Cost_MUSD]]*Table14[[#This Row],[prob100-failure_rating7]]*1000000/100</f>
        <v>106.83155275000001</v>
      </c>
      <c r="IS9" s="1">
        <f>Table14[[#This Row],[Total_Cost_MUSD]]*Table14[[#This Row],[prob100-failure_rating8]]*1000000/100</f>
        <v>2.1366310550000005</v>
      </c>
      <c r="IT9" s="1">
        <f>Table14[[#This Row],[Total_Cost_MUSD]]*Table14[[#This Row],[prob100-failure_rating9]]*1000000/100</f>
        <v>1.2819786330000003</v>
      </c>
      <c r="IU9" s="1">
        <f>Table14[[#This Row],[Total_Cost_MUSD]]*Table14[[#This Row],[prob50-failure_rating1]]*1000000/50</f>
        <v>8546.5242199999993</v>
      </c>
      <c r="IV9" s="1">
        <f>Table14[[#This Row],[Total_Cost_MUSD]]*Table14[[#This Row],[prob50-failure_rating2]]*1000000/50</f>
        <v>5127.9145320000007</v>
      </c>
      <c r="IW9" s="1">
        <f>Table14[[#This Row],[Total_Cost_MUSD]]*Table14[[#This Row],[prob50-failure_rating3]]*1000000/50</f>
        <v>1111.0481485999999</v>
      </c>
      <c r="IX9" s="1">
        <f>Table14[[#This Row],[Total_Cost_MUSD]]*Table14[[#This Row],[prob50-failure_rating4]]*1000000/50</f>
        <v>427.32621100000006</v>
      </c>
      <c r="IY9" s="1">
        <f>Table14[[#This Row],[Total_Cost_MUSD]]*Table14[[#This Row],[prob50-failure_rating5]]*1000000/50</f>
        <v>6.8372193760000002</v>
      </c>
      <c r="IZ9" s="1">
        <f>Table14[[#This Row],[Total_Cost_MUSD]]*Table14[[#This Row],[prob50-failure_rating6]]*1000000/50</f>
        <v>213.66310550000003</v>
      </c>
      <c r="JA9" s="1">
        <f>Table14[[#This Row],[Total_Cost_MUSD]]*Table14[[#This Row],[prob50-failure_rating7]]*1000000/50</f>
        <v>213.66310550000003</v>
      </c>
      <c r="JB9" s="1">
        <f>Table14[[#This Row],[Total_Cost_MUSD]]*Table14[[#This Row],[prob50-failure_rating8]]*1000000/50</f>
        <v>4.273262110000001</v>
      </c>
      <c r="JC9" s="1">
        <f>Table14[[#This Row],[Total_Cost_MUSD]]*Table14[[#This Row],[prob50-failure_rating9]]*1000000/50</f>
        <v>2.5639572660000005</v>
      </c>
      <c r="JD9" s="1">
        <f>Table14[[#This Row],[Total_Cost_MUSD]]*Table14[[#This Row],[prob10-failure_rating1]]*1000000/10</f>
        <v>42732.621100000004</v>
      </c>
      <c r="JE9" s="1">
        <f>Table14[[#This Row],[Total_Cost_MUSD]]*Table14[[#This Row],[prob10-failure_rating2]]*1000000/10</f>
        <v>34186.096880000005</v>
      </c>
      <c r="JF9" s="1">
        <f>Table14[[#This Row],[Total_Cost_MUSD]]*Table14[[#This Row],[prob10-failure_rating3]]*1000000/10</f>
        <v>6837.2193760000009</v>
      </c>
      <c r="JG9" s="1">
        <f>Table14[[#This Row],[Total_Cost_MUSD]]*Table14[[#This Row],[prob10-failure_rating4]]*1000000/10</f>
        <v>2563.9572659999999</v>
      </c>
      <c r="JH9" s="1">
        <f>Table14[[#This Row],[Total_Cost_MUSD]]*Table14[[#This Row],[prob10-failure_rating5]]*1000000/10</f>
        <v>170.93048440000004</v>
      </c>
      <c r="JI9" s="1">
        <f>Table14[[#This Row],[Total_Cost_MUSD]]*Table14[[#This Row],[prob10-failure_rating6]]*1000000/10</f>
        <v>1709.3048440000002</v>
      </c>
      <c r="JJ9" s="1">
        <f>Table14[[#This Row],[Total_Cost_MUSD]]*Table14[[#This Row],[prob10-failure_rating7]]*1000000/10</f>
        <v>1709.3048440000002</v>
      </c>
      <c r="JK9" s="1">
        <f>Table14[[#This Row],[Total_Cost_MUSD]]*Table14[[#This Row],[prob10-failure_rating8]]*1000000/10</f>
        <v>85.46524220000002</v>
      </c>
      <c r="JL9" s="1">
        <f>Table14[[#This Row],[Total_Cost_MUSD]]*Table14[[#This Row],[prob10-failure_rating9]]*1000000/10</f>
        <v>17.09304844</v>
      </c>
      <c r="JM9" s="1">
        <f>Table14[[#This Row],[failurecost500_rating1]]+Table14[[#This Row],[failurecost100_rating1]]+Table14[[#This Row],[failurecost50_rating1]]+Table14[[#This Row],[failurecost10_rating1]]</f>
        <v>58757.3540125</v>
      </c>
      <c r="JN9" s="1">
        <f>Table14[[#This Row],[failurecost500_rating2]]+Table14[[#This Row],[failurecost100_rating2]]+Table14[[#This Row],[failurecost50_rating2]]+Table14[[#This Row],[failurecost10_rating2]]</f>
        <v>42732.621100000004</v>
      </c>
      <c r="JO9" s="1">
        <f>Table14[[#This Row],[failurecost500_rating2]]+Table14[[#This Row],[failurecost100_rating2]]+Table14[[#This Row],[failurecost50_rating2]]+Table14[[#This Row],[failurecost10_rating2]]</f>
        <v>42732.621100000004</v>
      </c>
      <c r="JP9" s="1">
        <f>Table14[[#This Row],[failurecost500_rating3]]+Table14[[#This Row],[failurecost100_rating3]]+Table14[[#This Row],[failurecost50_rating3]]+Table14[[#This Row],[failurecost10_rating3]]</f>
        <v>9230.2461576000005</v>
      </c>
      <c r="JQ9" s="1">
        <f>Table14[[#This Row],[failurecost500_rating3]]+Table14[[#This Row],[failurecost100_rating3]]+Table14[[#This Row],[failurecost50_rating3]]+Table14[[#This Row],[failurecost10_rating3]]</f>
        <v>9230.2461576000005</v>
      </c>
      <c r="JR9" s="1">
        <f>Table14[[#This Row],[failurecost500_rating4]]+Table14[[#This Row],[failurecost100_rating4]]+Table14[[#This Row],[failurecost50_rating4]]+Table14[[#This Row],[failurecost10_rating4]]</f>
        <v>3239.1326793799999</v>
      </c>
      <c r="JS9" s="1">
        <f>Table14[[#This Row],[failurecost500_rating4]]+Table14[[#This Row],[failurecost100_rating4]]+Table14[[#This Row],[failurecost50_rating4]]+Table14[[#This Row],[failurecost10_rating4]]</f>
        <v>3239.1326793799999</v>
      </c>
      <c r="JT9" s="1">
        <f>Table14[[#This Row],[failurecost500_rating5]]+Table14[[#This Row],[failurecost100_rating5]]+Table14[[#This Row],[failurecost50_rating5]]+Table14[[#This Row],[failurecost10_rating5]]</f>
        <v>181.78457015940003</v>
      </c>
      <c r="JU9" s="1">
        <f>Table14[[#This Row],[failurecost500_rating5]]+Table14[[#This Row],[failurecost100_rating5]]+Table14[[#This Row],[failurecost50_rating5]]+Table14[[#This Row],[failurecost10_rating5]]</f>
        <v>181.78457015940003</v>
      </c>
    </row>
    <row r="10" spans="1:281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Table14[[#This Row],[Depth10_Soil_vol]]*(9.353+9.027)+(Table14[[#This Row],[Depth10_Soil_vol]]/2.5)*20*1.053+(PI()*Table14[[#This Row],[Depth10_Scour]])*Table14[[#This Row],[DECK_WIDTH_MT_052]]*1.062</f>
        <v>2767.3671308174216</v>
      </c>
      <c r="AR10" s="1">
        <f>Table14[[#This Row],[Depth50_Soil_vol]]*(9.353+9.027)+(Table14[[#This Row],[Depth50_Soil_vol]]/2.5)*20*1.053+(PI()*Table14[[#This Row],[Depth50_Scour]])*Table14[[#This Row],[DECK_WIDTH_MT_052]]*1.062</f>
        <v>2942.0444801705157</v>
      </c>
      <c r="AS10" s="1">
        <f>Table14[[#This Row],[Depth100_Soil_vol]]*(9.353+9.027)+(Table14[[#This Row],[Depth100_Soil_vol]]/2.5)*20*1.053+(PI()*Table14[[#This Row],[Depth100_Scour]])*Table14[[#This Row],[DECK_WIDTH_MT_052]]*1.062</f>
        <v>3019.9468768096358</v>
      </c>
      <c r="AT10" s="1">
        <f>Table14[[#This Row],[Depth500_Soil_vol]]*(9.353+9.027)+(Table14[[#This Row],[Depth500_Soil_vol]]/2.5)*20*1.053+(PI()*Table14[[#This Row],[Depth500_Scour]])*Table14[[#This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>
        <v>17.884614809999999</v>
      </c>
      <c r="GE10" s="1">
        <v>0</v>
      </c>
      <c r="GF10" s="1">
        <v>0</v>
      </c>
      <c r="GG10" s="1">
        <v>0</v>
      </c>
      <c r="GH10" s="1">
        <v>0</v>
      </c>
      <c r="GI10" s="1">
        <v>4</v>
      </c>
      <c r="GJ10" s="1">
        <v>10000</v>
      </c>
      <c r="GK10" s="1">
        <v>10000</v>
      </c>
      <c r="GL10" s="1">
        <v>10000</v>
      </c>
      <c r="GM10" s="1">
        <v>10000</v>
      </c>
      <c r="GN10" s="1">
        <v>10000</v>
      </c>
      <c r="GO10" s="1">
        <v>10000</v>
      </c>
      <c r="GP10" s="1">
        <v>0</v>
      </c>
      <c r="GQ10" s="1">
        <v>0</v>
      </c>
      <c r="GR10" s="1">
        <v>0</v>
      </c>
      <c r="GS10" s="1">
        <f t="shared" si="0"/>
        <v>2.5000000000000001E-2</v>
      </c>
      <c r="GT10" s="1">
        <v>0.01</v>
      </c>
      <c r="GU10" s="1">
        <v>2.5000000000000001E-3</v>
      </c>
      <c r="GV10" s="1">
        <v>4.0000000000000002E-4</v>
      </c>
      <c r="GW10" s="1">
        <v>6.9999999999999999E-6</v>
      </c>
      <c r="GX10" s="1">
        <v>1.8000000000000001E-4</v>
      </c>
      <c r="GY10" s="1">
        <v>1.8000000000000001E-4</v>
      </c>
      <c r="GZ10" s="1">
        <v>3.9999999999999998E-6</v>
      </c>
      <c r="HA10" s="1">
        <v>2.5000000000000002E-6</v>
      </c>
      <c r="HB10" s="1">
        <f t="shared" si="1"/>
        <v>1.2500000000000001E-2</v>
      </c>
      <c r="HC10" s="1">
        <v>6.0000000000000001E-3</v>
      </c>
      <c r="HD10" s="1">
        <v>2.5000000000000001E-3</v>
      </c>
      <c r="HE10" s="1">
        <v>5.0000000000000001E-4</v>
      </c>
      <c r="HF10" s="1">
        <v>7.9999999999999996E-6</v>
      </c>
      <c r="HG10" s="1">
        <v>2.5000000000000001E-4</v>
      </c>
      <c r="HH10" s="1">
        <v>2.5000000000000001E-4</v>
      </c>
      <c r="HI10" s="1">
        <v>5.0000000000000004E-6</v>
      </c>
      <c r="HJ10" s="1">
        <v>3.0000000000000001E-6</v>
      </c>
      <c r="HK10" s="1">
        <v>0.01</v>
      </c>
      <c r="HL10" s="1">
        <v>6.0000000000000001E-3</v>
      </c>
      <c r="HM10" s="1">
        <v>1.2999999999999999E-3</v>
      </c>
      <c r="HN10" s="1">
        <v>5.0000000000000001E-4</v>
      </c>
      <c r="HO10" s="1">
        <v>7.9999999999999996E-6</v>
      </c>
      <c r="HP10" s="1">
        <v>2.5000000000000001E-4</v>
      </c>
      <c r="HQ10" s="1">
        <v>2.5000000000000001E-4</v>
      </c>
      <c r="HR10" s="1">
        <v>5.0000000000000004E-6</v>
      </c>
      <c r="HS10" s="1">
        <v>3.0000000000000001E-6</v>
      </c>
      <c r="HT10" s="1">
        <v>0.01</v>
      </c>
      <c r="HU10" s="1">
        <v>8.0000000000000002E-3</v>
      </c>
      <c r="HV10" s="1">
        <v>1.6000000000000001E-3</v>
      </c>
      <c r="HW10" s="1">
        <v>5.9999999999999995E-4</v>
      </c>
      <c r="HX10" s="1">
        <v>4.0000000000000003E-5</v>
      </c>
      <c r="HY10" s="1">
        <v>4.0000000000000002E-4</v>
      </c>
      <c r="HZ10" s="1">
        <v>4.0000000000000002E-4</v>
      </c>
      <c r="IA10" s="1">
        <v>2.0000000000000002E-5</v>
      </c>
      <c r="IB10" s="1">
        <v>3.9999999999999998E-6</v>
      </c>
      <c r="IC10" s="1">
        <f>Table14[[#This Row],[Total_Cost_MUSD]]*Table14[[#This Row],[prob500-failure_rating1]]*1000000/500</f>
        <v>894.23074049999991</v>
      </c>
      <c r="ID10" s="1">
        <f>Table14[[#This Row],[Total_Cost_MUSD]]*Table14[[#This Row],[prob500-failure_rating2]]*1000000/500</f>
        <v>357.69229619999999</v>
      </c>
      <c r="IE10" s="1">
        <f>Table14[[#This Row],[Total_Cost_MUSD]]*Table14[[#This Row],[prob500-failure_rating3]]*1000000/500</f>
        <v>89.423074049999997</v>
      </c>
      <c r="IF10" s="1">
        <f>Table14[[#This Row],[Total_Cost_MUSD]]*Table14[[#This Row],[prob500-failure_rating4]]*1000000/500</f>
        <v>14.307691847999999</v>
      </c>
      <c r="IG10" s="1">
        <f>Table14[[#This Row],[Total_Cost_MUSD]]*Table14[[#This Row],[prob500-failure_rating5]]*1000000/500</f>
        <v>0.25038460734000001</v>
      </c>
      <c r="IH10" s="1">
        <f>Table14[[#This Row],[Total_Cost_MUSD]]*Table14[[#This Row],[prob500-failure_rating6]]*1000000/500</f>
        <v>6.4384613315999992</v>
      </c>
      <c r="II10" s="1">
        <f>Table14[[#This Row],[Total_Cost_MUSD]]*Table14[[#This Row],[prob500-failure_rating7]]*1000000/500</f>
        <v>6.4384613315999992</v>
      </c>
      <c r="IJ10" s="1">
        <f>Table14[[#This Row],[Total_Cost_MUSD]]*Table14[[#This Row],[prob500-failure_rating8]]*1000000/500</f>
        <v>0.14307691847999998</v>
      </c>
      <c r="IK10" s="1">
        <f>Table14[[#This Row],[Total_Cost_MUSD]]*Table14[[#This Row],[prob500-failure_rating9]]*1000000/500</f>
        <v>8.9423074050000009E-2</v>
      </c>
      <c r="IL10" s="1">
        <f>Table14[[#This Row],[Total_Cost_MUSD]]*Table14[[#This Row],[prob100-failure_rating1]]*1000000/100</f>
        <v>2235.5768512499999</v>
      </c>
      <c r="IM10" s="1">
        <f>Table14[[#This Row],[Total_Cost_MUSD]]*Table14[[#This Row],[prob100-failure_rating2]]*1000000/100</f>
        <v>1073.0768885999998</v>
      </c>
      <c r="IN10" s="1">
        <f>Table14[[#This Row],[Total_Cost_MUSD]]*Table14[[#This Row],[prob100-failure_rating3]]*1000000/100</f>
        <v>447.11537024999996</v>
      </c>
      <c r="IO10" s="1">
        <f>Table14[[#This Row],[Total_Cost_MUSD]]*Table14[[#This Row],[prob100-failure_rating4]]*1000000/100</f>
        <v>89.423074049999997</v>
      </c>
      <c r="IP10" s="1">
        <f>Table14[[#This Row],[Total_Cost_MUSD]]*Table14[[#This Row],[prob100-failure_rating5]]*1000000/100</f>
        <v>1.4307691847999999</v>
      </c>
      <c r="IQ10" s="1">
        <f>Table14[[#This Row],[Total_Cost_MUSD]]*Table14[[#This Row],[prob100-failure_rating6]]*1000000/100</f>
        <v>44.711537024999998</v>
      </c>
      <c r="IR10" s="1">
        <f>Table14[[#This Row],[Total_Cost_MUSD]]*Table14[[#This Row],[prob100-failure_rating7]]*1000000/100</f>
        <v>44.711537024999998</v>
      </c>
      <c r="IS10" s="1">
        <f>Table14[[#This Row],[Total_Cost_MUSD]]*Table14[[#This Row],[prob100-failure_rating8]]*1000000/100</f>
        <v>0.89423074050000007</v>
      </c>
      <c r="IT10" s="1">
        <f>Table14[[#This Row],[Total_Cost_MUSD]]*Table14[[#This Row],[prob100-failure_rating9]]*1000000/100</f>
        <v>0.53653844429999997</v>
      </c>
      <c r="IU10" s="1">
        <f>Table14[[#This Row],[Total_Cost_MUSD]]*Table14[[#This Row],[prob50-failure_rating1]]*1000000/50</f>
        <v>3576.9229619999996</v>
      </c>
      <c r="IV10" s="1">
        <f>Table14[[#This Row],[Total_Cost_MUSD]]*Table14[[#This Row],[prob50-failure_rating2]]*1000000/50</f>
        <v>2146.1537771999997</v>
      </c>
      <c r="IW10" s="1">
        <f>Table14[[#This Row],[Total_Cost_MUSD]]*Table14[[#This Row],[prob50-failure_rating3]]*1000000/50</f>
        <v>464.99998505999991</v>
      </c>
      <c r="IX10" s="1">
        <f>Table14[[#This Row],[Total_Cost_MUSD]]*Table14[[#This Row],[prob50-failure_rating4]]*1000000/50</f>
        <v>178.84614809999999</v>
      </c>
      <c r="IY10" s="1">
        <f>Table14[[#This Row],[Total_Cost_MUSD]]*Table14[[#This Row],[prob50-failure_rating5]]*1000000/50</f>
        <v>2.8615383695999999</v>
      </c>
      <c r="IZ10" s="1">
        <f>Table14[[#This Row],[Total_Cost_MUSD]]*Table14[[#This Row],[prob50-failure_rating6]]*1000000/50</f>
        <v>89.423074049999997</v>
      </c>
      <c r="JA10" s="1">
        <f>Table14[[#This Row],[Total_Cost_MUSD]]*Table14[[#This Row],[prob50-failure_rating7]]*1000000/50</f>
        <v>89.423074049999997</v>
      </c>
      <c r="JB10" s="1">
        <f>Table14[[#This Row],[Total_Cost_MUSD]]*Table14[[#This Row],[prob50-failure_rating8]]*1000000/50</f>
        <v>1.7884614810000001</v>
      </c>
      <c r="JC10" s="1">
        <f>Table14[[#This Row],[Total_Cost_MUSD]]*Table14[[#This Row],[prob50-failure_rating9]]*1000000/50</f>
        <v>1.0730768885999999</v>
      </c>
      <c r="JD10" s="1">
        <f>Table14[[#This Row],[Total_Cost_MUSD]]*Table14[[#This Row],[prob10-failure_rating1]]*1000000/10</f>
        <v>17884.614809999999</v>
      </c>
      <c r="JE10" s="1">
        <f>Table14[[#This Row],[Total_Cost_MUSD]]*Table14[[#This Row],[prob10-failure_rating2]]*1000000/10</f>
        <v>14307.691847999999</v>
      </c>
      <c r="JF10" s="1">
        <f>Table14[[#This Row],[Total_Cost_MUSD]]*Table14[[#This Row],[prob10-failure_rating3]]*1000000/10</f>
        <v>2861.5383695999999</v>
      </c>
      <c r="JG10" s="1">
        <f>Table14[[#This Row],[Total_Cost_MUSD]]*Table14[[#This Row],[prob10-failure_rating4]]*1000000/10</f>
        <v>1073.0768886000001</v>
      </c>
      <c r="JH10" s="1">
        <f>Table14[[#This Row],[Total_Cost_MUSD]]*Table14[[#This Row],[prob10-failure_rating5]]*1000000/10</f>
        <v>71.538459240000009</v>
      </c>
      <c r="JI10" s="1">
        <f>Table14[[#This Row],[Total_Cost_MUSD]]*Table14[[#This Row],[prob10-failure_rating6]]*1000000/10</f>
        <v>715.38459239999997</v>
      </c>
      <c r="JJ10" s="1">
        <f>Table14[[#This Row],[Total_Cost_MUSD]]*Table14[[#This Row],[prob10-failure_rating7]]*1000000/10</f>
        <v>715.38459239999997</v>
      </c>
      <c r="JK10" s="1">
        <f>Table14[[#This Row],[Total_Cost_MUSD]]*Table14[[#This Row],[prob10-failure_rating8]]*1000000/10</f>
        <v>35.769229620000004</v>
      </c>
      <c r="JL10" s="1">
        <f>Table14[[#This Row],[Total_Cost_MUSD]]*Table14[[#This Row],[prob10-failure_rating9]]*1000000/10</f>
        <v>7.1538459239999996</v>
      </c>
      <c r="JM10" s="1">
        <f>Table14[[#This Row],[failurecost500_rating1]]+Table14[[#This Row],[failurecost100_rating1]]+Table14[[#This Row],[failurecost50_rating1]]+Table14[[#This Row],[failurecost10_rating1]]</f>
        <v>24591.345363749999</v>
      </c>
      <c r="JN10" s="1">
        <f>Table14[[#This Row],[failurecost500_rating2]]+Table14[[#This Row],[failurecost100_rating2]]+Table14[[#This Row],[failurecost50_rating2]]+Table14[[#This Row],[failurecost10_rating2]]</f>
        <v>17884.614809999999</v>
      </c>
      <c r="JO10" s="1">
        <f>Table14[[#This Row],[failurecost500_rating2]]+Table14[[#This Row],[failurecost100_rating2]]+Table14[[#This Row],[failurecost50_rating2]]+Table14[[#This Row],[failurecost10_rating2]]</f>
        <v>17884.614809999999</v>
      </c>
      <c r="JP10" s="1">
        <f>Table14[[#This Row],[failurecost500_rating3]]+Table14[[#This Row],[failurecost100_rating3]]+Table14[[#This Row],[failurecost50_rating3]]+Table14[[#This Row],[failurecost10_rating3]]</f>
        <v>3863.0767989599999</v>
      </c>
      <c r="JQ10" s="1">
        <f>Table14[[#This Row],[failurecost500_rating3]]+Table14[[#This Row],[failurecost100_rating3]]+Table14[[#This Row],[failurecost50_rating3]]+Table14[[#This Row],[failurecost10_rating3]]</f>
        <v>3863.0767989599999</v>
      </c>
      <c r="JR10" s="1">
        <f>Table14[[#This Row],[failurecost500_rating4]]+Table14[[#This Row],[failurecost100_rating4]]+Table14[[#This Row],[failurecost50_rating4]]+Table14[[#This Row],[failurecost10_rating4]]</f>
        <v>1355.6538025980001</v>
      </c>
      <c r="JS10" s="1">
        <f>Table14[[#This Row],[failurecost500_rating4]]+Table14[[#This Row],[failurecost100_rating4]]+Table14[[#This Row],[failurecost50_rating4]]+Table14[[#This Row],[failurecost10_rating4]]</f>
        <v>1355.6538025980001</v>
      </c>
      <c r="JT10" s="1">
        <f>Table14[[#This Row],[failurecost500_rating5]]+Table14[[#This Row],[failurecost100_rating5]]+Table14[[#This Row],[failurecost50_rating5]]+Table14[[#This Row],[failurecost10_rating5]]</f>
        <v>76.081151401740016</v>
      </c>
      <c r="JU10" s="1">
        <f>Table14[[#This Row],[failurecost500_rating5]]+Table14[[#This Row],[failurecost100_rating5]]+Table14[[#This Row],[failurecost50_rating5]]+Table14[[#This Row],[failurecost10_rating5]]</f>
        <v>76.081151401740016</v>
      </c>
    </row>
    <row r="11" spans="1:281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Table14[[#This Row],[Depth10_Soil_vol]]*(9.353+9.027)+(Table14[[#This Row],[Depth10_Soil_vol]]/2.5)*20*1.053+(PI()*Table14[[#This Row],[Depth10_Scour]])*Table14[[#This Row],[DECK_WIDTH_MT_052]]*1.062</f>
        <v>12912.070383440046</v>
      </c>
      <c r="AR11" s="1">
        <f>Table14[[#This Row],[Depth50_Soil_vol]]*(9.353+9.027)+(Table14[[#This Row],[Depth50_Soil_vol]]/2.5)*20*1.053+(PI()*Table14[[#This Row],[Depth50_Scour]])*Table14[[#This Row],[DECK_WIDTH_MT_052]]*1.062</f>
        <v>13809.829327894035</v>
      </c>
      <c r="AS11" s="1">
        <f>Table14[[#This Row],[Depth100_Soil_vol]]*(9.353+9.027)+(Table14[[#This Row],[Depth100_Soil_vol]]/2.5)*20*1.053+(PI()*Table14[[#This Row],[Depth100_Scour]])*Table14[[#This Row],[DECK_WIDTH_MT_052]]*1.062</f>
        <v>14209.20261771438</v>
      </c>
      <c r="AT11" s="1">
        <f>Table14[[#This Row],[Depth500_Soil_vol]]*(9.353+9.027)+(Table14[[#This Row],[Depth500_Soil_vol]]/2.5)*20*1.053+(PI()*Table14[[#This Row],[Depth500_Scour]])*Table14[[#This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>
        <v>61.928876150000001</v>
      </c>
      <c r="GE11" s="1">
        <v>0</v>
      </c>
      <c r="GF11" s="1">
        <v>0</v>
      </c>
      <c r="GG11" s="1">
        <v>0</v>
      </c>
      <c r="GH11" s="1">
        <v>0</v>
      </c>
      <c r="GI11" s="1">
        <v>4</v>
      </c>
      <c r="GJ11" s="1">
        <v>10000</v>
      </c>
      <c r="GK11" s="1">
        <v>10000</v>
      </c>
      <c r="GL11" s="1">
        <v>10000</v>
      </c>
      <c r="GM11" s="1">
        <v>10000</v>
      </c>
      <c r="GN11" s="1">
        <v>10000</v>
      </c>
      <c r="GO11" s="1">
        <v>10000</v>
      </c>
      <c r="GP11" s="1">
        <v>0</v>
      </c>
      <c r="GQ11" s="1">
        <v>0</v>
      </c>
      <c r="GR11" s="1">
        <v>0</v>
      </c>
      <c r="GS11" s="1">
        <f t="shared" si="0"/>
        <v>2.5000000000000001E-2</v>
      </c>
      <c r="GT11" s="1">
        <v>0.01</v>
      </c>
      <c r="GU11" s="1">
        <v>2.5000000000000001E-3</v>
      </c>
      <c r="GV11" s="1">
        <v>4.0000000000000002E-4</v>
      </c>
      <c r="GW11" s="1">
        <v>6.9999999999999999E-6</v>
      </c>
      <c r="GX11" s="1">
        <v>1.8000000000000001E-4</v>
      </c>
      <c r="GY11" s="1">
        <v>1.8000000000000001E-4</v>
      </c>
      <c r="GZ11" s="1">
        <v>3.9999999999999998E-6</v>
      </c>
      <c r="HA11" s="1">
        <v>2.5000000000000002E-6</v>
      </c>
      <c r="HB11" s="1">
        <f t="shared" si="1"/>
        <v>1.2500000000000001E-2</v>
      </c>
      <c r="HC11" s="1">
        <v>6.0000000000000001E-3</v>
      </c>
      <c r="HD11" s="1">
        <v>2.5000000000000001E-3</v>
      </c>
      <c r="HE11" s="1">
        <v>5.0000000000000001E-4</v>
      </c>
      <c r="HF11" s="1">
        <v>7.9999999999999996E-6</v>
      </c>
      <c r="HG11" s="1">
        <v>2.5000000000000001E-4</v>
      </c>
      <c r="HH11" s="1">
        <v>2.5000000000000001E-4</v>
      </c>
      <c r="HI11" s="1">
        <v>5.0000000000000004E-6</v>
      </c>
      <c r="HJ11" s="1">
        <v>3.0000000000000001E-6</v>
      </c>
      <c r="HK11" s="1">
        <v>0.01</v>
      </c>
      <c r="HL11" s="1">
        <v>6.0000000000000001E-3</v>
      </c>
      <c r="HM11" s="1">
        <v>1.2999999999999999E-3</v>
      </c>
      <c r="HN11" s="1">
        <v>5.0000000000000001E-4</v>
      </c>
      <c r="HO11" s="1">
        <v>7.9999999999999996E-6</v>
      </c>
      <c r="HP11" s="1">
        <v>2.5000000000000001E-4</v>
      </c>
      <c r="HQ11" s="1">
        <v>2.5000000000000001E-4</v>
      </c>
      <c r="HR11" s="1">
        <v>5.0000000000000004E-6</v>
      </c>
      <c r="HS11" s="1">
        <v>3.0000000000000001E-6</v>
      </c>
      <c r="HT11" s="1">
        <v>0.01</v>
      </c>
      <c r="HU11" s="1">
        <v>8.0000000000000002E-3</v>
      </c>
      <c r="HV11" s="1">
        <v>1.6000000000000001E-3</v>
      </c>
      <c r="HW11" s="1">
        <v>5.9999999999999995E-4</v>
      </c>
      <c r="HX11" s="1">
        <v>4.0000000000000003E-5</v>
      </c>
      <c r="HY11" s="1">
        <v>4.0000000000000002E-4</v>
      </c>
      <c r="HZ11" s="1">
        <v>4.0000000000000002E-4</v>
      </c>
      <c r="IA11" s="1">
        <v>2.0000000000000002E-5</v>
      </c>
      <c r="IB11" s="1">
        <v>3.9999999999999998E-6</v>
      </c>
      <c r="IC11" s="1">
        <f>Table14[[#This Row],[Total_Cost_MUSD]]*Table14[[#This Row],[prob500-failure_rating1]]*1000000/500</f>
        <v>3096.4438075000003</v>
      </c>
      <c r="ID11" s="1">
        <f>Table14[[#This Row],[Total_Cost_MUSD]]*Table14[[#This Row],[prob500-failure_rating2]]*1000000/500</f>
        <v>1238.5775230000002</v>
      </c>
      <c r="IE11" s="1">
        <f>Table14[[#This Row],[Total_Cost_MUSD]]*Table14[[#This Row],[prob500-failure_rating3]]*1000000/500</f>
        <v>309.64438075000004</v>
      </c>
      <c r="IF11" s="1">
        <f>Table14[[#This Row],[Total_Cost_MUSD]]*Table14[[#This Row],[prob500-failure_rating4]]*1000000/500</f>
        <v>49.543100920000008</v>
      </c>
      <c r="IG11" s="1">
        <f>Table14[[#This Row],[Total_Cost_MUSD]]*Table14[[#This Row],[prob500-failure_rating5]]*1000000/500</f>
        <v>0.86700426610000003</v>
      </c>
      <c r="IH11" s="1">
        <f>Table14[[#This Row],[Total_Cost_MUSD]]*Table14[[#This Row],[prob500-failure_rating6]]*1000000/500</f>
        <v>22.294395414000004</v>
      </c>
      <c r="II11" s="1">
        <f>Table14[[#This Row],[Total_Cost_MUSD]]*Table14[[#This Row],[prob500-failure_rating7]]*1000000/500</f>
        <v>22.294395414000004</v>
      </c>
      <c r="IJ11" s="1">
        <f>Table14[[#This Row],[Total_Cost_MUSD]]*Table14[[#This Row],[prob500-failure_rating8]]*1000000/500</f>
        <v>0.49543100919999999</v>
      </c>
      <c r="IK11" s="1">
        <f>Table14[[#This Row],[Total_Cost_MUSD]]*Table14[[#This Row],[prob500-failure_rating9]]*1000000/500</f>
        <v>0.30964438075000006</v>
      </c>
      <c r="IL11" s="1">
        <f>Table14[[#This Row],[Total_Cost_MUSD]]*Table14[[#This Row],[prob100-failure_rating1]]*1000000/100</f>
        <v>7741.1095187500005</v>
      </c>
      <c r="IM11" s="1">
        <f>Table14[[#This Row],[Total_Cost_MUSD]]*Table14[[#This Row],[prob100-failure_rating2]]*1000000/100</f>
        <v>3715.7325690000002</v>
      </c>
      <c r="IN11" s="1">
        <f>Table14[[#This Row],[Total_Cost_MUSD]]*Table14[[#This Row],[prob100-failure_rating3]]*1000000/100</f>
        <v>1548.2219037500001</v>
      </c>
      <c r="IO11" s="1">
        <f>Table14[[#This Row],[Total_Cost_MUSD]]*Table14[[#This Row],[prob100-failure_rating4]]*1000000/100</f>
        <v>309.64438074999998</v>
      </c>
      <c r="IP11" s="1">
        <f>Table14[[#This Row],[Total_Cost_MUSD]]*Table14[[#This Row],[prob100-failure_rating5]]*1000000/100</f>
        <v>4.9543100920000001</v>
      </c>
      <c r="IQ11" s="1">
        <f>Table14[[#This Row],[Total_Cost_MUSD]]*Table14[[#This Row],[prob100-failure_rating6]]*1000000/100</f>
        <v>154.82219037499999</v>
      </c>
      <c r="IR11" s="1">
        <f>Table14[[#This Row],[Total_Cost_MUSD]]*Table14[[#This Row],[prob100-failure_rating7]]*1000000/100</f>
        <v>154.82219037499999</v>
      </c>
      <c r="IS11" s="1">
        <f>Table14[[#This Row],[Total_Cost_MUSD]]*Table14[[#This Row],[prob100-failure_rating8]]*1000000/100</f>
        <v>3.0964438075000005</v>
      </c>
      <c r="IT11" s="1">
        <f>Table14[[#This Row],[Total_Cost_MUSD]]*Table14[[#This Row],[prob100-failure_rating9]]*1000000/100</f>
        <v>1.8578662845</v>
      </c>
      <c r="IU11" s="1">
        <f>Table14[[#This Row],[Total_Cost_MUSD]]*Table14[[#This Row],[prob50-failure_rating1]]*1000000/50</f>
        <v>12385.775230000001</v>
      </c>
      <c r="IV11" s="1">
        <f>Table14[[#This Row],[Total_Cost_MUSD]]*Table14[[#This Row],[prob50-failure_rating2]]*1000000/50</f>
        <v>7431.4651380000005</v>
      </c>
      <c r="IW11" s="1">
        <f>Table14[[#This Row],[Total_Cost_MUSD]]*Table14[[#This Row],[prob50-failure_rating3]]*1000000/50</f>
        <v>1610.1507798999999</v>
      </c>
      <c r="IX11" s="1">
        <f>Table14[[#This Row],[Total_Cost_MUSD]]*Table14[[#This Row],[prob50-failure_rating4]]*1000000/50</f>
        <v>619.28876149999996</v>
      </c>
      <c r="IY11" s="1">
        <f>Table14[[#This Row],[Total_Cost_MUSD]]*Table14[[#This Row],[prob50-failure_rating5]]*1000000/50</f>
        <v>9.9086201840000001</v>
      </c>
      <c r="IZ11" s="1">
        <f>Table14[[#This Row],[Total_Cost_MUSD]]*Table14[[#This Row],[prob50-failure_rating6]]*1000000/50</f>
        <v>309.64438074999998</v>
      </c>
      <c r="JA11" s="1">
        <f>Table14[[#This Row],[Total_Cost_MUSD]]*Table14[[#This Row],[prob50-failure_rating7]]*1000000/50</f>
        <v>309.64438074999998</v>
      </c>
      <c r="JB11" s="1">
        <f>Table14[[#This Row],[Total_Cost_MUSD]]*Table14[[#This Row],[prob50-failure_rating8]]*1000000/50</f>
        <v>6.192887615000001</v>
      </c>
      <c r="JC11" s="1">
        <f>Table14[[#This Row],[Total_Cost_MUSD]]*Table14[[#This Row],[prob50-failure_rating9]]*1000000/50</f>
        <v>3.715732569</v>
      </c>
      <c r="JD11" s="1">
        <f>Table14[[#This Row],[Total_Cost_MUSD]]*Table14[[#This Row],[prob10-failure_rating1]]*1000000/10</f>
        <v>61928.876150000004</v>
      </c>
      <c r="JE11" s="1">
        <f>Table14[[#This Row],[Total_Cost_MUSD]]*Table14[[#This Row],[prob10-failure_rating2]]*1000000/10</f>
        <v>49543.100919999997</v>
      </c>
      <c r="JF11" s="1">
        <f>Table14[[#This Row],[Total_Cost_MUSD]]*Table14[[#This Row],[prob10-failure_rating3]]*1000000/10</f>
        <v>9908.6201840000012</v>
      </c>
      <c r="JG11" s="1">
        <f>Table14[[#This Row],[Total_Cost_MUSD]]*Table14[[#This Row],[prob10-failure_rating4]]*1000000/10</f>
        <v>3715.7325689999998</v>
      </c>
      <c r="JH11" s="1">
        <f>Table14[[#This Row],[Total_Cost_MUSD]]*Table14[[#This Row],[prob10-failure_rating5]]*1000000/10</f>
        <v>247.71550460000003</v>
      </c>
      <c r="JI11" s="1">
        <f>Table14[[#This Row],[Total_Cost_MUSD]]*Table14[[#This Row],[prob10-failure_rating6]]*1000000/10</f>
        <v>2477.1550460000003</v>
      </c>
      <c r="JJ11" s="1">
        <f>Table14[[#This Row],[Total_Cost_MUSD]]*Table14[[#This Row],[prob10-failure_rating7]]*1000000/10</f>
        <v>2477.1550460000003</v>
      </c>
      <c r="JK11" s="1">
        <f>Table14[[#This Row],[Total_Cost_MUSD]]*Table14[[#This Row],[prob10-failure_rating8]]*1000000/10</f>
        <v>123.85775230000002</v>
      </c>
      <c r="JL11" s="1">
        <f>Table14[[#This Row],[Total_Cost_MUSD]]*Table14[[#This Row],[prob10-failure_rating9]]*1000000/10</f>
        <v>24.77155046</v>
      </c>
      <c r="JM11" s="1">
        <f>Table14[[#This Row],[failurecost500_rating1]]+Table14[[#This Row],[failurecost100_rating1]]+Table14[[#This Row],[failurecost50_rating1]]+Table14[[#This Row],[failurecost10_rating1]]</f>
        <v>85152.204706250006</v>
      </c>
      <c r="JN11" s="1">
        <f>Table14[[#This Row],[failurecost500_rating2]]+Table14[[#This Row],[failurecost100_rating2]]+Table14[[#This Row],[failurecost50_rating2]]+Table14[[#This Row],[failurecost10_rating2]]</f>
        <v>61928.876149999996</v>
      </c>
      <c r="JO11" s="1">
        <f>Table14[[#This Row],[failurecost500_rating2]]+Table14[[#This Row],[failurecost100_rating2]]+Table14[[#This Row],[failurecost50_rating2]]+Table14[[#This Row],[failurecost10_rating2]]</f>
        <v>61928.876149999996</v>
      </c>
      <c r="JP11" s="1">
        <f>Table14[[#This Row],[failurecost500_rating3]]+Table14[[#This Row],[failurecost100_rating3]]+Table14[[#This Row],[failurecost50_rating3]]+Table14[[#This Row],[failurecost10_rating3]]</f>
        <v>13376.637248400002</v>
      </c>
      <c r="JQ11" s="1">
        <f>Table14[[#This Row],[failurecost500_rating3]]+Table14[[#This Row],[failurecost100_rating3]]+Table14[[#This Row],[failurecost50_rating3]]+Table14[[#This Row],[failurecost10_rating3]]</f>
        <v>13376.637248400002</v>
      </c>
      <c r="JR11" s="1">
        <f>Table14[[#This Row],[failurecost500_rating4]]+Table14[[#This Row],[failurecost100_rating4]]+Table14[[#This Row],[failurecost50_rating4]]+Table14[[#This Row],[failurecost10_rating4]]</f>
        <v>4694.2088121699999</v>
      </c>
      <c r="JS11" s="1">
        <f>Table14[[#This Row],[failurecost500_rating4]]+Table14[[#This Row],[failurecost100_rating4]]+Table14[[#This Row],[failurecost50_rating4]]+Table14[[#This Row],[failurecost10_rating4]]</f>
        <v>4694.2088121699999</v>
      </c>
      <c r="JT11" s="1">
        <f>Table14[[#This Row],[failurecost500_rating5]]+Table14[[#This Row],[failurecost100_rating5]]+Table14[[#This Row],[failurecost50_rating5]]+Table14[[#This Row],[failurecost10_rating5]]</f>
        <v>263.44543914210004</v>
      </c>
      <c r="JU11" s="1">
        <f>Table14[[#This Row],[failurecost500_rating5]]+Table14[[#This Row],[failurecost100_rating5]]+Table14[[#This Row],[failurecost50_rating5]]+Table14[[#This Row],[failurecost10_rating5]]</f>
        <v>263.44543914210004</v>
      </c>
    </row>
    <row r="12" spans="1:281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Table14[[#This Row],[Depth10_Soil_vol]]*(9.353+9.027)+(Table14[[#This Row],[Depth10_Soil_vol]]/2.5)*20*1.053+(PI()*Table14[[#This Row],[Depth10_Scour]])*Table14[[#This Row],[DECK_WIDTH_MT_052]]*1.062</f>
        <v>6737.4062355001524</v>
      </c>
      <c r="AR12" s="1">
        <f>Table14[[#This Row],[Depth50_Soil_vol]]*(9.353+9.027)+(Table14[[#This Row],[Depth50_Soil_vol]]/2.5)*20*1.053+(PI()*Table14[[#This Row],[Depth50_Scour]])*Table14[[#This Row],[DECK_WIDTH_MT_052]]*1.062</f>
        <v>7415.8873465101096</v>
      </c>
      <c r="AS12" s="1">
        <f>Table14[[#This Row],[Depth100_Soil_vol]]*(9.353+9.027)+(Table14[[#This Row],[Depth100_Soil_vol]]/2.5)*20*1.053+(PI()*Table14[[#This Row],[Depth100_Scour]])*Table14[[#This Row],[DECK_WIDTH_MT_052]]*1.062</f>
        <v>7705.9386938101106</v>
      </c>
      <c r="AT12" s="1">
        <f>Table14[[#This Row],[Depth500_Soil_vol]]*(9.353+9.027)+(Table14[[#This Row],[Depth500_Soil_vol]]/2.5)*20*1.053+(PI()*Table14[[#This Row],[Depth500_Scour]])*Table14[[#This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>
        <v>12.298697430000001</v>
      </c>
      <c r="GE12" s="1">
        <v>0</v>
      </c>
      <c r="GF12" s="1">
        <v>0</v>
      </c>
      <c r="GG12" s="1">
        <v>0</v>
      </c>
      <c r="GH12" s="1">
        <v>0</v>
      </c>
      <c r="GI12" s="1">
        <v>5</v>
      </c>
      <c r="GJ12" s="1">
        <v>10000</v>
      </c>
      <c r="GK12" s="1">
        <v>10000</v>
      </c>
      <c r="GL12" s="1">
        <v>10000</v>
      </c>
      <c r="GM12" s="1">
        <v>10000</v>
      </c>
      <c r="GN12" s="1">
        <v>10000</v>
      </c>
      <c r="GO12" s="1">
        <v>10000</v>
      </c>
      <c r="GP12" s="1">
        <v>0</v>
      </c>
      <c r="GQ12" s="1">
        <v>0</v>
      </c>
      <c r="GR12" s="1">
        <v>0</v>
      </c>
      <c r="GS12" s="1">
        <f t="shared" si="0"/>
        <v>2.5000000000000001E-2</v>
      </c>
      <c r="GT12" s="1">
        <v>0.01</v>
      </c>
      <c r="GU12" s="1">
        <v>2.5000000000000001E-3</v>
      </c>
      <c r="GV12" s="1">
        <v>4.0000000000000002E-4</v>
      </c>
      <c r="GW12" s="1">
        <v>6.9999999999999999E-6</v>
      </c>
      <c r="GX12" s="1">
        <v>1.8000000000000001E-4</v>
      </c>
      <c r="GY12" s="1">
        <v>1.8000000000000001E-4</v>
      </c>
      <c r="GZ12" s="1">
        <v>3.9999999999999998E-6</v>
      </c>
      <c r="HA12" s="1">
        <v>2.5000000000000002E-6</v>
      </c>
      <c r="HB12" s="1">
        <f t="shared" si="1"/>
        <v>1.2500000000000001E-2</v>
      </c>
      <c r="HC12" s="1">
        <v>6.0000000000000001E-3</v>
      </c>
      <c r="HD12" s="1">
        <v>2.5000000000000001E-3</v>
      </c>
      <c r="HE12" s="1">
        <v>5.0000000000000001E-4</v>
      </c>
      <c r="HF12" s="1">
        <v>7.9999999999999996E-6</v>
      </c>
      <c r="HG12" s="1">
        <v>2.5000000000000001E-4</v>
      </c>
      <c r="HH12" s="1">
        <v>2.5000000000000001E-4</v>
      </c>
      <c r="HI12" s="1">
        <v>5.0000000000000004E-6</v>
      </c>
      <c r="HJ12" s="1">
        <v>3.0000000000000001E-6</v>
      </c>
      <c r="HK12" s="1">
        <v>0.01</v>
      </c>
      <c r="HL12" s="1">
        <v>6.0000000000000001E-3</v>
      </c>
      <c r="HM12" s="1">
        <v>1.2999999999999999E-3</v>
      </c>
      <c r="HN12" s="1">
        <v>5.0000000000000001E-4</v>
      </c>
      <c r="HO12" s="1">
        <v>7.9999999999999996E-6</v>
      </c>
      <c r="HP12" s="1">
        <v>2.5000000000000001E-4</v>
      </c>
      <c r="HQ12" s="1">
        <v>2.5000000000000001E-4</v>
      </c>
      <c r="HR12" s="1">
        <v>5.0000000000000004E-6</v>
      </c>
      <c r="HS12" s="1">
        <v>3.0000000000000001E-6</v>
      </c>
      <c r="HT12" s="1">
        <v>0.01</v>
      </c>
      <c r="HU12" s="1">
        <v>8.0000000000000002E-3</v>
      </c>
      <c r="HV12" s="1">
        <v>1.6000000000000001E-3</v>
      </c>
      <c r="HW12" s="1">
        <v>5.9999999999999995E-4</v>
      </c>
      <c r="HX12" s="1">
        <v>4.0000000000000003E-5</v>
      </c>
      <c r="HY12" s="1">
        <v>4.0000000000000002E-4</v>
      </c>
      <c r="HZ12" s="1">
        <v>4.0000000000000002E-4</v>
      </c>
      <c r="IA12" s="1">
        <v>2.0000000000000002E-5</v>
      </c>
      <c r="IB12" s="1">
        <v>3.9999999999999998E-6</v>
      </c>
      <c r="IC12" s="1">
        <f>Table14[[#This Row],[Total_Cost_MUSD]]*Table14[[#This Row],[prob500-failure_rating1]]*1000000/500</f>
        <v>614.93487149999999</v>
      </c>
      <c r="ID12" s="1">
        <f>Table14[[#This Row],[Total_Cost_MUSD]]*Table14[[#This Row],[prob500-failure_rating2]]*1000000/500</f>
        <v>245.97394860000003</v>
      </c>
      <c r="IE12" s="1">
        <f>Table14[[#This Row],[Total_Cost_MUSD]]*Table14[[#This Row],[prob500-failure_rating3]]*1000000/500</f>
        <v>61.493487150000007</v>
      </c>
      <c r="IF12" s="1">
        <f>Table14[[#This Row],[Total_Cost_MUSD]]*Table14[[#This Row],[prob500-failure_rating4]]*1000000/500</f>
        <v>9.8389579440000006</v>
      </c>
      <c r="IG12" s="1">
        <f>Table14[[#This Row],[Total_Cost_MUSD]]*Table14[[#This Row],[prob500-failure_rating5]]*1000000/500</f>
        <v>0.17218176402000002</v>
      </c>
      <c r="IH12" s="1">
        <f>Table14[[#This Row],[Total_Cost_MUSD]]*Table14[[#This Row],[prob500-failure_rating6]]*1000000/500</f>
        <v>4.4275310748000001</v>
      </c>
      <c r="II12" s="1">
        <f>Table14[[#This Row],[Total_Cost_MUSD]]*Table14[[#This Row],[prob500-failure_rating7]]*1000000/500</f>
        <v>4.4275310748000001</v>
      </c>
      <c r="IJ12" s="1">
        <f>Table14[[#This Row],[Total_Cost_MUSD]]*Table14[[#This Row],[prob500-failure_rating8]]*1000000/500</f>
        <v>9.838957944E-2</v>
      </c>
      <c r="IK12" s="1">
        <f>Table14[[#This Row],[Total_Cost_MUSD]]*Table14[[#This Row],[prob500-failure_rating9]]*1000000/500</f>
        <v>6.1493487149999998E-2</v>
      </c>
      <c r="IL12" s="1">
        <f>Table14[[#This Row],[Total_Cost_MUSD]]*Table14[[#This Row],[prob100-failure_rating1]]*1000000/100</f>
        <v>1537.33717875</v>
      </c>
      <c r="IM12" s="1">
        <f>Table14[[#This Row],[Total_Cost_MUSD]]*Table14[[#This Row],[prob100-failure_rating2]]*1000000/100</f>
        <v>737.92184580000003</v>
      </c>
      <c r="IN12" s="1">
        <f>Table14[[#This Row],[Total_Cost_MUSD]]*Table14[[#This Row],[prob100-failure_rating3]]*1000000/100</f>
        <v>307.46743575000005</v>
      </c>
      <c r="IO12" s="1">
        <f>Table14[[#This Row],[Total_Cost_MUSD]]*Table14[[#This Row],[prob100-failure_rating4]]*1000000/100</f>
        <v>61.493487150000007</v>
      </c>
      <c r="IP12" s="1">
        <f>Table14[[#This Row],[Total_Cost_MUSD]]*Table14[[#This Row],[prob100-failure_rating5]]*1000000/100</f>
        <v>0.98389579440000008</v>
      </c>
      <c r="IQ12" s="1">
        <f>Table14[[#This Row],[Total_Cost_MUSD]]*Table14[[#This Row],[prob100-failure_rating6]]*1000000/100</f>
        <v>30.746743575000004</v>
      </c>
      <c r="IR12" s="1">
        <f>Table14[[#This Row],[Total_Cost_MUSD]]*Table14[[#This Row],[prob100-failure_rating7]]*1000000/100</f>
        <v>30.746743575000004</v>
      </c>
      <c r="IS12" s="1">
        <f>Table14[[#This Row],[Total_Cost_MUSD]]*Table14[[#This Row],[prob100-failure_rating8]]*1000000/100</f>
        <v>0.61493487150000004</v>
      </c>
      <c r="IT12" s="1">
        <f>Table14[[#This Row],[Total_Cost_MUSD]]*Table14[[#This Row],[prob100-failure_rating9]]*1000000/100</f>
        <v>0.36896092290000004</v>
      </c>
      <c r="IU12" s="1">
        <f>Table14[[#This Row],[Total_Cost_MUSD]]*Table14[[#This Row],[prob50-failure_rating1]]*1000000/50</f>
        <v>2459.7394860000004</v>
      </c>
      <c r="IV12" s="1">
        <f>Table14[[#This Row],[Total_Cost_MUSD]]*Table14[[#This Row],[prob50-failure_rating2]]*1000000/50</f>
        <v>1475.8436916000001</v>
      </c>
      <c r="IW12" s="1">
        <f>Table14[[#This Row],[Total_Cost_MUSD]]*Table14[[#This Row],[prob50-failure_rating3]]*1000000/50</f>
        <v>319.76613318000005</v>
      </c>
      <c r="IX12" s="1">
        <f>Table14[[#This Row],[Total_Cost_MUSD]]*Table14[[#This Row],[prob50-failure_rating4]]*1000000/50</f>
        <v>122.98697430000001</v>
      </c>
      <c r="IY12" s="1">
        <f>Table14[[#This Row],[Total_Cost_MUSD]]*Table14[[#This Row],[prob50-failure_rating5]]*1000000/50</f>
        <v>1.9677915888000002</v>
      </c>
      <c r="IZ12" s="1">
        <f>Table14[[#This Row],[Total_Cost_MUSD]]*Table14[[#This Row],[prob50-failure_rating6]]*1000000/50</f>
        <v>61.493487150000007</v>
      </c>
      <c r="JA12" s="1">
        <f>Table14[[#This Row],[Total_Cost_MUSD]]*Table14[[#This Row],[prob50-failure_rating7]]*1000000/50</f>
        <v>61.493487150000007</v>
      </c>
      <c r="JB12" s="1">
        <f>Table14[[#This Row],[Total_Cost_MUSD]]*Table14[[#This Row],[prob50-failure_rating8]]*1000000/50</f>
        <v>1.2298697430000001</v>
      </c>
      <c r="JC12" s="1">
        <f>Table14[[#This Row],[Total_Cost_MUSD]]*Table14[[#This Row],[prob50-failure_rating9]]*1000000/50</f>
        <v>0.73792184580000009</v>
      </c>
      <c r="JD12" s="1">
        <f>Table14[[#This Row],[Total_Cost_MUSD]]*Table14[[#This Row],[prob10-failure_rating1]]*1000000/10</f>
        <v>12298.697430000002</v>
      </c>
      <c r="JE12" s="1">
        <f>Table14[[#This Row],[Total_Cost_MUSD]]*Table14[[#This Row],[prob10-failure_rating2]]*1000000/10</f>
        <v>9838.9579440000016</v>
      </c>
      <c r="JF12" s="1">
        <f>Table14[[#This Row],[Total_Cost_MUSD]]*Table14[[#This Row],[prob10-failure_rating3]]*1000000/10</f>
        <v>1967.7915888</v>
      </c>
      <c r="JG12" s="1">
        <f>Table14[[#This Row],[Total_Cost_MUSD]]*Table14[[#This Row],[prob10-failure_rating4]]*1000000/10</f>
        <v>737.92184579999991</v>
      </c>
      <c r="JH12" s="1">
        <f>Table14[[#This Row],[Total_Cost_MUSD]]*Table14[[#This Row],[prob10-failure_rating5]]*1000000/10</f>
        <v>49.194789720000003</v>
      </c>
      <c r="JI12" s="1">
        <f>Table14[[#This Row],[Total_Cost_MUSD]]*Table14[[#This Row],[prob10-failure_rating6]]*1000000/10</f>
        <v>491.9478972</v>
      </c>
      <c r="JJ12" s="1">
        <f>Table14[[#This Row],[Total_Cost_MUSD]]*Table14[[#This Row],[prob10-failure_rating7]]*1000000/10</f>
        <v>491.9478972</v>
      </c>
      <c r="JK12" s="1">
        <f>Table14[[#This Row],[Total_Cost_MUSD]]*Table14[[#This Row],[prob10-failure_rating8]]*1000000/10</f>
        <v>24.597394860000001</v>
      </c>
      <c r="JL12" s="1">
        <f>Table14[[#This Row],[Total_Cost_MUSD]]*Table14[[#This Row],[prob10-failure_rating9]]*1000000/10</f>
        <v>4.9194789720000003</v>
      </c>
      <c r="JM12" s="1">
        <f>Table14[[#This Row],[failurecost500_rating1]]+Table14[[#This Row],[failurecost100_rating1]]+Table14[[#This Row],[failurecost50_rating1]]+Table14[[#This Row],[failurecost10_rating1]]</f>
        <v>16910.70896625</v>
      </c>
      <c r="JN12" s="1">
        <f>Table14[[#This Row],[failurecost500_rating2]]+Table14[[#This Row],[failurecost100_rating2]]+Table14[[#This Row],[failurecost50_rating2]]+Table14[[#This Row],[failurecost10_rating2]]</f>
        <v>12298.697430000002</v>
      </c>
      <c r="JO12" s="1">
        <f>Table14[[#This Row],[failurecost500_rating2]]+Table14[[#This Row],[failurecost100_rating2]]+Table14[[#This Row],[failurecost50_rating2]]+Table14[[#This Row],[failurecost10_rating2]]</f>
        <v>12298.697430000002</v>
      </c>
      <c r="JP12" s="1">
        <f>Table14[[#This Row],[failurecost500_rating3]]+Table14[[#This Row],[failurecost100_rating3]]+Table14[[#This Row],[failurecost50_rating3]]+Table14[[#This Row],[failurecost10_rating3]]</f>
        <v>2656.51864488</v>
      </c>
      <c r="JQ12" s="1">
        <f>Table14[[#This Row],[failurecost500_rating3]]+Table14[[#This Row],[failurecost100_rating3]]+Table14[[#This Row],[failurecost50_rating3]]+Table14[[#This Row],[failurecost10_rating3]]</f>
        <v>2656.51864488</v>
      </c>
      <c r="JR12" s="1">
        <f>Table14[[#This Row],[failurecost500_rating4]]+Table14[[#This Row],[failurecost100_rating4]]+Table14[[#This Row],[failurecost50_rating4]]+Table14[[#This Row],[failurecost10_rating4]]</f>
        <v>932.24126519399988</v>
      </c>
      <c r="JS12" s="1">
        <f>Table14[[#This Row],[failurecost500_rating4]]+Table14[[#This Row],[failurecost100_rating4]]+Table14[[#This Row],[failurecost50_rating4]]+Table14[[#This Row],[failurecost10_rating4]]</f>
        <v>932.24126519399988</v>
      </c>
      <c r="JT12" s="1">
        <f>Table14[[#This Row],[failurecost500_rating5]]+Table14[[#This Row],[failurecost100_rating5]]+Table14[[#This Row],[failurecost50_rating5]]+Table14[[#This Row],[failurecost10_rating5]]</f>
        <v>52.318658867220002</v>
      </c>
      <c r="JU12" s="1">
        <f>Table14[[#This Row],[failurecost500_rating5]]+Table14[[#This Row],[failurecost100_rating5]]+Table14[[#This Row],[failurecost50_rating5]]+Table14[[#This Row],[failurecost10_rating5]]</f>
        <v>52.318658867220002</v>
      </c>
    </row>
    <row r="13" spans="1:281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Table14[[#This Row],[Depth10_Soil_vol]]*(9.353+9.027)+(Table14[[#This Row],[Depth10_Soil_vol]]/2.5)*20*1.053+(PI()*Table14[[#This Row],[Depth10_Scour]])*Table14[[#This Row],[DECK_WIDTH_MT_052]]*1.062</f>
        <v>6992.666213599131</v>
      </c>
      <c r="AR13" s="1">
        <f>Table14[[#This Row],[Depth50_Soil_vol]]*(9.353+9.027)+(Table14[[#This Row],[Depth50_Soil_vol]]/2.5)*20*1.053+(PI()*Table14[[#This Row],[Depth50_Scour]])*Table14[[#This Row],[DECK_WIDTH_MT_052]]*1.062</f>
        <v>8975.9969727162606</v>
      </c>
      <c r="AS13" s="1">
        <f>Table14[[#This Row],[Depth100_Soil_vol]]*(9.353+9.027)+(Table14[[#This Row],[Depth100_Soil_vol]]/2.5)*20*1.053+(PI()*Table14[[#This Row],[Depth100_Scour]])*Table14[[#This Row],[DECK_WIDTH_MT_052]]*1.062</f>
        <v>9724.0394899581861</v>
      </c>
      <c r="AT13" s="1">
        <f>Table14[[#This Row],[Depth500_Soil_vol]]*(9.353+9.027)+(Table14[[#This Row],[Depth500_Soil_vol]]/2.5)*20*1.053+(PI()*Table14[[#This Row],[Depth500_Scour]])*Table14[[#This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>
        <v>25.743303220000001</v>
      </c>
      <c r="GE13" s="1">
        <v>0</v>
      </c>
      <c r="GF13" s="1">
        <v>0</v>
      </c>
      <c r="GG13" s="1">
        <v>0</v>
      </c>
      <c r="GH13" s="1">
        <v>0</v>
      </c>
      <c r="GI13" s="1">
        <v>5</v>
      </c>
      <c r="GJ13" s="1">
        <v>10000</v>
      </c>
      <c r="GK13" s="1">
        <v>10000</v>
      </c>
      <c r="GL13" s="1">
        <v>10000</v>
      </c>
      <c r="GM13" s="1">
        <v>10000</v>
      </c>
      <c r="GN13" s="1">
        <v>10000</v>
      </c>
      <c r="GO13" s="1">
        <v>10000</v>
      </c>
      <c r="GP13" s="1">
        <v>0</v>
      </c>
      <c r="GQ13" s="1">
        <v>0</v>
      </c>
      <c r="GR13" s="1">
        <v>0</v>
      </c>
      <c r="GS13" s="1">
        <f t="shared" si="0"/>
        <v>2.5000000000000001E-2</v>
      </c>
      <c r="GT13" s="1">
        <v>0.01</v>
      </c>
      <c r="GU13" s="1">
        <v>2.5000000000000001E-3</v>
      </c>
      <c r="GV13" s="1">
        <v>4.0000000000000002E-4</v>
      </c>
      <c r="GW13" s="1">
        <v>6.9999999999999999E-6</v>
      </c>
      <c r="GX13" s="1">
        <v>1.8000000000000001E-4</v>
      </c>
      <c r="GY13" s="1">
        <v>1.8000000000000001E-4</v>
      </c>
      <c r="GZ13" s="1">
        <v>3.9999999999999998E-6</v>
      </c>
      <c r="HA13" s="1">
        <v>2.5000000000000002E-6</v>
      </c>
      <c r="HB13" s="1">
        <f t="shared" si="1"/>
        <v>1.2500000000000001E-2</v>
      </c>
      <c r="HC13" s="1">
        <v>6.0000000000000001E-3</v>
      </c>
      <c r="HD13" s="1">
        <v>2.5000000000000001E-3</v>
      </c>
      <c r="HE13" s="1">
        <v>5.0000000000000001E-4</v>
      </c>
      <c r="HF13" s="1">
        <v>7.9999999999999996E-6</v>
      </c>
      <c r="HG13" s="1">
        <v>2.5000000000000001E-4</v>
      </c>
      <c r="HH13" s="1">
        <v>2.5000000000000001E-4</v>
      </c>
      <c r="HI13" s="1">
        <v>5.0000000000000004E-6</v>
      </c>
      <c r="HJ13" s="1">
        <v>3.0000000000000001E-6</v>
      </c>
      <c r="HK13" s="1">
        <v>0.01</v>
      </c>
      <c r="HL13" s="1">
        <v>6.0000000000000001E-3</v>
      </c>
      <c r="HM13" s="1">
        <v>1.2999999999999999E-3</v>
      </c>
      <c r="HN13" s="1">
        <v>5.0000000000000001E-4</v>
      </c>
      <c r="HO13" s="1">
        <v>7.9999999999999996E-6</v>
      </c>
      <c r="HP13" s="1">
        <v>2.5000000000000001E-4</v>
      </c>
      <c r="HQ13" s="1">
        <v>2.5000000000000001E-4</v>
      </c>
      <c r="HR13" s="1">
        <v>5.0000000000000004E-6</v>
      </c>
      <c r="HS13" s="1">
        <v>3.0000000000000001E-6</v>
      </c>
      <c r="HT13" s="1">
        <v>0.01</v>
      </c>
      <c r="HU13" s="1">
        <v>8.0000000000000002E-3</v>
      </c>
      <c r="HV13" s="1">
        <v>1.6000000000000001E-3</v>
      </c>
      <c r="HW13" s="1">
        <v>5.9999999999999995E-4</v>
      </c>
      <c r="HX13" s="1">
        <v>4.0000000000000003E-5</v>
      </c>
      <c r="HY13" s="1">
        <v>4.0000000000000002E-4</v>
      </c>
      <c r="HZ13" s="1">
        <v>4.0000000000000002E-4</v>
      </c>
      <c r="IA13" s="1">
        <v>2.0000000000000002E-5</v>
      </c>
      <c r="IB13" s="1">
        <v>3.9999999999999998E-6</v>
      </c>
      <c r="IC13" s="1">
        <f>Table14[[#This Row],[Total_Cost_MUSD]]*Table14[[#This Row],[prob500-failure_rating1]]*1000000/500</f>
        <v>1287.1651610000001</v>
      </c>
      <c r="ID13" s="1">
        <f>Table14[[#This Row],[Total_Cost_MUSD]]*Table14[[#This Row],[prob500-failure_rating2]]*1000000/500</f>
        <v>514.86606440000003</v>
      </c>
      <c r="IE13" s="1">
        <f>Table14[[#This Row],[Total_Cost_MUSD]]*Table14[[#This Row],[prob500-failure_rating3]]*1000000/500</f>
        <v>128.71651610000001</v>
      </c>
      <c r="IF13" s="1">
        <f>Table14[[#This Row],[Total_Cost_MUSD]]*Table14[[#This Row],[prob500-failure_rating4]]*1000000/500</f>
        <v>20.594642576000002</v>
      </c>
      <c r="IG13" s="1">
        <f>Table14[[#This Row],[Total_Cost_MUSD]]*Table14[[#This Row],[prob500-failure_rating5]]*1000000/500</f>
        <v>0.36040624507999997</v>
      </c>
      <c r="IH13" s="1">
        <f>Table14[[#This Row],[Total_Cost_MUSD]]*Table14[[#This Row],[prob500-failure_rating6]]*1000000/500</f>
        <v>9.2675891592000017</v>
      </c>
      <c r="II13" s="1">
        <f>Table14[[#This Row],[Total_Cost_MUSD]]*Table14[[#This Row],[prob500-failure_rating7]]*1000000/500</f>
        <v>9.2675891592000017</v>
      </c>
      <c r="IJ13" s="1">
        <f>Table14[[#This Row],[Total_Cost_MUSD]]*Table14[[#This Row],[prob500-failure_rating8]]*1000000/500</f>
        <v>0.20594642576</v>
      </c>
      <c r="IK13" s="1">
        <f>Table14[[#This Row],[Total_Cost_MUSD]]*Table14[[#This Row],[prob500-failure_rating9]]*1000000/500</f>
        <v>0.12871651610000004</v>
      </c>
      <c r="IL13" s="1">
        <f>Table14[[#This Row],[Total_Cost_MUSD]]*Table14[[#This Row],[prob100-failure_rating1]]*1000000/100</f>
        <v>3217.9129025000002</v>
      </c>
      <c r="IM13" s="1">
        <f>Table14[[#This Row],[Total_Cost_MUSD]]*Table14[[#This Row],[prob100-failure_rating2]]*1000000/100</f>
        <v>1544.5981932000004</v>
      </c>
      <c r="IN13" s="1">
        <f>Table14[[#This Row],[Total_Cost_MUSD]]*Table14[[#This Row],[prob100-failure_rating3]]*1000000/100</f>
        <v>643.58258050000006</v>
      </c>
      <c r="IO13" s="1">
        <f>Table14[[#This Row],[Total_Cost_MUSD]]*Table14[[#This Row],[prob100-failure_rating4]]*1000000/100</f>
        <v>128.71651610000001</v>
      </c>
      <c r="IP13" s="1">
        <f>Table14[[#This Row],[Total_Cost_MUSD]]*Table14[[#This Row],[prob100-failure_rating5]]*1000000/100</f>
        <v>2.0594642575999997</v>
      </c>
      <c r="IQ13" s="1">
        <f>Table14[[#This Row],[Total_Cost_MUSD]]*Table14[[#This Row],[prob100-failure_rating6]]*1000000/100</f>
        <v>64.358258050000003</v>
      </c>
      <c r="IR13" s="1">
        <f>Table14[[#This Row],[Total_Cost_MUSD]]*Table14[[#This Row],[prob100-failure_rating7]]*1000000/100</f>
        <v>64.358258050000003</v>
      </c>
      <c r="IS13" s="1">
        <f>Table14[[#This Row],[Total_Cost_MUSD]]*Table14[[#This Row],[prob100-failure_rating8]]*1000000/100</f>
        <v>1.2871651610000003</v>
      </c>
      <c r="IT13" s="1">
        <f>Table14[[#This Row],[Total_Cost_MUSD]]*Table14[[#This Row],[prob100-failure_rating9]]*1000000/100</f>
        <v>0.77229909660000007</v>
      </c>
      <c r="IU13" s="1">
        <f>Table14[[#This Row],[Total_Cost_MUSD]]*Table14[[#This Row],[prob50-failure_rating1]]*1000000/50</f>
        <v>5148.6606440000005</v>
      </c>
      <c r="IV13" s="1">
        <f>Table14[[#This Row],[Total_Cost_MUSD]]*Table14[[#This Row],[prob50-failure_rating2]]*1000000/50</f>
        <v>3089.1963864000008</v>
      </c>
      <c r="IW13" s="1">
        <f>Table14[[#This Row],[Total_Cost_MUSD]]*Table14[[#This Row],[prob50-failure_rating3]]*1000000/50</f>
        <v>669.32588371999998</v>
      </c>
      <c r="IX13" s="1">
        <f>Table14[[#This Row],[Total_Cost_MUSD]]*Table14[[#This Row],[prob50-failure_rating4]]*1000000/50</f>
        <v>257.43303220000001</v>
      </c>
      <c r="IY13" s="1">
        <f>Table14[[#This Row],[Total_Cost_MUSD]]*Table14[[#This Row],[prob50-failure_rating5]]*1000000/50</f>
        <v>4.1189285151999995</v>
      </c>
      <c r="IZ13" s="1">
        <f>Table14[[#This Row],[Total_Cost_MUSD]]*Table14[[#This Row],[prob50-failure_rating6]]*1000000/50</f>
        <v>128.71651610000001</v>
      </c>
      <c r="JA13" s="1">
        <f>Table14[[#This Row],[Total_Cost_MUSD]]*Table14[[#This Row],[prob50-failure_rating7]]*1000000/50</f>
        <v>128.71651610000001</v>
      </c>
      <c r="JB13" s="1">
        <f>Table14[[#This Row],[Total_Cost_MUSD]]*Table14[[#This Row],[prob50-failure_rating8]]*1000000/50</f>
        <v>2.5743303220000007</v>
      </c>
      <c r="JC13" s="1">
        <f>Table14[[#This Row],[Total_Cost_MUSD]]*Table14[[#This Row],[prob50-failure_rating9]]*1000000/50</f>
        <v>1.5445981932000001</v>
      </c>
      <c r="JD13" s="1">
        <f>Table14[[#This Row],[Total_Cost_MUSD]]*Table14[[#This Row],[prob10-failure_rating1]]*1000000/10</f>
        <v>25743.303220000002</v>
      </c>
      <c r="JE13" s="1">
        <f>Table14[[#This Row],[Total_Cost_MUSD]]*Table14[[#This Row],[prob10-failure_rating2]]*1000000/10</f>
        <v>20594.642576000002</v>
      </c>
      <c r="JF13" s="1">
        <f>Table14[[#This Row],[Total_Cost_MUSD]]*Table14[[#This Row],[prob10-failure_rating3]]*1000000/10</f>
        <v>4118.9285152000002</v>
      </c>
      <c r="JG13" s="1">
        <f>Table14[[#This Row],[Total_Cost_MUSD]]*Table14[[#This Row],[prob10-failure_rating4]]*1000000/10</f>
        <v>1544.5981932</v>
      </c>
      <c r="JH13" s="1">
        <f>Table14[[#This Row],[Total_Cost_MUSD]]*Table14[[#This Row],[prob10-failure_rating5]]*1000000/10</f>
        <v>102.97321288000003</v>
      </c>
      <c r="JI13" s="1">
        <f>Table14[[#This Row],[Total_Cost_MUSD]]*Table14[[#This Row],[prob10-failure_rating6]]*1000000/10</f>
        <v>1029.7321288000001</v>
      </c>
      <c r="JJ13" s="1">
        <f>Table14[[#This Row],[Total_Cost_MUSD]]*Table14[[#This Row],[prob10-failure_rating7]]*1000000/10</f>
        <v>1029.7321288000001</v>
      </c>
      <c r="JK13" s="1">
        <f>Table14[[#This Row],[Total_Cost_MUSD]]*Table14[[#This Row],[prob10-failure_rating8]]*1000000/10</f>
        <v>51.486606440000017</v>
      </c>
      <c r="JL13" s="1">
        <f>Table14[[#This Row],[Total_Cost_MUSD]]*Table14[[#This Row],[prob10-failure_rating9]]*1000000/10</f>
        <v>10.297321287999999</v>
      </c>
      <c r="JM13" s="1">
        <f>Table14[[#This Row],[failurecost500_rating1]]+Table14[[#This Row],[failurecost100_rating1]]+Table14[[#This Row],[failurecost50_rating1]]+Table14[[#This Row],[failurecost10_rating1]]</f>
        <v>35397.041927500002</v>
      </c>
      <c r="JN13" s="1">
        <f>Table14[[#This Row],[failurecost500_rating2]]+Table14[[#This Row],[failurecost100_rating2]]+Table14[[#This Row],[failurecost50_rating2]]+Table14[[#This Row],[failurecost10_rating2]]</f>
        <v>25743.303220000002</v>
      </c>
      <c r="JO13" s="1">
        <f>Table14[[#This Row],[failurecost500_rating2]]+Table14[[#This Row],[failurecost100_rating2]]+Table14[[#This Row],[failurecost50_rating2]]+Table14[[#This Row],[failurecost10_rating2]]</f>
        <v>25743.303220000002</v>
      </c>
      <c r="JP13" s="1">
        <f>Table14[[#This Row],[failurecost500_rating3]]+Table14[[#This Row],[failurecost100_rating3]]+Table14[[#This Row],[failurecost50_rating3]]+Table14[[#This Row],[failurecost10_rating3]]</f>
        <v>5560.5534955200001</v>
      </c>
      <c r="JQ13" s="1">
        <f>Table14[[#This Row],[failurecost500_rating3]]+Table14[[#This Row],[failurecost100_rating3]]+Table14[[#This Row],[failurecost50_rating3]]+Table14[[#This Row],[failurecost10_rating3]]</f>
        <v>5560.5534955200001</v>
      </c>
      <c r="JR13" s="1">
        <f>Table14[[#This Row],[failurecost500_rating4]]+Table14[[#This Row],[failurecost100_rating4]]+Table14[[#This Row],[failurecost50_rating4]]+Table14[[#This Row],[failurecost10_rating4]]</f>
        <v>1951.3423840760001</v>
      </c>
      <c r="JS13" s="1">
        <f>Table14[[#This Row],[failurecost500_rating4]]+Table14[[#This Row],[failurecost100_rating4]]+Table14[[#This Row],[failurecost50_rating4]]+Table14[[#This Row],[failurecost10_rating4]]</f>
        <v>1951.3423840760001</v>
      </c>
      <c r="JT13" s="1">
        <f>Table14[[#This Row],[failurecost500_rating5]]+Table14[[#This Row],[failurecost100_rating5]]+Table14[[#This Row],[failurecost50_rating5]]+Table14[[#This Row],[failurecost10_rating5]]</f>
        <v>109.51201189788003</v>
      </c>
      <c r="JU13" s="1">
        <f>Table14[[#This Row],[failurecost500_rating5]]+Table14[[#This Row],[failurecost100_rating5]]+Table14[[#This Row],[failurecost50_rating5]]+Table14[[#This Row],[failurecost10_rating5]]</f>
        <v>109.51201189788003</v>
      </c>
    </row>
    <row r="14" spans="1:281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Table14[[#This Row],[Depth10_Soil_vol]]*(9.353+9.027)+(Table14[[#This Row],[Depth10_Soil_vol]]/2.5)*20*1.053+(PI()*Table14[[#This Row],[Depth10_Scour]])*Table14[[#This Row],[DECK_WIDTH_MT_052]]*1.062</f>
        <v>13653.389769605932</v>
      </c>
      <c r="AR14" s="1">
        <f>Table14[[#This Row],[Depth50_Soil_vol]]*(9.353+9.027)+(Table14[[#This Row],[Depth50_Soil_vol]]/2.5)*20*1.053+(PI()*Table14[[#This Row],[Depth50_Scour]])*Table14[[#This Row],[DECK_WIDTH_MT_052]]*1.062</f>
        <v>14501.430182908143</v>
      </c>
      <c r="AS14" s="1">
        <f>Table14[[#This Row],[Depth100_Soil_vol]]*(9.353+9.027)+(Table14[[#This Row],[Depth100_Soil_vol]]/2.5)*20*1.053+(PI()*Table14[[#This Row],[Depth100_Scour]])*Table14[[#This Row],[DECK_WIDTH_MT_052]]*1.062</f>
        <v>14880.875971506524</v>
      </c>
      <c r="AT14" s="1">
        <f>Table14[[#This Row],[Depth500_Soil_vol]]*(9.353+9.027)+(Table14[[#This Row],[Depth500_Soil_vol]]/2.5)*20*1.053+(PI()*Table14[[#This Row],[Depth500_Scour]])*Table14[[#This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>
        <v>83.517219859999997</v>
      </c>
      <c r="GE14" s="1">
        <v>0</v>
      </c>
      <c r="GF14" s="1">
        <v>0</v>
      </c>
      <c r="GG14" s="1">
        <v>0</v>
      </c>
      <c r="GH14" s="1">
        <v>0</v>
      </c>
      <c r="GI14" s="1">
        <v>9</v>
      </c>
      <c r="GJ14" s="1">
        <v>10000</v>
      </c>
      <c r="GK14" s="1">
        <v>10000</v>
      </c>
      <c r="GL14" s="1">
        <v>10000</v>
      </c>
      <c r="GM14" s="1">
        <v>10000</v>
      </c>
      <c r="GN14" s="1">
        <v>10000</v>
      </c>
      <c r="GO14" s="1">
        <v>10000</v>
      </c>
      <c r="GP14" s="1">
        <v>0</v>
      </c>
      <c r="GQ14" s="1">
        <v>0</v>
      </c>
      <c r="GR14" s="1">
        <v>0</v>
      </c>
      <c r="GS14" s="1">
        <f t="shared" si="0"/>
        <v>2.5000000000000001E-2</v>
      </c>
      <c r="GT14" s="1">
        <v>0.01</v>
      </c>
      <c r="GU14" s="1">
        <v>2.5000000000000001E-3</v>
      </c>
      <c r="GV14" s="1">
        <v>4.0000000000000002E-4</v>
      </c>
      <c r="GW14" s="1">
        <v>6.9999999999999999E-6</v>
      </c>
      <c r="GX14" s="1">
        <v>1.8000000000000001E-4</v>
      </c>
      <c r="GY14" s="1">
        <v>1.8000000000000001E-4</v>
      </c>
      <c r="GZ14" s="1">
        <v>3.9999999999999998E-6</v>
      </c>
      <c r="HA14" s="1">
        <v>2.5000000000000002E-6</v>
      </c>
      <c r="HB14" s="1">
        <f t="shared" si="1"/>
        <v>1.2500000000000001E-2</v>
      </c>
      <c r="HC14" s="1">
        <v>6.0000000000000001E-3</v>
      </c>
      <c r="HD14" s="1">
        <v>2.5000000000000001E-3</v>
      </c>
      <c r="HE14" s="1">
        <v>5.0000000000000001E-4</v>
      </c>
      <c r="HF14" s="1">
        <v>7.9999999999999996E-6</v>
      </c>
      <c r="HG14" s="1">
        <v>2.5000000000000001E-4</v>
      </c>
      <c r="HH14" s="1">
        <v>2.5000000000000001E-4</v>
      </c>
      <c r="HI14" s="1">
        <v>5.0000000000000004E-6</v>
      </c>
      <c r="HJ14" s="1">
        <v>3.0000000000000001E-6</v>
      </c>
      <c r="HK14" s="1">
        <v>0.01</v>
      </c>
      <c r="HL14" s="1">
        <v>6.0000000000000001E-3</v>
      </c>
      <c r="HM14" s="1">
        <v>1.2999999999999999E-3</v>
      </c>
      <c r="HN14" s="1">
        <v>5.0000000000000001E-4</v>
      </c>
      <c r="HO14" s="1">
        <v>7.9999999999999996E-6</v>
      </c>
      <c r="HP14" s="1">
        <v>2.5000000000000001E-4</v>
      </c>
      <c r="HQ14" s="1">
        <v>2.5000000000000001E-4</v>
      </c>
      <c r="HR14" s="1">
        <v>5.0000000000000004E-6</v>
      </c>
      <c r="HS14" s="1">
        <v>3.0000000000000001E-6</v>
      </c>
      <c r="HT14" s="1">
        <v>0.01</v>
      </c>
      <c r="HU14" s="1">
        <v>8.0000000000000002E-3</v>
      </c>
      <c r="HV14" s="1">
        <v>1.6000000000000001E-3</v>
      </c>
      <c r="HW14" s="1">
        <v>5.9999999999999995E-4</v>
      </c>
      <c r="HX14" s="1">
        <v>4.0000000000000003E-5</v>
      </c>
      <c r="HY14" s="1">
        <v>4.0000000000000002E-4</v>
      </c>
      <c r="HZ14" s="1">
        <v>4.0000000000000002E-4</v>
      </c>
      <c r="IA14" s="1">
        <v>2.0000000000000002E-5</v>
      </c>
      <c r="IB14" s="1">
        <v>3.9999999999999998E-6</v>
      </c>
      <c r="IC14" s="1">
        <f>Table14[[#This Row],[Total_Cost_MUSD]]*Table14[[#This Row],[prob500-failure_rating1]]*1000000/500</f>
        <v>4175.8609930000002</v>
      </c>
      <c r="ID14" s="1">
        <f>Table14[[#This Row],[Total_Cost_MUSD]]*Table14[[#This Row],[prob500-failure_rating2]]*1000000/500</f>
        <v>1670.3443972</v>
      </c>
      <c r="IE14" s="1">
        <f>Table14[[#This Row],[Total_Cost_MUSD]]*Table14[[#This Row],[prob500-failure_rating3]]*1000000/500</f>
        <v>417.5860993</v>
      </c>
      <c r="IF14" s="1">
        <f>Table14[[#This Row],[Total_Cost_MUSD]]*Table14[[#This Row],[prob500-failure_rating4]]*1000000/500</f>
        <v>66.813775888000009</v>
      </c>
      <c r="IG14" s="1">
        <f>Table14[[#This Row],[Total_Cost_MUSD]]*Table14[[#This Row],[prob500-failure_rating5]]*1000000/500</f>
        <v>1.1692410780399998</v>
      </c>
      <c r="IH14" s="1">
        <f>Table14[[#This Row],[Total_Cost_MUSD]]*Table14[[#This Row],[prob500-failure_rating6]]*1000000/500</f>
        <v>30.066199149600003</v>
      </c>
      <c r="II14" s="1">
        <f>Table14[[#This Row],[Total_Cost_MUSD]]*Table14[[#This Row],[prob500-failure_rating7]]*1000000/500</f>
        <v>30.066199149600003</v>
      </c>
      <c r="IJ14" s="1">
        <f>Table14[[#This Row],[Total_Cost_MUSD]]*Table14[[#This Row],[prob500-failure_rating8]]*1000000/500</f>
        <v>0.66813775887999993</v>
      </c>
      <c r="IK14" s="1">
        <f>Table14[[#This Row],[Total_Cost_MUSD]]*Table14[[#This Row],[prob500-failure_rating9]]*1000000/500</f>
        <v>0.41758609930000007</v>
      </c>
      <c r="IL14" s="1">
        <f>Table14[[#This Row],[Total_Cost_MUSD]]*Table14[[#This Row],[prob100-failure_rating1]]*1000000/100</f>
        <v>10439.6524825</v>
      </c>
      <c r="IM14" s="1">
        <f>Table14[[#This Row],[Total_Cost_MUSD]]*Table14[[#This Row],[prob100-failure_rating2]]*1000000/100</f>
        <v>5011.0331915999996</v>
      </c>
      <c r="IN14" s="1">
        <f>Table14[[#This Row],[Total_Cost_MUSD]]*Table14[[#This Row],[prob100-failure_rating3]]*1000000/100</f>
        <v>2087.9304965000001</v>
      </c>
      <c r="IO14" s="1">
        <f>Table14[[#This Row],[Total_Cost_MUSD]]*Table14[[#This Row],[prob100-failure_rating4]]*1000000/100</f>
        <v>417.58609930000006</v>
      </c>
      <c r="IP14" s="1">
        <f>Table14[[#This Row],[Total_Cost_MUSD]]*Table14[[#This Row],[prob100-failure_rating5]]*1000000/100</f>
        <v>6.6813775888000002</v>
      </c>
      <c r="IQ14" s="1">
        <f>Table14[[#This Row],[Total_Cost_MUSD]]*Table14[[#This Row],[prob100-failure_rating6]]*1000000/100</f>
        <v>208.79304965000003</v>
      </c>
      <c r="IR14" s="1">
        <f>Table14[[#This Row],[Total_Cost_MUSD]]*Table14[[#This Row],[prob100-failure_rating7]]*1000000/100</f>
        <v>208.79304965000003</v>
      </c>
      <c r="IS14" s="1">
        <f>Table14[[#This Row],[Total_Cost_MUSD]]*Table14[[#This Row],[prob100-failure_rating8]]*1000000/100</f>
        <v>4.1758609930000006</v>
      </c>
      <c r="IT14" s="1">
        <f>Table14[[#This Row],[Total_Cost_MUSD]]*Table14[[#This Row],[prob100-failure_rating9]]*1000000/100</f>
        <v>2.5055165958000001</v>
      </c>
      <c r="IU14" s="1">
        <f>Table14[[#This Row],[Total_Cost_MUSD]]*Table14[[#This Row],[prob50-failure_rating1]]*1000000/50</f>
        <v>16703.443972000001</v>
      </c>
      <c r="IV14" s="1">
        <f>Table14[[#This Row],[Total_Cost_MUSD]]*Table14[[#This Row],[prob50-failure_rating2]]*1000000/50</f>
        <v>10022.066383199999</v>
      </c>
      <c r="IW14" s="1">
        <f>Table14[[#This Row],[Total_Cost_MUSD]]*Table14[[#This Row],[prob50-failure_rating3]]*1000000/50</f>
        <v>2171.44771636</v>
      </c>
      <c r="IX14" s="1">
        <f>Table14[[#This Row],[Total_Cost_MUSD]]*Table14[[#This Row],[prob50-failure_rating4]]*1000000/50</f>
        <v>835.17219860000012</v>
      </c>
      <c r="IY14" s="1">
        <f>Table14[[#This Row],[Total_Cost_MUSD]]*Table14[[#This Row],[prob50-failure_rating5]]*1000000/50</f>
        <v>13.3627551776</v>
      </c>
      <c r="IZ14" s="1">
        <f>Table14[[#This Row],[Total_Cost_MUSD]]*Table14[[#This Row],[prob50-failure_rating6]]*1000000/50</f>
        <v>417.58609930000006</v>
      </c>
      <c r="JA14" s="1">
        <f>Table14[[#This Row],[Total_Cost_MUSD]]*Table14[[#This Row],[prob50-failure_rating7]]*1000000/50</f>
        <v>417.58609930000006</v>
      </c>
      <c r="JB14" s="1">
        <f>Table14[[#This Row],[Total_Cost_MUSD]]*Table14[[#This Row],[prob50-failure_rating8]]*1000000/50</f>
        <v>8.3517219860000012</v>
      </c>
      <c r="JC14" s="1">
        <f>Table14[[#This Row],[Total_Cost_MUSD]]*Table14[[#This Row],[prob50-failure_rating9]]*1000000/50</f>
        <v>5.0110331916000002</v>
      </c>
      <c r="JD14" s="1">
        <f>Table14[[#This Row],[Total_Cost_MUSD]]*Table14[[#This Row],[prob10-failure_rating1]]*1000000/10</f>
        <v>83517.219859999997</v>
      </c>
      <c r="JE14" s="1">
        <f>Table14[[#This Row],[Total_Cost_MUSD]]*Table14[[#This Row],[prob10-failure_rating2]]*1000000/10</f>
        <v>66813.775888000004</v>
      </c>
      <c r="JF14" s="1">
        <f>Table14[[#This Row],[Total_Cost_MUSD]]*Table14[[#This Row],[prob10-failure_rating3]]*1000000/10</f>
        <v>13362.7551776</v>
      </c>
      <c r="JG14" s="1">
        <f>Table14[[#This Row],[Total_Cost_MUSD]]*Table14[[#This Row],[prob10-failure_rating4]]*1000000/10</f>
        <v>5011.0331915999996</v>
      </c>
      <c r="JH14" s="1">
        <f>Table14[[#This Row],[Total_Cost_MUSD]]*Table14[[#This Row],[prob10-failure_rating5]]*1000000/10</f>
        <v>334.06887944000005</v>
      </c>
      <c r="JI14" s="1">
        <f>Table14[[#This Row],[Total_Cost_MUSD]]*Table14[[#This Row],[prob10-failure_rating6]]*1000000/10</f>
        <v>3340.6887944</v>
      </c>
      <c r="JJ14" s="1">
        <f>Table14[[#This Row],[Total_Cost_MUSD]]*Table14[[#This Row],[prob10-failure_rating7]]*1000000/10</f>
        <v>3340.6887944</v>
      </c>
      <c r="JK14" s="1">
        <f>Table14[[#This Row],[Total_Cost_MUSD]]*Table14[[#This Row],[prob10-failure_rating8]]*1000000/10</f>
        <v>167.03443972000002</v>
      </c>
      <c r="JL14" s="1">
        <f>Table14[[#This Row],[Total_Cost_MUSD]]*Table14[[#This Row],[prob10-failure_rating9]]*1000000/10</f>
        <v>33.406887943999998</v>
      </c>
      <c r="JM14" s="1">
        <f>Table14[[#This Row],[failurecost500_rating1]]+Table14[[#This Row],[failurecost100_rating1]]+Table14[[#This Row],[failurecost50_rating1]]+Table14[[#This Row],[failurecost10_rating1]]</f>
        <v>114836.17730749999</v>
      </c>
      <c r="JN14" s="1">
        <f>Table14[[#This Row],[failurecost500_rating2]]+Table14[[#This Row],[failurecost100_rating2]]+Table14[[#This Row],[failurecost50_rating2]]+Table14[[#This Row],[failurecost10_rating2]]</f>
        <v>83517.219860000012</v>
      </c>
      <c r="JO14" s="1">
        <f>Table14[[#This Row],[failurecost500_rating2]]+Table14[[#This Row],[failurecost100_rating2]]+Table14[[#This Row],[failurecost50_rating2]]+Table14[[#This Row],[failurecost10_rating2]]</f>
        <v>83517.219860000012</v>
      </c>
      <c r="JP14" s="1">
        <f>Table14[[#This Row],[failurecost500_rating3]]+Table14[[#This Row],[failurecost100_rating3]]+Table14[[#This Row],[failurecost50_rating3]]+Table14[[#This Row],[failurecost10_rating3]]</f>
        <v>18039.719489759998</v>
      </c>
      <c r="JQ14" s="1">
        <f>Table14[[#This Row],[failurecost500_rating3]]+Table14[[#This Row],[failurecost100_rating3]]+Table14[[#This Row],[failurecost50_rating3]]+Table14[[#This Row],[failurecost10_rating3]]</f>
        <v>18039.719489759998</v>
      </c>
      <c r="JR14" s="1">
        <f>Table14[[#This Row],[failurecost500_rating4]]+Table14[[#This Row],[failurecost100_rating4]]+Table14[[#This Row],[failurecost50_rating4]]+Table14[[#This Row],[failurecost10_rating4]]</f>
        <v>6330.6052653879997</v>
      </c>
      <c r="JS14" s="1">
        <f>Table14[[#This Row],[failurecost500_rating4]]+Table14[[#This Row],[failurecost100_rating4]]+Table14[[#This Row],[failurecost50_rating4]]+Table14[[#This Row],[failurecost10_rating4]]</f>
        <v>6330.6052653879997</v>
      </c>
      <c r="JT14" s="1">
        <f>Table14[[#This Row],[failurecost500_rating5]]+Table14[[#This Row],[failurecost100_rating5]]+Table14[[#This Row],[failurecost50_rating5]]+Table14[[#This Row],[failurecost10_rating5]]</f>
        <v>355.28225328444006</v>
      </c>
      <c r="JU14" s="1">
        <f>Table14[[#This Row],[failurecost500_rating5]]+Table14[[#This Row],[failurecost100_rating5]]+Table14[[#This Row],[failurecost50_rating5]]+Table14[[#This Row],[failurecost10_rating5]]</f>
        <v>355.28225328444006</v>
      </c>
    </row>
    <row r="15" spans="1:281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Table14[[#This Row],[Depth10_Soil_vol]]*(9.353+9.027)+(Table14[[#This Row],[Depth10_Soil_vol]]/2.5)*20*1.053+(PI()*Table14[[#This Row],[Depth10_Scour]])*Table14[[#This Row],[DECK_WIDTH_MT_052]]*1.062</f>
        <v>9589.4503766877388</v>
      </c>
      <c r="AR15" s="1">
        <f>Table14[[#This Row],[Depth50_Soil_vol]]*(9.353+9.027)+(Table14[[#This Row],[Depth50_Soil_vol]]/2.5)*20*1.053+(PI()*Table14[[#This Row],[Depth50_Scour]])*Table14[[#This Row],[DECK_WIDTH_MT_052]]*1.062</f>
        <v>10089.839206196759</v>
      </c>
      <c r="AS15" s="1">
        <f>Table14[[#This Row],[Depth100_Soil_vol]]*(9.353+9.027)+(Table14[[#This Row],[Depth100_Soil_vol]]/2.5)*20*1.053+(PI()*Table14[[#This Row],[Depth100_Scour]])*Table14[[#This Row],[DECK_WIDTH_MT_052]]*1.062</f>
        <v>10312.30726316059</v>
      </c>
      <c r="AT15" s="1">
        <f>Table14[[#This Row],[Depth500_Soil_vol]]*(9.353+9.027)+(Table14[[#This Row],[Depth500_Soil_vol]]/2.5)*20*1.053+(PI()*Table14[[#This Row],[Depth500_Scour]])*Table14[[#This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>
        <v>51.219814960000001</v>
      </c>
      <c r="GE15" s="1">
        <v>0</v>
      </c>
      <c r="GF15" s="1">
        <v>0.25</v>
      </c>
      <c r="GG15" s="1">
        <v>0.5</v>
      </c>
      <c r="GH15" s="1">
        <v>0.75</v>
      </c>
      <c r="GI15" s="1">
        <v>8</v>
      </c>
      <c r="GJ15" s="1">
        <v>10000</v>
      </c>
      <c r="GK15" s="1">
        <v>10000</v>
      </c>
      <c r="GL15" s="1">
        <v>10000</v>
      </c>
      <c r="GM15" s="1">
        <v>10000</v>
      </c>
      <c r="GN15" s="1">
        <v>10000</v>
      </c>
      <c r="GO15" s="1">
        <v>10000</v>
      </c>
      <c r="GP15" s="1">
        <v>0</v>
      </c>
      <c r="GQ15" s="1">
        <v>0</v>
      </c>
      <c r="GR15" s="1">
        <v>0</v>
      </c>
      <c r="GS15" s="1">
        <f t="shared" si="0"/>
        <v>2.5000000000000001E-2</v>
      </c>
      <c r="GT15" s="1">
        <v>0.01</v>
      </c>
      <c r="GU15" s="1">
        <v>2.5000000000000001E-3</v>
      </c>
      <c r="GV15" s="1">
        <v>4.0000000000000002E-4</v>
      </c>
      <c r="GW15" s="1">
        <v>6.9999999999999999E-6</v>
      </c>
      <c r="GX15" s="1">
        <v>1.8000000000000001E-4</v>
      </c>
      <c r="GY15" s="1">
        <v>1.8000000000000001E-4</v>
      </c>
      <c r="GZ15" s="1">
        <v>3.9999999999999998E-6</v>
      </c>
      <c r="HA15" s="1">
        <v>2.5000000000000002E-6</v>
      </c>
      <c r="HB15" s="1">
        <f t="shared" si="1"/>
        <v>1.2500000000000001E-2</v>
      </c>
      <c r="HC15" s="1">
        <v>6.0000000000000001E-3</v>
      </c>
      <c r="HD15" s="1">
        <v>2.5000000000000001E-3</v>
      </c>
      <c r="HE15" s="1">
        <v>5.0000000000000001E-4</v>
      </c>
      <c r="HF15" s="1">
        <v>7.9999999999999996E-6</v>
      </c>
      <c r="HG15" s="1">
        <v>2.5000000000000001E-4</v>
      </c>
      <c r="HH15" s="1">
        <v>2.5000000000000001E-4</v>
      </c>
      <c r="HI15" s="1">
        <v>5.0000000000000004E-6</v>
      </c>
      <c r="HJ15" s="1">
        <v>3.0000000000000001E-6</v>
      </c>
      <c r="HK15" s="1">
        <v>0.01</v>
      </c>
      <c r="HL15" s="1">
        <v>6.0000000000000001E-3</v>
      </c>
      <c r="HM15" s="1">
        <v>1.2999999999999999E-3</v>
      </c>
      <c r="HN15" s="1">
        <v>5.0000000000000001E-4</v>
      </c>
      <c r="HO15" s="1">
        <v>7.9999999999999996E-6</v>
      </c>
      <c r="HP15" s="1">
        <v>2.5000000000000001E-4</v>
      </c>
      <c r="HQ15" s="1">
        <v>2.5000000000000001E-4</v>
      </c>
      <c r="HR15" s="1">
        <v>5.0000000000000004E-6</v>
      </c>
      <c r="HS15" s="1">
        <v>3.0000000000000001E-6</v>
      </c>
      <c r="HT15" s="1">
        <v>0.01</v>
      </c>
      <c r="HU15" s="1">
        <v>8.0000000000000002E-3</v>
      </c>
      <c r="HV15" s="1">
        <v>1.6000000000000001E-3</v>
      </c>
      <c r="HW15" s="1">
        <v>5.9999999999999995E-4</v>
      </c>
      <c r="HX15" s="1">
        <v>4.0000000000000003E-5</v>
      </c>
      <c r="HY15" s="1">
        <v>4.0000000000000002E-4</v>
      </c>
      <c r="HZ15" s="1">
        <v>4.0000000000000002E-4</v>
      </c>
      <c r="IA15" s="1">
        <v>2.0000000000000002E-5</v>
      </c>
      <c r="IB15" s="1">
        <v>3.9999999999999998E-6</v>
      </c>
      <c r="IC15" s="1">
        <f>Table14[[#This Row],[Total_Cost_MUSD]]*Table14[[#This Row],[prob500-failure_rating1]]*1000000/500</f>
        <v>2560.9907480000002</v>
      </c>
      <c r="ID15" s="1">
        <f>Table14[[#This Row],[Total_Cost_MUSD]]*Table14[[#This Row],[prob500-failure_rating2]]*1000000/500</f>
        <v>1024.3962991999999</v>
      </c>
      <c r="IE15" s="1">
        <f>Table14[[#This Row],[Total_Cost_MUSD]]*Table14[[#This Row],[prob500-failure_rating3]]*1000000/500</f>
        <v>256.09907479999998</v>
      </c>
      <c r="IF15" s="1">
        <f>Table14[[#This Row],[Total_Cost_MUSD]]*Table14[[#This Row],[prob500-failure_rating4]]*1000000/500</f>
        <v>40.975851968000001</v>
      </c>
      <c r="IG15" s="1">
        <f>Table14[[#This Row],[Total_Cost_MUSD]]*Table14[[#This Row],[prob500-failure_rating5]]*1000000/500</f>
        <v>0.71707740943999998</v>
      </c>
      <c r="IH15" s="1">
        <f>Table14[[#This Row],[Total_Cost_MUSD]]*Table14[[#This Row],[prob500-failure_rating6]]*1000000/500</f>
        <v>18.439133385599998</v>
      </c>
      <c r="II15" s="1">
        <f>Table14[[#This Row],[Total_Cost_MUSD]]*Table14[[#This Row],[prob500-failure_rating7]]*1000000/500</f>
        <v>18.439133385599998</v>
      </c>
      <c r="IJ15" s="1">
        <f>Table14[[#This Row],[Total_Cost_MUSD]]*Table14[[#This Row],[prob500-failure_rating8]]*1000000/500</f>
        <v>0.40975851967999993</v>
      </c>
      <c r="IK15" s="1">
        <f>Table14[[#This Row],[Total_Cost_MUSD]]*Table14[[#This Row],[prob500-failure_rating9]]*1000000/500</f>
        <v>0.25609907480000005</v>
      </c>
      <c r="IL15" s="1">
        <f>Table14[[#This Row],[Total_Cost_MUSD]]*Table14[[#This Row],[prob100-failure_rating1]]*1000000/100</f>
        <v>6402.4768700000004</v>
      </c>
      <c r="IM15" s="1">
        <f>Table14[[#This Row],[Total_Cost_MUSD]]*Table14[[#This Row],[prob100-failure_rating2]]*1000000/100</f>
        <v>3073.1888976</v>
      </c>
      <c r="IN15" s="1">
        <f>Table14[[#This Row],[Total_Cost_MUSD]]*Table14[[#This Row],[prob100-failure_rating3]]*1000000/100</f>
        <v>1280.4953740000001</v>
      </c>
      <c r="IO15" s="1">
        <f>Table14[[#This Row],[Total_Cost_MUSD]]*Table14[[#This Row],[prob100-failure_rating4]]*1000000/100</f>
        <v>256.09907479999998</v>
      </c>
      <c r="IP15" s="1">
        <f>Table14[[#This Row],[Total_Cost_MUSD]]*Table14[[#This Row],[prob100-failure_rating5]]*1000000/100</f>
        <v>4.0975851967999999</v>
      </c>
      <c r="IQ15" s="1">
        <f>Table14[[#This Row],[Total_Cost_MUSD]]*Table14[[#This Row],[prob100-failure_rating6]]*1000000/100</f>
        <v>128.04953739999999</v>
      </c>
      <c r="IR15" s="1">
        <f>Table14[[#This Row],[Total_Cost_MUSD]]*Table14[[#This Row],[prob100-failure_rating7]]*1000000/100</f>
        <v>128.04953739999999</v>
      </c>
      <c r="IS15" s="1">
        <f>Table14[[#This Row],[Total_Cost_MUSD]]*Table14[[#This Row],[prob100-failure_rating8]]*1000000/100</f>
        <v>2.5609907480000005</v>
      </c>
      <c r="IT15" s="1">
        <f>Table14[[#This Row],[Total_Cost_MUSD]]*Table14[[#This Row],[prob100-failure_rating9]]*1000000/100</f>
        <v>1.5365944487999998</v>
      </c>
      <c r="IU15" s="1">
        <f>Table14[[#This Row],[Total_Cost_MUSD]]*Table14[[#This Row],[prob50-failure_rating1]]*1000000/50</f>
        <v>10243.962992000001</v>
      </c>
      <c r="IV15" s="1">
        <f>Table14[[#This Row],[Total_Cost_MUSD]]*Table14[[#This Row],[prob50-failure_rating2]]*1000000/50</f>
        <v>6146.3777952</v>
      </c>
      <c r="IW15" s="1">
        <f>Table14[[#This Row],[Total_Cost_MUSD]]*Table14[[#This Row],[prob50-failure_rating3]]*1000000/50</f>
        <v>1331.71518896</v>
      </c>
      <c r="IX15" s="1">
        <f>Table14[[#This Row],[Total_Cost_MUSD]]*Table14[[#This Row],[prob50-failure_rating4]]*1000000/50</f>
        <v>512.19814959999997</v>
      </c>
      <c r="IY15" s="1">
        <f>Table14[[#This Row],[Total_Cost_MUSD]]*Table14[[#This Row],[prob50-failure_rating5]]*1000000/50</f>
        <v>8.1951703935999998</v>
      </c>
      <c r="IZ15" s="1">
        <f>Table14[[#This Row],[Total_Cost_MUSD]]*Table14[[#This Row],[prob50-failure_rating6]]*1000000/50</f>
        <v>256.09907479999998</v>
      </c>
      <c r="JA15" s="1">
        <f>Table14[[#This Row],[Total_Cost_MUSD]]*Table14[[#This Row],[prob50-failure_rating7]]*1000000/50</f>
        <v>256.09907479999998</v>
      </c>
      <c r="JB15" s="1">
        <f>Table14[[#This Row],[Total_Cost_MUSD]]*Table14[[#This Row],[prob50-failure_rating8]]*1000000/50</f>
        <v>5.121981496000001</v>
      </c>
      <c r="JC15" s="1">
        <f>Table14[[#This Row],[Total_Cost_MUSD]]*Table14[[#This Row],[prob50-failure_rating9]]*1000000/50</f>
        <v>3.0731888975999997</v>
      </c>
      <c r="JD15" s="1">
        <f>Table14[[#This Row],[Total_Cost_MUSD]]*Table14[[#This Row],[prob10-failure_rating1]]*1000000/10</f>
        <v>51219.814960000003</v>
      </c>
      <c r="JE15" s="1">
        <f>Table14[[#This Row],[Total_Cost_MUSD]]*Table14[[#This Row],[prob10-failure_rating2]]*1000000/10</f>
        <v>40975.851967999995</v>
      </c>
      <c r="JF15" s="1">
        <f>Table14[[#This Row],[Total_Cost_MUSD]]*Table14[[#This Row],[prob10-failure_rating3]]*1000000/10</f>
        <v>8195.1703936000013</v>
      </c>
      <c r="JG15" s="1">
        <f>Table14[[#This Row],[Total_Cost_MUSD]]*Table14[[#This Row],[prob10-failure_rating4]]*1000000/10</f>
        <v>3073.1888976</v>
      </c>
      <c r="JH15" s="1">
        <f>Table14[[#This Row],[Total_Cost_MUSD]]*Table14[[#This Row],[prob10-failure_rating5]]*1000000/10</f>
        <v>204.87925984000003</v>
      </c>
      <c r="JI15" s="1">
        <f>Table14[[#This Row],[Total_Cost_MUSD]]*Table14[[#This Row],[prob10-failure_rating6]]*1000000/10</f>
        <v>2048.7925984000003</v>
      </c>
      <c r="JJ15" s="1">
        <f>Table14[[#This Row],[Total_Cost_MUSD]]*Table14[[#This Row],[prob10-failure_rating7]]*1000000/10</f>
        <v>2048.7925984000003</v>
      </c>
      <c r="JK15" s="1">
        <f>Table14[[#This Row],[Total_Cost_MUSD]]*Table14[[#This Row],[prob10-failure_rating8]]*1000000/10</f>
        <v>102.43962992000002</v>
      </c>
      <c r="JL15" s="1">
        <f>Table14[[#This Row],[Total_Cost_MUSD]]*Table14[[#This Row],[prob10-failure_rating9]]*1000000/10</f>
        <v>20.487925983999997</v>
      </c>
      <c r="JM15" s="1">
        <f>Table14[[#This Row],[failurecost500_rating1]]+Table14[[#This Row],[failurecost100_rating1]]+Table14[[#This Row],[failurecost50_rating1]]+Table14[[#This Row],[failurecost10_rating1]]</f>
        <v>70427.245569999999</v>
      </c>
      <c r="JN15" s="1">
        <f>Table14[[#This Row],[failurecost500_rating2]]+Table14[[#This Row],[failurecost100_rating2]]+Table14[[#This Row],[failurecost50_rating2]]+Table14[[#This Row],[failurecost10_rating2]]</f>
        <v>51219.814959999996</v>
      </c>
      <c r="JO15" s="1">
        <f>Table14[[#This Row],[failurecost500_rating2]]+Table14[[#This Row],[failurecost100_rating2]]+Table14[[#This Row],[failurecost50_rating2]]+Table14[[#This Row],[failurecost10_rating2]]</f>
        <v>51219.814959999996</v>
      </c>
      <c r="JP15" s="1">
        <f>Table14[[#This Row],[failurecost500_rating3]]+Table14[[#This Row],[failurecost100_rating3]]+Table14[[#This Row],[failurecost50_rating3]]+Table14[[#This Row],[failurecost10_rating3]]</f>
        <v>11063.480031360001</v>
      </c>
      <c r="JQ15" s="1">
        <f>Table14[[#This Row],[failurecost500_rating3]]+Table14[[#This Row],[failurecost100_rating3]]+Table14[[#This Row],[failurecost50_rating3]]+Table14[[#This Row],[failurecost10_rating3]]</f>
        <v>11063.480031360001</v>
      </c>
      <c r="JR15" s="1">
        <f>Table14[[#This Row],[failurecost500_rating4]]+Table14[[#This Row],[failurecost100_rating4]]+Table14[[#This Row],[failurecost50_rating4]]+Table14[[#This Row],[failurecost10_rating4]]</f>
        <v>3882.4619739680002</v>
      </c>
      <c r="JS15" s="1">
        <f>Table14[[#This Row],[failurecost500_rating4]]+Table14[[#This Row],[failurecost100_rating4]]+Table14[[#This Row],[failurecost50_rating4]]+Table14[[#This Row],[failurecost10_rating4]]</f>
        <v>3882.4619739680002</v>
      </c>
      <c r="JT15" s="1">
        <f>Table14[[#This Row],[failurecost500_rating5]]+Table14[[#This Row],[failurecost100_rating5]]+Table14[[#This Row],[failurecost50_rating5]]+Table14[[#This Row],[failurecost10_rating5]]</f>
        <v>217.88909283984003</v>
      </c>
      <c r="JU15" s="1">
        <f>Table14[[#This Row],[failurecost500_rating5]]+Table14[[#This Row],[failurecost100_rating5]]+Table14[[#This Row],[failurecost50_rating5]]+Table14[[#This Row],[failurecost10_rating5]]</f>
        <v>217.88909283984003</v>
      </c>
    </row>
    <row r="16" spans="1:281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Table14[[#This Row],[Depth10_Soil_vol]]*(9.353+9.027)+(Table14[[#This Row],[Depth10_Soil_vol]]/2.5)*20*1.053+(PI()*Table14[[#This Row],[Depth10_Scour]])*Table14[[#This Row],[DECK_WIDTH_MT_052]]*1.062</f>
        <v>6758.7093437956364</v>
      </c>
      <c r="AR16" s="1">
        <f>Table14[[#This Row],[Depth50_Soil_vol]]*(9.353+9.027)+(Table14[[#This Row],[Depth50_Soil_vol]]/2.5)*20*1.053+(PI()*Table14[[#This Row],[Depth50_Scour]])*Table14[[#This Row],[DECK_WIDTH_MT_052]]*1.062</f>
        <v>7157.860599196707</v>
      </c>
      <c r="AS16" s="1">
        <f>Table14[[#This Row],[Depth100_Soil_vol]]*(9.353+9.027)+(Table14[[#This Row],[Depth100_Soil_vol]]/2.5)*20*1.053+(PI()*Table14[[#This Row],[Depth100_Scour]])*Table14[[#This Row],[DECK_WIDTH_MT_052]]*1.062</f>
        <v>7335.7235370312192</v>
      </c>
      <c r="AT16" s="1">
        <f>Table14[[#This Row],[Depth500_Soil_vol]]*(9.353+9.027)+(Table14[[#This Row],[Depth500_Soil_vol]]/2.5)*20*1.053+(PI()*Table14[[#This Row],[Depth500_Scour]])*Table14[[#This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>
        <v>73.969602710000004</v>
      </c>
      <c r="GE16" s="1">
        <v>0</v>
      </c>
      <c r="GF16" s="1">
        <v>0.25</v>
      </c>
      <c r="GG16" s="1">
        <v>0.5</v>
      </c>
      <c r="GH16" s="1">
        <v>0.75</v>
      </c>
      <c r="GI16" s="1">
        <v>8</v>
      </c>
      <c r="GJ16" s="1">
        <v>10000</v>
      </c>
      <c r="GK16" s="1">
        <v>10000</v>
      </c>
      <c r="GL16" s="1">
        <v>10000</v>
      </c>
      <c r="GM16" s="1">
        <v>10000</v>
      </c>
      <c r="GN16" s="1">
        <v>10000</v>
      </c>
      <c r="GO16" s="1">
        <v>10000</v>
      </c>
      <c r="GP16" s="1">
        <v>0</v>
      </c>
      <c r="GQ16" s="1">
        <v>0</v>
      </c>
      <c r="GR16" s="1">
        <v>0</v>
      </c>
      <c r="GS16" s="1">
        <f t="shared" si="0"/>
        <v>2.5000000000000001E-2</v>
      </c>
      <c r="GT16" s="1">
        <v>0.01</v>
      </c>
      <c r="GU16" s="1">
        <v>2.5000000000000001E-3</v>
      </c>
      <c r="GV16" s="1">
        <v>4.0000000000000002E-4</v>
      </c>
      <c r="GW16" s="1">
        <v>6.9999999999999999E-6</v>
      </c>
      <c r="GX16" s="1">
        <v>1.8000000000000001E-4</v>
      </c>
      <c r="GY16" s="1">
        <v>1.8000000000000001E-4</v>
      </c>
      <c r="GZ16" s="1">
        <v>3.9999999999999998E-6</v>
      </c>
      <c r="HA16" s="1">
        <v>2.5000000000000002E-6</v>
      </c>
      <c r="HB16" s="1">
        <f t="shared" si="1"/>
        <v>1.2500000000000001E-2</v>
      </c>
      <c r="HC16" s="1">
        <v>6.0000000000000001E-3</v>
      </c>
      <c r="HD16" s="1">
        <v>2.5000000000000001E-3</v>
      </c>
      <c r="HE16" s="1">
        <v>5.0000000000000001E-4</v>
      </c>
      <c r="HF16" s="1">
        <v>7.9999999999999996E-6</v>
      </c>
      <c r="HG16" s="1">
        <v>2.5000000000000001E-4</v>
      </c>
      <c r="HH16" s="1">
        <v>2.5000000000000001E-4</v>
      </c>
      <c r="HI16" s="1">
        <v>5.0000000000000004E-6</v>
      </c>
      <c r="HJ16" s="1">
        <v>3.0000000000000001E-6</v>
      </c>
      <c r="HK16" s="1">
        <v>0.01</v>
      </c>
      <c r="HL16" s="1">
        <v>6.0000000000000001E-3</v>
      </c>
      <c r="HM16" s="1">
        <v>1.2999999999999999E-3</v>
      </c>
      <c r="HN16" s="1">
        <v>5.0000000000000001E-4</v>
      </c>
      <c r="HO16" s="1">
        <v>7.9999999999999996E-6</v>
      </c>
      <c r="HP16" s="1">
        <v>2.5000000000000001E-4</v>
      </c>
      <c r="HQ16" s="1">
        <v>2.5000000000000001E-4</v>
      </c>
      <c r="HR16" s="1">
        <v>5.0000000000000004E-6</v>
      </c>
      <c r="HS16" s="1">
        <v>3.0000000000000001E-6</v>
      </c>
      <c r="HT16" s="1">
        <v>0.01</v>
      </c>
      <c r="HU16" s="1">
        <v>8.0000000000000002E-3</v>
      </c>
      <c r="HV16" s="1">
        <v>1.6000000000000001E-3</v>
      </c>
      <c r="HW16" s="1">
        <v>5.9999999999999995E-4</v>
      </c>
      <c r="HX16" s="1">
        <v>4.0000000000000003E-5</v>
      </c>
      <c r="HY16" s="1">
        <v>4.0000000000000002E-4</v>
      </c>
      <c r="HZ16" s="1">
        <v>4.0000000000000002E-4</v>
      </c>
      <c r="IA16" s="1">
        <v>2.0000000000000002E-5</v>
      </c>
      <c r="IB16" s="1">
        <v>3.9999999999999998E-6</v>
      </c>
      <c r="IC16" s="1">
        <f>Table14[[#This Row],[Total_Cost_MUSD]]*Table14[[#This Row],[prob500-failure_rating1]]*1000000/500</f>
        <v>3698.4801355000004</v>
      </c>
      <c r="ID16" s="1">
        <f>Table14[[#This Row],[Total_Cost_MUSD]]*Table14[[#This Row],[prob500-failure_rating2]]*1000000/500</f>
        <v>1479.3920542000001</v>
      </c>
      <c r="IE16" s="1">
        <f>Table14[[#This Row],[Total_Cost_MUSD]]*Table14[[#This Row],[prob500-failure_rating3]]*1000000/500</f>
        <v>369.84801355000002</v>
      </c>
      <c r="IF16" s="1">
        <f>Table14[[#This Row],[Total_Cost_MUSD]]*Table14[[#This Row],[prob500-failure_rating4]]*1000000/500</f>
        <v>59.175682168000009</v>
      </c>
      <c r="IG16" s="1">
        <f>Table14[[#This Row],[Total_Cost_MUSD]]*Table14[[#This Row],[prob500-failure_rating5]]*1000000/500</f>
        <v>1.03557443794</v>
      </c>
      <c r="IH16" s="1">
        <f>Table14[[#This Row],[Total_Cost_MUSD]]*Table14[[#This Row],[prob500-failure_rating6]]*1000000/500</f>
        <v>26.629056975600001</v>
      </c>
      <c r="II16" s="1">
        <f>Table14[[#This Row],[Total_Cost_MUSD]]*Table14[[#This Row],[prob500-failure_rating7]]*1000000/500</f>
        <v>26.629056975600001</v>
      </c>
      <c r="IJ16" s="1">
        <f>Table14[[#This Row],[Total_Cost_MUSD]]*Table14[[#This Row],[prob500-failure_rating8]]*1000000/500</f>
        <v>0.59175682167999999</v>
      </c>
      <c r="IK16" s="1">
        <f>Table14[[#This Row],[Total_Cost_MUSD]]*Table14[[#This Row],[prob500-failure_rating9]]*1000000/500</f>
        <v>0.36984801355000002</v>
      </c>
      <c r="IL16" s="1">
        <f>Table14[[#This Row],[Total_Cost_MUSD]]*Table14[[#This Row],[prob100-failure_rating1]]*1000000/100</f>
        <v>9246.2003387500008</v>
      </c>
      <c r="IM16" s="1">
        <f>Table14[[#This Row],[Total_Cost_MUSD]]*Table14[[#This Row],[prob100-failure_rating2]]*1000000/100</f>
        <v>4438.1761626000007</v>
      </c>
      <c r="IN16" s="1">
        <f>Table14[[#This Row],[Total_Cost_MUSD]]*Table14[[#This Row],[prob100-failure_rating3]]*1000000/100</f>
        <v>1849.2400677500002</v>
      </c>
      <c r="IO16" s="1">
        <f>Table14[[#This Row],[Total_Cost_MUSD]]*Table14[[#This Row],[prob100-failure_rating4]]*1000000/100</f>
        <v>369.84801354999996</v>
      </c>
      <c r="IP16" s="1">
        <f>Table14[[#This Row],[Total_Cost_MUSD]]*Table14[[#This Row],[prob100-failure_rating5]]*1000000/100</f>
        <v>5.9175682168000003</v>
      </c>
      <c r="IQ16" s="1">
        <f>Table14[[#This Row],[Total_Cost_MUSD]]*Table14[[#This Row],[prob100-failure_rating6]]*1000000/100</f>
        <v>184.92400677499998</v>
      </c>
      <c r="IR16" s="1">
        <f>Table14[[#This Row],[Total_Cost_MUSD]]*Table14[[#This Row],[prob100-failure_rating7]]*1000000/100</f>
        <v>184.92400677499998</v>
      </c>
      <c r="IS16" s="1">
        <f>Table14[[#This Row],[Total_Cost_MUSD]]*Table14[[#This Row],[prob100-failure_rating8]]*1000000/100</f>
        <v>3.6984801355000001</v>
      </c>
      <c r="IT16" s="1">
        <f>Table14[[#This Row],[Total_Cost_MUSD]]*Table14[[#This Row],[prob100-failure_rating9]]*1000000/100</f>
        <v>2.2190880813000002</v>
      </c>
      <c r="IU16" s="1">
        <f>Table14[[#This Row],[Total_Cost_MUSD]]*Table14[[#This Row],[prob50-failure_rating1]]*1000000/50</f>
        <v>14793.920542000002</v>
      </c>
      <c r="IV16" s="1">
        <f>Table14[[#This Row],[Total_Cost_MUSD]]*Table14[[#This Row],[prob50-failure_rating2]]*1000000/50</f>
        <v>8876.3523252000014</v>
      </c>
      <c r="IW16" s="1">
        <f>Table14[[#This Row],[Total_Cost_MUSD]]*Table14[[#This Row],[prob50-failure_rating3]]*1000000/50</f>
        <v>1923.2096704600001</v>
      </c>
      <c r="IX16" s="1">
        <f>Table14[[#This Row],[Total_Cost_MUSD]]*Table14[[#This Row],[prob50-failure_rating4]]*1000000/50</f>
        <v>739.69602709999992</v>
      </c>
      <c r="IY16" s="1">
        <f>Table14[[#This Row],[Total_Cost_MUSD]]*Table14[[#This Row],[prob50-failure_rating5]]*1000000/50</f>
        <v>11.835136433600001</v>
      </c>
      <c r="IZ16" s="1">
        <f>Table14[[#This Row],[Total_Cost_MUSD]]*Table14[[#This Row],[prob50-failure_rating6]]*1000000/50</f>
        <v>369.84801354999996</v>
      </c>
      <c r="JA16" s="1">
        <f>Table14[[#This Row],[Total_Cost_MUSD]]*Table14[[#This Row],[prob50-failure_rating7]]*1000000/50</f>
        <v>369.84801354999996</v>
      </c>
      <c r="JB16" s="1">
        <f>Table14[[#This Row],[Total_Cost_MUSD]]*Table14[[#This Row],[prob50-failure_rating8]]*1000000/50</f>
        <v>7.3969602710000002</v>
      </c>
      <c r="JC16" s="1">
        <f>Table14[[#This Row],[Total_Cost_MUSD]]*Table14[[#This Row],[prob50-failure_rating9]]*1000000/50</f>
        <v>4.4381761626000005</v>
      </c>
      <c r="JD16" s="1">
        <f>Table14[[#This Row],[Total_Cost_MUSD]]*Table14[[#This Row],[prob10-failure_rating1]]*1000000/10</f>
        <v>73969.602710000006</v>
      </c>
      <c r="JE16" s="1">
        <f>Table14[[#This Row],[Total_Cost_MUSD]]*Table14[[#This Row],[prob10-failure_rating2]]*1000000/10</f>
        <v>59175.682167999992</v>
      </c>
      <c r="JF16" s="1">
        <f>Table14[[#This Row],[Total_Cost_MUSD]]*Table14[[#This Row],[prob10-failure_rating3]]*1000000/10</f>
        <v>11835.136433600001</v>
      </c>
      <c r="JG16" s="1">
        <f>Table14[[#This Row],[Total_Cost_MUSD]]*Table14[[#This Row],[prob10-failure_rating4]]*1000000/10</f>
        <v>4438.1761625999998</v>
      </c>
      <c r="JH16" s="1">
        <f>Table14[[#This Row],[Total_Cost_MUSD]]*Table14[[#This Row],[prob10-failure_rating5]]*1000000/10</f>
        <v>295.87841084000002</v>
      </c>
      <c r="JI16" s="1">
        <f>Table14[[#This Row],[Total_Cost_MUSD]]*Table14[[#This Row],[prob10-failure_rating6]]*1000000/10</f>
        <v>2958.7841084000002</v>
      </c>
      <c r="JJ16" s="1">
        <f>Table14[[#This Row],[Total_Cost_MUSD]]*Table14[[#This Row],[prob10-failure_rating7]]*1000000/10</f>
        <v>2958.7841084000002</v>
      </c>
      <c r="JK16" s="1">
        <f>Table14[[#This Row],[Total_Cost_MUSD]]*Table14[[#This Row],[prob10-failure_rating8]]*1000000/10</f>
        <v>147.93920542000001</v>
      </c>
      <c r="JL16" s="1">
        <f>Table14[[#This Row],[Total_Cost_MUSD]]*Table14[[#This Row],[prob10-failure_rating9]]*1000000/10</f>
        <v>29.587841084000001</v>
      </c>
      <c r="JM16" s="1">
        <f>Table14[[#This Row],[failurecost500_rating1]]+Table14[[#This Row],[failurecost100_rating1]]+Table14[[#This Row],[failurecost50_rating1]]+Table14[[#This Row],[failurecost10_rating1]]</f>
        <v>101708.20372625001</v>
      </c>
      <c r="JN16" s="1">
        <f>Table14[[#This Row],[failurecost500_rating2]]+Table14[[#This Row],[failurecost100_rating2]]+Table14[[#This Row],[failurecost50_rating2]]+Table14[[#This Row],[failurecost10_rating2]]</f>
        <v>73969.602709999992</v>
      </c>
      <c r="JO16" s="1">
        <f>Table14[[#This Row],[failurecost500_rating2]]+Table14[[#This Row],[failurecost100_rating2]]+Table14[[#This Row],[failurecost50_rating2]]+Table14[[#This Row],[failurecost10_rating2]]</f>
        <v>73969.602709999992</v>
      </c>
      <c r="JP16" s="1">
        <f>Table14[[#This Row],[failurecost500_rating3]]+Table14[[#This Row],[failurecost100_rating3]]+Table14[[#This Row],[failurecost50_rating3]]+Table14[[#This Row],[failurecost10_rating3]]</f>
        <v>15977.434185360002</v>
      </c>
      <c r="JQ16" s="1">
        <f>Table14[[#This Row],[failurecost500_rating3]]+Table14[[#This Row],[failurecost100_rating3]]+Table14[[#This Row],[failurecost50_rating3]]+Table14[[#This Row],[failurecost10_rating3]]</f>
        <v>15977.434185360002</v>
      </c>
      <c r="JR16" s="1">
        <f>Table14[[#This Row],[failurecost500_rating4]]+Table14[[#This Row],[failurecost100_rating4]]+Table14[[#This Row],[failurecost50_rating4]]+Table14[[#This Row],[failurecost10_rating4]]</f>
        <v>5606.895885418</v>
      </c>
      <c r="JS16" s="1">
        <f>Table14[[#This Row],[failurecost500_rating4]]+Table14[[#This Row],[failurecost100_rating4]]+Table14[[#This Row],[failurecost50_rating4]]+Table14[[#This Row],[failurecost10_rating4]]</f>
        <v>5606.895885418</v>
      </c>
      <c r="JT16" s="1">
        <f>Table14[[#This Row],[failurecost500_rating5]]+Table14[[#This Row],[failurecost100_rating5]]+Table14[[#This Row],[failurecost50_rating5]]+Table14[[#This Row],[failurecost10_rating5]]</f>
        <v>314.66668992834002</v>
      </c>
      <c r="JU16" s="1">
        <f>Table14[[#This Row],[failurecost500_rating5]]+Table14[[#This Row],[failurecost100_rating5]]+Table14[[#This Row],[failurecost50_rating5]]+Table14[[#This Row],[failurecost10_rating5]]</f>
        <v>314.66668992834002</v>
      </c>
    </row>
    <row r="17" spans="1:281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Table14[[#This Row],[Depth10_Soil_vol]]*(9.353+9.027)+(Table14[[#This Row],[Depth10_Soil_vol]]/2.5)*20*1.053+(PI()*Table14[[#This Row],[Depth10_Scour]])*Table14[[#This Row],[DECK_WIDTH_MT_052]]*1.062</f>
        <v>0</v>
      </c>
      <c r="AR17" s="1">
        <f>Table14[[#This Row],[Depth50_Soil_vol]]*(9.353+9.027)+(Table14[[#This Row],[Depth50_Soil_vol]]/2.5)*20*1.053+(PI()*Table14[[#This Row],[Depth50_Scour]])*Table14[[#This Row],[DECK_WIDTH_MT_052]]*1.062</f>
        <v>73.925295948361111</v>
      </c>
      <c r="AS17" s="1">
        <f>Table14[[#This Row],[Depth100_Soil_vol]]*(9.353+9.027)+(Table14[[#This Row],[Depth100_Soil_vol]]/2.5)*20*1.053+(PI()*Table14[[#This Row],[Depth100_Scour]])*Table14[[#This Row],[DECK_WIDTH_MT_052]]*1.062</f>
        <v>101.29876563204503</v>
      </c>
      <c r="AT17" s="1">
        <f>Table14[[#This Row],[Depth500_Soil_vol]]*(9.353+9.027)+(Table14[[#This Row],[Depth500_Soil_vol]]/2.5)*20*1.053+(PI()*Table14[[#This Row],[Depth500_Scour]])*Table14[[#This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>
        <v>8.343465471</v>
      </c>
      <c r="GE17" s="1">
        <v>0</v>
      </c>
      <c r="GF17" s="1">
        <v>0</v>
      </c>
      <c r="GG17" s="1">
        <v>0</v>
      </c>
      <c r="GH17" s="1">
        <v>0</v>
      </c>
      <c r="GI17" s="1">
        <v>9</v>
      </c>
      <c r="GJ17" s="1">
        <v>10000</v>
      </c>
      <c r="GK17" s="1">
        <v>10000</v>
      </c>
      <c r="GL17" s="1">
        <v>10000</v>
      </c>
      <c r="GM17" s="1">
        <v>10000</v>
      </c>
      <c r="GN17" s="1">
        <v>10000</v>
      </c>
      <c r="GO17" s="1">
        <v>10000</v>
      </c>
      <c r="GP17" s="1">
        <v>0</v>
      </c>
      <c r="GQ17" s="1">
        <v>0</v>
      </c>
      <c r="GR17" s="1">
        <v>0</v>
      </c>
      <c r="GS17" s="1">
        <f t="shared" si="0"/>
        <v>2.5000000000000001E-2</v>
      </c>
      <c r="GT17" s="1">
        <v>0.01</v>
      </c>
      <c r="GU17" s="1">
        <v>2.5000000000000001E-3</v>
      </c>
      <c r="GV17" s="1">
        <v>4.0000000000000002E-4</v>
      </c>
      <c r="GW17" s="1">
        <v>6.9999999999999999E-6</v>
      </c>
      <c r="GX17" s="1">
        <v>1.8000000000000001E-4</v>
      </c>
      <c r="GY17" s="1">
        <v>1.8000000000000001E-4</v>
      </c>
      <c r="GZ17" s="1">
        <v>3.9999999999999998E-6</v>
      </c>
      <c r="HA17" s="1">
        <v>2.5000000000000002E-6</v>
      </c>
      <c r="HB17" s="1">
        <f t="shared" si="1"/>
        <v>1.2500000000000001E-2</v>
      </c>
      <c r="HC17" s="1">
        <v>6.0000000000000001E-3</v>
      </c>
      <c r="HD17" s="1">
        <v>2.5000000000000001E-3</v>
      </c>
      <c r="HE17" s="1">
        <v>5.0000000000000001E-4</v>
      </c>
      <c r="HF17" s="1">
        <v>7.9999999999999996E-6</v>
      </c>
      <c r="HG17" s="1">
        <v>2.5000000000000001E-4</v>
      </c>
      <c r="HH17" s="1">
        <v>2.5000000000000001E-4</v>
      </c>
      <c r="HI17" s="1">
        <v>5.0000000000000004E-6</v>
      </c>
      <c r="HJ17" s="1">
        <v>3.0000000000000001E-6</v>
      </c>
      <c r="HK17" s="1">
        <v>0.01</v>
      </c>
      <c r="HL17" s="1">
        <v>6.0000000000000001E-3</v>
      </c>
      <c r="HM17" s="1">
        <v>1.2999999999999999E-3</v>
      </c>
      <c r="HN17" s="1">
        <v>5.0000000000000001E-4</v>
      </c>
      <c r="HO17" s="1">
        <v>7.9999999999999996E-6</v>
      </c>
      <c r="HP17" s="1">
        <v>2.5000000000000001E-4</v>
      </c>
      <c r="HQ17" s="1">
        <v>2.5000000000000001E-4</v>
      </c>
      <c r="HR17" s="1">
        <v>5.0000000000000004E-6</v>
      </c>
      <c r="HS17" s="1">
        <v>3.0000000000000001E-6</v>
      </c>
      <c r="HT17" s="1">
        <v>0.01</v>
      </c>
      <c r="HU17" s="1">
        <v>8.0000000000000002E-3</v>
      </c>
      <c r="HV17" s="1">
        <v>1.6000000000000001E-3</v>
      </c>
      <c r="HW17" s="1">
        <v>5.9999999999999995E-4</v>
      </c>
      <c r="HX17" s="1">
        <v>4.0000000000000003E-5</v>
      </c>
      <c r="HY17" s="1">
        <v>4.0000000000000002E-4</v>
      </c>
      <c r="HZ17" s="1">
        <v>4.0000000000000002E-4</v>
      </c>
      <c r="IA17" s="1">
        <v>2.0000000000000002E-5</v>
      </c>
      <c r="IB17" s="1">
        <v>3.9999999999999998E-6</v>
      </c>
      <c r="IC17" s="1">
        <f>Table14[[#This Row],[Total_Cost_MUSD]]*Table14[[#This Row],[prob500-failure_rating1]]*1000000/500</f>
        <v>417.17327354999998</v>
      </c>
      <c r="ID17" s="1">
        <f>Table14[[#This Row],[Total_Cost_MUSD]]*Table14[[#This Row],[prob500-failure_rating2]]*1000000/500</f>
        <v>166.86930942000001</v>
      </c>
      <c r="IE17" s="1">
        <f>Table14[[#This Row],[Total_Cost_MUSD]]*Table14[[#This Row],[prob500-failure_rating3]]*1000000/500</f>
        <v>41.717327355000002</v>
      </c>
      <c r="IF17" s="1">
        <f>Table14[[#This Row],[Total_Cost_MUSD]]*Table14[[#This Row],[prob500-failure_rating4]]*1000000/500</f>
        <v>6.6747723768000009</v>
      </c>
      <c r="IG17" s="1">
        <f>Table14[[#This Row],[Total_Cost_MUSD]]*Table14[[#This Row],[prob500-failure_rating5]]*1000000/500</f>
        <v>0.116808516594</v>
      </c>
      <c r="IH17" s="1">
        <f>Table14[[#This Row],[Total_Cost_MUSD]]*Table14[[#This Row],[prob500-failure_rating6]]*1000000/500</f>
        <v>3.00364756956</v>
      </c>
      <c r="II17" s="1">
        <f>Table14[[#This Row],[Total_Cost_MUSD]]*Table14[[#This Row],[prob500-failure_rating7]]*1000000/500</f>
        <v>3.00364756956</v>
      </c>
      <c r="IJ17" s="1">
        <f>Table14[[#This Row],[Total_Cost_MUSD]]*Table14[[#This Row],[prob500-failure_rating8]]*1000000/500</f>
        <v>6.6747723768000006E-2</v>
      </c>
      <c r="IK17" s="1">
        <f>Table14[[#This Row],[Total_Cost_MUSD]]*Table14[[#This Row],[prob500-failure_rating9]]*1000000/500</f>
        <v>4.1717327355E-2</v>
      </c>
      <c r="IL17" s="1">
        <f>Table14[[#This Row],[Total_Cost_MUSD]]*Table14[[#This Row],[prob100-failure_rating1]]*1000000/100</f>
        <v>1042.9331838749999</v>
      </c>
      <c r="IM17" s="1">
        <f>Table14[[#This Row],[Total_Cost_MUSD]]*Table14[[#This Row],[prob100-failure_rating2]]*1000000/100</f>
        <v>500.60792826000005</v>
      </c>
      <c r="IN17" s="1">
        <f>Table14[[#This Row],[Total_Cost_MUSD]]*Table14[[#This Row],[prob100-failure_rating3]]*1000000/100</f>
        <v>208.58663677500002</v>
      </c>
      <c r="IO17" s="1">
        <f>Table14[[#This Row],[Total_Cost_MUSD]]*Table14[[#This Row],[prob100-failure_rating4]]*1000000/100</f>
        <v>41.717327355000009</v>
      </c>
      <c r="IP17" s="1">
        <f>Table14[[#This Row],[Total_Cost_MUSD]]*Table14[[#This Row],[prob100-failure_rating5]]*1000000/100</f>
        <v>0.66747723768</v>
      </c>
      <c r="IQ17" s="1">
        <f>Table14[[#This Row],[Total_Cost_MUSD]]*Table14[[#This Row],[prob100-failure_rating6]]*1000000/100</f>
        <v>20.858663677500004</v>
      </c>
      <c r="IR17" s="1">
        <f>Table14[[#This Row],[Total_Cost_MUSD]]*Table14[[#This Row],[prob100-failure_rating7]]*1000000/100</f>
        <v>20.858663677500004</v>
      </c>
      <c r="IS17" s="1">
        <f>Table14[[#This Row],[Total_Cost_MUSD]]*Table14[[#This Row],[prob100-failure_rating8]]*1000000/100</f>
        <v>0.41717327355</v>
      </c>
      <c r="IT17" s="1">
        <f>Table14[[#This Row],[Total_Cost_MUSD]]*Table14[[#This Row],[prob100-failure_rating9]]*1000000/100</f>
        <v>0.25030396413</v>
      </c>
      <c r="IU17" s="1">
        <f>Table14[[#This Row],[Total_Cost_MUSD]]*Table14[[#This Row],[prob50-failure_rating1]]*1000000/50</f>
        <v>1668.6930942000001</v>
      </c>
      <c r="IV17" s="1">
        <f>Table14[[#This Row],[Total_Cost_MUSD]]*Table14[[#This Row],[prob50-failure_rating2]]*1000000/50</f>
        <v>1001.2158565200001</v>
      </c>
      <c r="IW17" s="1">
        <f>Table14[[#This Row],[Total_Cost_MUSD]]*Table14[[#This Row],[prob50-failure_rating3]]*1000000/50</f>
        <v>216.93010224599999</v>
      </c>
      <c r="IX17" s="1">
        <f>Table14[[#This Row],[Total_Cost_MUSD]]*Table14[[#This Row],[prob50-failure_rating4]]*1000000/50</f>
        <v>83.434654710000018</v>
      </c>
      <c r="IY17" s="1">
        <f>Table14[[#This Row],[Total_Cost_MUSD]]*Table14[[#This Row],[prob50-failure_rating5]]*1000000/50</f>
        <v>1.33495447536</v>
      </c>
      <c r="IZ17" s="1">
        <f>Table14[[#This Row],[Total_Cost_MUSD]]*Table14[[#This Row],[prob50-failure_rating6]]*1000000/50</f>
        <v>41.717327355000009</v>
      </c>
      <c r="JA17" s="1">
        <f>Table14[[#This Row],[Total_Cost_MUSD]]*Table14[[#This Row],[prob50-failure_rating7]]*1000000/50</f>
        <v>41.717327355000009</v>
      </c>
      <c r="JB17" s="1">
        <f>Table14[[#This Row],[Total_Cost_MUSD]]*Table14[[#This Row],[prob50-failure_rating8]]*1000000/50</f>
        <v>0.8343465471</v>
      </c>
      <c r="JC17" s="1">
        <f>Table14[[#This Row],[Total_Cost_MUSD]]*Table14[[#This Row],[prob50-failure_rating9]]*1000000/50</f>
        <v>0.50060792826</v>
      </c>
      <c r="JD17" s="1">
        <f>Table14[[#This Row],[Total_Cost_MUSD]]*Table14[[#This Row],[prob10-failure_rating1]]*1000000/10</f>
        <v>8343.4654709999995</v>
      </c>
      <c r="JE17" s="1">
        <f>Table14[[#This Row],[Total_Cost_MUSD]]*Table14[[#This Row],[prob10-failure_rating2]]*1000000/10</f>
        <v>6674.7723768000014</v>
      </c>
      <c r="JF17" s="1">
        <f>Table14[[#This Row],[Total_Cost_MUSD]]*Table14[[#This Row],[prob10-failure_rating3]]*1000000/10</f>
        <v>1334.9544753600001</v>
      </c>
      <c r="JG17" s="1">
        <f>Table14[[#This Row],[Total_Cost_MUSD]]*Table14[[#This Row],[prob10-failure_rating4]]*1000000/10</f>
        <v>500.60792825999999</v>
      </c>
      <c r="JH17" s="1">
        <f>Table14[[#This Row],[Total_Cost_MUSD]]*Table14[[#This Row],[prob10-failure_rating5]]*1000000/10</f>
        <v>33.373861884</v>
      </c>
      <c r="JI17" s="1">
        <f>Table14[[#This Row],[Total_Cost_MUSD]]*Table14[[#This Row],[prob10-failure_rating6]]*1000000/10</f>
        <v>333.73861884000002</v>
      </c>
      <c r="JJ17" s="1">
        <f>Table14[[#This Row],[Total_Cost_MUSD]]*Table14[[#This Row],[prob10-failure_rating7]]*1000000/10</f>
        <v>333.73861884000002</v>
      </c>
      <c r="JK17" s="1">
        <f>Table14[[#This Row],[Total_Cost_MUSD]]*Table14[[#This Row],[prob10-failure_rating8]]*1000000/10</f>
        <v>16.686930942</v>
      </c>
      <c r="JL17" s="1">
        <f>Table14[[#This Row],[Total_Cost_MUSD]]*Table14[[#This Row],[prob10-failure_rating9]]*1000000/10</f>
        <v>3.3373861884</v>
      </c>
      <c r="JM17" s="1">
        <f>Table14[[#This Row],[failurecost500_rating1]]+Table14[[#This Row],[failurecost100_rating1]]+Table14[[#This Row],[failurecost50_rating1]]+Table14[[#This Row],[failurecost10_rating1]]</f>
        <v>11472.265022625001</v>
      </c>
      <c r="JN17" s="1">
        <f>Table14[[#This Row],[failurecost500_rating2]]+Table14[[#This Row],[failurecost100_rating2]]+Table14[[#This Row],[failurecost50_rating2]]+Table14[[#This Row],[failurecost10_rating2]]</f>
        <v>8343.4654710000013</v>
      </c>
      <c r="JO17" s="1">
        <f>Table14[[#This Row],[failurecost500_rating2]]+Table14[[#This Row],[failurecost100_rating2]]+Table14[[#This Row],[failurecost50_rating2]]+Table14[[#This Row],[failurecost10_rating2]]</f>
        <v>8343.4654710000013</v>
      </c>
      <c r="JP17" s="1">
        <f>Table14[[#This Row],[failurecost500_rating3]]+Table14[[#This Row],[failurecost100_rating3]]+Table14[[#This Row],[failurecost50_rating3]]+Table14[[#This Row],[failurecost10_rating3]]</f>
        <v>1802.1885417359999</v>
      </c>
      <c r="JQ17" s="1">
        <f>Table14[[#This Row],[failurecost500_rating3]]+Table14[[#This Row],[failurecost100_rating3]]+Table14[[#This Row],[failurecost50_rating3]]+Table14[[#This Row],[failurecost10_rating3]]</f>
        <v>1802.1885417359999</v>
      </c>
      <c r="JR17" s="1">
        <f>Table14[[#This Row],[failurecost500_rating4]]+Table14[[#This Row],[failurecost100_rating4]]+Table14[[#This Row],[failurecost50_rating4]]+Table14[[#This Row],[failurecost10_rating4]]</f>
        <v>632.43468270180006</v>
      </c>
      <c r="JS17" s="1">
        <f>Table14[[#This Row],[failurecost500_rating4]]+Table14[[#This Row],[failurecost100_rating4]]+Table14[[#This Row],[failurecost50_rating4]]+Table14[[#This Row],[failurecost10_rating4]]</f>
        <v>632.43468270180006</v>
      </c>
      <c r="JT17" s="1">
        <f>Table14[[#This Row],[failurecost500_rating5]]+Table14[[#This Row],[failurecost100_rating5]]+Table14[[#This Row],[failurecost50_rating5]]+Table14[[#This Row],[failurecost10_rating5]]</f>
        <v>35.493102113634002</v>
      </c>
      <c r="JU17" s="1">
        <f>Table14[[#This Row],[failurecost500_rating5]]+Table14[[#This Row],[failurecost100_rating5]]+Table14[[#This Row],[failurecost50_rating5]]+Table14[[#This Row],[failurecost10_rating5]]</f>
        <v>35.493102113634002</v>
      </c>
    </row>
    <row r="18" spans="1:281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Table14[[#This Row],[Depth10_Soil_vol]]*(9.353+9.027)+(Table14[[#This Row],[Depth10_Soil_vol]]/2.5)*20*1.053+(PI()*Table14[[#This Row],[Depth10_Scour]])*Table14[[#This Row],[DECK_WIDTH_MT_052]]*1.062</f>
        <v>15354.595084739485</v>
      </c>
      <c r="AR18" s="1">
        <f>Table14[[#This Row],[Depth50_Soil_vol]]*(9.353+9.027)+(Table14[[#This Row],[Depth50_Soil_vol]]/2.5)*20*1.053+(PI()*Table14[[#This Row],[Depth50_Scour]])*Table14[[#This Row],[DECK_WIDTH_MT_052]]*1.062</f>
        <v>13414.428771618834</v>
      </c>
      <c r="AS18" s="1">
        <f>Table14[[#This Row],[Depth100_Soil_vol]]*(9.353+9.027)+(Table14[[#This Row],[Depth100_Soil_vol]]/2.5)*20*1.053+(PI()*Table14[[#This Row],[Depth100_Scour]])*Table14[[#This Row],[DECK_WIDTH_MT_052]]*1.062</f>
        <v>13976.739331979787</v>
      </c>
      <c r="AT18" s="1">
        <f>Table14[[#This Row],[Depth500_Soil_vol]]*(9.353+9.027)+(Table14[[#This Row],[Depth500_Soil_vol]]/2.5)*20*1.053+(PI()*Table14[[#This Row],[Depth500_Scour]])*Table14[[#This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>
        <v>2.8449664000000001</v>
      </c>
      <c r="GE18" s="1">
        <v>0</v>
      </c>
      <c r="GF18" s="1">
        <v>0</v>
      </c>
      <c r="GG18" s="1">
        <v>0</v>
      </c>
      <c r="GH18" s="1">
        <v>0</v>
      </c>
      <c r="GI18" s="1">
        <v>9</v>
      </c>
      <c r="GJ18" s="1">
        <v>10000</v>
      </c>
      <c r="GK18" s="1">
        <v>10000</v>
      </c>
      <c r="GL18" s="1">
        <v>10000</v>
      </c>
      <c r="GM18" s="1">
        <v>10000</v>
      </c>
      <c r="GN18" s="1">
        <v>10000</v>
      </c>
      <c r="GO18" s="1">
        <v>10000</v>
      </c>
      <c r="GP18" s="1">
        <v>0</v>
      </c>
      <c r="GQ18" s="1">
        <v>0</v>
      </c>
      <c r="GR18" s="1">
        <v>0</v>
      </c>
      <c r="GS18" s="1">
        <f t="shared" si="0"/>
        <v>2.5000000000000001E-2</v>
      </c>
      <c r="GT18" s="1">
        <v>0.01</v>
      </c>
      <c r="GU18" s="1">
        <v>2.5000000000000001E-3</v>
      </c>
      <c r="GV18" s="1">
        <v>4.0000000000000002E-4</v>
      </c>
      <c r="GW18" s="1">
        <v>6.9999999999999999E-6</v>
      </c>
      <c r="GX18" s="1">
        <v>1.8000000000000001E-4</v>
      </c>
      <c r="GY18" s="1">
        <v>1.8000000000000001E-4</v>
      </c>
      <c r="GZ18" s="1">
        <v>3.9999999999999998E-6</v>
      </c>
      <c r="HA18" s="1">
        <v>2.5000000000000002E-6</v>
      </c>
      <c r="HB18" s="1">
        <f t="shared" si="1"/>
        <v>1.2500000000000001E-2</v>
      </c>
      <c r="HC18" s="1">
        <v>6.0000000000000001E-3</v>
      </c>
      <c r="HD18" s="1">
        <v>2.5000000000000001E-3</v>
      </c>
      <c r="HE18" s="1">
        <v>5.0000000000000001E-4</v>
      </c>
      <c r="HF18" s="1">
        <v>7.9999999999999996E-6</v>
      </c>
      <c r="HG18" s="1">
        <v>2.5000000000000001E-4</v>
      </c>
      <c r="HH18" s="1">
        <v>2.5000000000000001E-4</v>
      </c>
      <c r="HI18" s="1">
        <v>5.0000000000000004E-6</v>
      </c>
      <c r="HJ18" s="1">
        <v>3.0000000000000001E-6</v>
      </c>
      <c r="HK18" s="1">
        <v>0.01</v>
      </c>
      <c r="HL18" s="1">
        <v>6.0000000000000001E-3</v>
      </c>
      <c r="HM18" s="1">
        <v>1.2999999999999999E-3</v>
      </c>
      <c r="HN18" s="1">
        <v>5.0000000000000001E-4</v>
      </c>
      <c r="HO18" s="1">
        <v>7.9999999999999996E-6</v>
      </c>
      <c r="HP18" s="1">
        <v>2.5000000000000001E-4</v>
      </c>
      <c r="HQ18" s="1">
        <v>2.5000000000000001E-4</v>
      </c>
      <c r="HR18" s="1">
        <v>5.0000000000000004E-6</v>
      </c>
      <c r="HS18" s="1">
        <v>3.0000000000000001E-6</v>
      </c>
      <c r="HT18" s="1">
        <v>0.01</v>
      </c>
      <c r="HU18" s="1">
        <v>8.0000000000000002E-3</v>
      </c>
      <c r="HV18" s="1">
        <v>1.6000000000000001E-3</v>
      </c>
      <c r="HW18" s="1">
        <v>5.9999999999999995E-4</v>
      </c>
      <c r="HX18" s="1">
        <v>4.0000000000000003E-5</v>
      </c>
      <c r="HY18" s="1">
        <v>4.0000000000000002E-4</v>
      </c>
      <c r="HZ18" s="1">
        <v>4.0000000000000002E-4</v>
      </c>
      <c r="IA18" s="1">
        <v>2.0000000000000002E-5</v>
      </c>
      <c r="IB18" s="1">
        <v>3.9999999999999998E-6</v>
      </c>
      <c r="IC18" s="1">
        <f>Table14[[#This Row],[Total_Cost_MUSD]]*Table14[[#This Row],[prob500-failure_rating1]]*1000000/500</f>
        <v>142.24832000000001</v>
      </c>
      <c r="ID18" s="1">
        <f>Table14[[#This Row],[Total_Cost_MUSD]]*Table14[[#This Row],[prob500-failure_rating2]]*1000000/500</f>
        <v>56.899328000000011</v>
      </c>
      <c r="IE18" s="1">
        <f>Table14[[#This Row],[Total_Cost_MUSD]]*Table14[[#This Row],[prob500-failure_rating3]]*1000000/500</f>
        <v>14.224832000000003</v>
      </c>
      <c r="IF18" s="1">
        <f>Table14[[#This Row],[Total_Cost_MUSD]]*Table14[[#This Row],[prob500-failure_rating4]]*1000000/500</f>
        <v>2.2759731200000002</v>
      </c>
      <c r="IG18" s="1">
        <f>Table14[[#This Row],[Total_Cost_MUSD]]*Table14[[#This Row],[prob500-failure_rating5]]*1000000/500</f>
        <v>3.9829529600000003E-2</v>
      </c>
      <c r="IH18" s="1">
        <f>Table14[[#This Row],[Total_Cost_MUSD]]*Table14[[#This Row],[prob500-failure_rating6]]*1000000/500</f>
        <v>1.0241879040000001</v>
      </c>
      <c r="II18" s="1">
        <f>Table14[[#This Row],[Total_Cost_MUSD]]*Table14[[#This Row],[prob500-failure_rating7]]*1000000/500</f>
        <v>1.0241879040000001</v>
      </c>
      <c r="IJ18" s="1">
        <f>Table14[[#This Row],[Total_Cost_MUSD]]*Table14[[#This Row],[prob500-failure_rating8]]*1000000/500</f>
        <v>2.2759731200000001E-2</v>
      </c>
      <c r="IK18" s="1">
        <f>Table14[[#This Row],[Total_Cost_MUSD]]*Table14[[#This Row],[prob500-failure_rating9]]*1000000/500</f>
        <v>1.4224832000000003E-2</v>
      </c>
      <c r="IL18" s="1">
        <f>Table14[[#This Row],[Total_Cost_MUSD]]*Table14[[#This Row],[prob100-failure_rating1]]*1000000/100</f>
        <v>355.62080000000003</v>
      </c>
      <c r="IM18" s="1">
        <f>Table14[[#This Row],[Total_Cost_MUSD]]*Table14[[#This Row],[prob100-failure_rating2]]*1000000/100</f>
        <v>170.69798400000002</v>
      </c>
      <c r="IN18" s="1">
        <f>Table14[[#This Row],[Total_Cost_MUSD]]*Table14[[#This Row],[prob100-failure_rating3]]*1000000/100</f>
        <v>71.124160000000018</v>
      </c>
      <c r="IO18" s="1">
        <f>Table14[[#This Row],[Total_Cost_MUSD]]*Table14[[#This Row],[prob100-failure_rating4]]*1000000/100</f>
        <v>14.224832000000001</v>
      </c>
      <c r="IP18" s="1">
        <f>Table14[[#This Row],[Total_Cost_MUSD]]*Table14[[#This Row],[prob100-failure_rating5]]*1000000/100</f>
        <v>0.227597312</v>
      </c>
      <c r="IQ18" s="1">
        <f>Table14[[#This Row],[Total_Cost_MUSD]]*Table14[[#This Row],[prob100-failure_rating6]]*1000000/100</f>
        <v>7.1124160000000005</v>
      </c>
      <c r="IR18" s="1">
        <f>Table14[[#This Row],[Total_Cost_MUSD]]*Table14[[#This Row],[prob100-failure_rating7]]*1000000/100</f>
        <v>7.1124160000000005</v>
      </c>
      <c r="IS18" s="1">
        <f>Table14[[#This Row],[Total_Cost_MUSD]]*Table14[[#This Row],[prob100-failure_rating8]]*1000000/100</f>
        <v>0.14224832000000004</v>
      </c>
      <c r="IT18" s="1">
        <f>Table14[[#This Row],[Total_Cost_MUSD]]*Table14[[#This Row],[prob100-failure_rating9]]*1000000/100</f>
        <v>8.5348991999999999E-2</v>
      </c>
      <c r="IU18" s="1">
        <f>Table14[[#This Row],[Total_Cost_MUSD]]*Table14[[#This Row],[prob50-failure_rating1]]*1000000/50</f>
        <v>568.99328000000014</v>
      </c>
      <c r="IV18" s="1">
        <f>Table14[[#This Row],[Total_Cost_MUSD]]*Table14[[#This Row],[prob50-failure_rating2]]*1000000/50</f>
        <v>341.39596800000004</v>
      </c>
      <c r="IW18" s="1">
        <f>Table14[[#This Row],[Total_Cost_MUSD]]*Table14[[#This Row],[prob50-failure_rating3]]*1000000/50</f>
        <v>73.969126400000007</v>
      </c>
      <c r="IX18" s="1">
        <f>Table14[[#This Row],[Total_Cost_MUSD]]*Table14[[#This Row],[prob50-failure_rating4]]*1000000/50</f>
        <v>28.449664000000002</v>
      </c>
      <c r="IY18" s="1">
        <f>Table14[[#This Row],[Total_Cost_MUSD]]*Table14[[#This Row],[prob50-failure_rating5]]*1000000/50</f>
        <v>0.45519462399999999</v>
      </c>
      <c r="IZ18" s="1">
        <f>Table14[[#This Row],[Total_Cost_MUSD]]*Table14[[#This Row],[prob50-failure_rating6]]*1000000/50</f>
        <v>14.224832000000001</v>
      </c>
      <c r="JA18" s="1">
        <f>Table14[[#This Row],[Total_Cost_MUSD]]*Table14[[#This Row],[prob50-failure_rating7]]*1000000/50</f>
        <v>14.224832000000001</v>
      </c>
      <c r="JB18" s="1">
        <f>Table14[[#This Row],[Total_Cost_MUSD]]*Table14[[#This Row],[prob50-failure_rating8]]*1000000/50</f>
        <v>0.28449664000000008</v>
      </c>
      <c r="JC18" s="1">
        <f>Table14[[#This Row],[Total_Cost_MUSD]]*Table14[[#This Row],[prob50-failure_rating9]]*1000000/50</f>
        <v>0.170697984</v>
      </c>
      <c r="JD18" s="1">
        <f>Table14[[#This Row],[Total_Cost_MUSD]]*Table14[[#This Row],[prob10-failure_rating1]]*1000000/10</f>
        <v>2844.9664000000002</v>
      </c>
      <c r="JE18" s="1">
        <f>Table14[[#This Row],[Total_Cost_MUSD]]*Table14[[#This Row],[prob10-failure_rating2]]*1000000/10</f>
        <v>2275.9731200000001</v>
      </c>
      <c r="JF18" s="1">
        <f>Table14[[#This Row],[Total_Cost_MUSD]]*Table14[[#This Row],[prob10-failure_rating3]]*1000000/10</f>
        <v>455.19462400000003</v>
      </c>
      <c r="JG18" s="1">
        <f>Table14[[#This Row],[Total_Cost_MUSD]]*Table14[[#This Row],[prob10-failure_rating4]]*1000000/10</f>
        <v>170.69798399999999</v>
      </c>
      <c r="JH18" s="1">
        <f>Table14[[#This Row],[Total_Cost_MUSD]]*Table14[[#This Row],[prob10-failure_rating5]]*1000000/10</f>
        <v>11.379865600000002</v>
      </c>
      <c r="JI18" s="1">
        <f>Table14[[#This Row],[Total_Cost_MUSD]]*Table14[[#This Row],[prob10-failure_rating6]]*1000000/10</f>
        <v>113.79865600000001</v>
      </c>
      <c r="JJ18" s="1">
        <f>Table14[[#This Row],[Total_Cost_MUSD]]*Table14[[#This Row],[prob10-failure_rating7]]*1000000/10</f>
        <v>113.79865600000001</v>
      </c>
      <c r="JK18" s="1">
        <f>Table14[[#This Row],[Total_Cost_MUSD]]*Table14[[#This Row],[prob10-failure_rating8]]*1000000/10</f>
        <v>5.6899328000000011</v>
      </c>
      <c r="JL18" s="1">
        <f>Table14[[#This Row],[Total_Cost_MUSD]]*Table14[[#This Row],[prob10-failure_rating9]]*1000000/10</f>
        <v>1.1379865600000001</v>
      </c>
      <c r="JM18" s="1">
        <f>Table14[[#This Row],[failurecost500_rating1]]+Table14[[#This Row],[failurecost100_rating1]]+Table14[[#This Row],[failurecost50_rating1]]+Table14[[#This Row],[failurecost10_rating1]]</f>
        <v>3911.8288000000002</v>
      </c>
      <c r="JN18" s="1">
        <f>Table14[[#This Row],[failurecost500_rating2]]+Table14[[#This Row],[failurecost100_rating2]]+Table14[[#This Row],[failurecost50_rating2]]+Table14[[#This Row],[failurecost10_rating2]]</f>
        <v>2844.9664000000002</v>
      </c>
      <c r="JO18" s="1">
        <f>Table14[[#This Row],[failurecost500_rating2]]+Table14[[#This Row],[failurecost100_rating2]]+Table14[[#This Row],[failurecost50_rating2]]+Table14[[#This Row],[failurecost10_rating2]]</f>
        <v>2844.9664000000002</v>
      </c>
      <c r="JP18" s="1">
        <f>Table14[[#This Row],[failurecost500_rating3]]+Table14[[#This Row],[failurecost100_rating3]]+Table14[[#This Row],[failurecost50_rating3]]+Table14[[#This Row],[failurecost10_rating3]]</f>
        <v>614.51274240000009</v>
      </c>
      <c r="JQ18" s="1">
        <f>Table14[[#This Row],[failurecost500_rating3]]+Table14[[#This Row],[failurecost100_rating3]]+Table14[[#This Row],[failurecost50_rating3]]+Table14[[#This Row],[failurecost10_rating3]]</f>
        <v>614.51274240000009</v>
      </c>
      <c r="JR18" s="1">
        <f>Table14[[#This Row],[failurecost500_rating4]]+Table14[[#This Row],[failurecost100_rating4]]+Table14[[#This Row],[failurecost50_rating4]]+Table14[[#This Row],[failurecost10_rating4]]</f>
        <v>215.64845312</v>
      </c>
      <c r="JS18" s="1">
        <f>Table14[[#This Row],[failurecost500_rating4]]+Table14[[#This Row],[failurecost100_rating4]]+Table14[[#This Row],[failurecost50_rating4]]+Table14[[#This Row],[failurecost10_rating4]]</f>
        <v>215.64845312</v>
      </c>
      <c r="JT18" s="1">
        <f>Table14[[#This Row],[failurecost500_rating5]]+Table14[[#This Row],[failurecost100_rating5]]+Table14[[#This Row],[failurecost50_rating5]]+Table14[[#This Row],[failurecost10_rating5]]</f>
        <v>12.102487065600002</v>
      </c>
      <c r="JU18" s="1">
        <f>Table14[[#This Row],[failurecost500_rating5]]+Table14[[#This Row],[failurecost100_rating5]]+Table14[[#This Row],[failurecost50_rating5]]+Table14[[#This Row],[failurecost10_rating5]]</f>
        <v>12.102487065600002</v>
      </c>
    </row>
    <row r="19" spans="1:281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Table14[[#This Row],[Depth10_Soil_vol]]*(9.353+9.027)+(Table14[[#This Row],[Depth10_Soil_vol]]/2.5)*20*1.053+(PI()*Table14[[#This Row],[Depth10_Scour]])*Table14[[#This Row],[DECK_WIDTH_MT_052]]*1.062</f>
        <v>10223.699035708925</v>
      </c>
      <c r="AR19" s="1">
        <f>Table14[[#This Row],[Depth50_Soil_vol]]*(9.353+9.027)+(Table14[[#This Row],[Depth50_Soil_vol]]/2.5)*20*1.053+(PI()*Table14[[#This Row],[Depth50_Scour]])*Table14[[#This Row],[DECK_WIDTH_MT_052]]*1.062</f>
        <v>11295.880242844603</v>
      </c>
      <c r="AS19" s="1">
        <f>Table14[[#This Row],[Depth100_Soil_vol]]*(9.353+9.027)+(Table14[[#This Row],[Depth100_Soil_vol]]/2.5)*20*1.053+(PI()*Table14[[#This Row],[Depth100_Scour]])*Table14[[#This Row],[DECK_WIDTH_MT_052]]*1.062</f>
        <v>11757.366155411924</v>
      </c>
      <c r="AT19" s="1">
        <f>Table14[[#This Row],[Depth500_Soil_vol]]*(9.353+9.027)+(Table14[[#This Row],[Depth500_Soil_vol]]/2.5)*20*1.053+(PI()*Table14[[#This Row],[Depth500_Scour]])*Table14[[#This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>
        <v>29.559959710000001</v>
      </c>
      <c r="GE19" s="1">
        <v>0</v>
      </c>
      <c r="GF19" s="1">
        <v>0.25</v>
      </c>
      <c r="GG19" s="1">
        <v>0.5</v>
      </c>
      <c r="GH19" s="1">
        <v>0.75</v>
      </c>
      <c r="GI19" s="1">
        <v>9</v>
      </c>
      <c r="GJ19" s="1">
        <v>10000</v>
      </c>
      <c r="GK19" s="1">
        <v>10000</v>
      </c>
      <c r="GL19" s="1">
        <v>10000</v>
      </c>
      <c r="GM19" s="1">
        <v>10000</v>
      </c>
      <c r="GN19" s="1">
        <v>10000</v>
      </c>
      <c r="GO19" s="1">
        <v>10000</v>
      </c>
      <c r="GP19" s="1">
        <v>0</v>
      </c>
      <c r="GQ19" s="1">
        <v>0</v>
      </c>
      <c r="GR19" s="1">
        <v>0</v>
      </c>
      <c r="GS19" s="1">
        <f t="shared" si="0"/>
        <v>2.5000000000000001E-2</v>
      </c>
      <c r="GT19" s="1">
        <v>0.01</v>
      </c>
      <c r="GU19" s="1">
        <v>2.5000000000000001E-3</v>
      </c>
      <c r="GV19" s="1">
        <v>4.0000000000000002E-4</v>
      </c>
      <c r="GW19" s="1">
        <v>6.9999999999999999E-6</v>
      </c>
      <c r="GX19" s="1">
        <v>1.8000000000000001E-4</v>
      </c>
      <c r="GY19" s="1">
        <v>1.8000000000000001E-4</v>
      </c>
      <c r="GZ19" s="1">
        <v>3.9999999999999998E-6</v>
      </c>
      <c r="HA19" s="1">
        <v>2.5000000000000002E-6</v>
      </c>
      <c r="HB19" s="1">
        <f t="shared" si="1"/>
        <v>1.2500000000000001E-2</v>
      </c>
      <c r="HC19" s="1">
        <v>6.0000000000000001E-3</v>
      </c>
      <c r="HD19" s="1">
        <v>2.5000000000000001E-3</v>
      </c>
      <c r="HE19" s="1">
        <v>5.0000000000000001E-4</v>
      </c>
      <c r="HF19" s="1">
        <v>7.9999999999999996E-6</v>
      </c>
      <c r="HG19" s="1">
        <v>2.5000000000000001E-4</v>
      </c>
      <c r="HH19" s="1">
        <v>2.5000000000000001E-4</v>
      </c>
      <c r="HI19" s="1">
        <v>5.0000000000000004E-6</v>
      </c>
      <c r="HJ19" s="1">
        <v>3.0000000000000001E-6</v>
      </c>
      <c r="HK19" s="1">
        <v>0.01</v>
      </c>
      <c r="HL19" s="1">
        <v>6.0000000000000001E-3</v>
      </c>
      <c r="HM19" s="1">
        <v>1.2999999999999999E-3</v>
      </c>
      <c r="HN19" s="1">
        <v>5.0000000000000001E-4</v>
      </c>
      <c r="HO19" s="1">
        <v>7.9999999999999996E-6</v>
      </c>
      <c r="HP19" s="1">
        <v>2.5000000000000001E-4</v>
      </c>
      <c r="HQ19" s="1">
        <v>2.5000000000000001E-4</v>
      </c>
      <c r="HR19" s="1">
        <v>5.0000000000000004E-6</v>
      </c>
      <c r="HS19" s="1">
        <v>3.0000000000000001E-6</v>
      </c>
      <c r="HT19" s="1">
        <v>0.01</v>
      </c>
      <c r="HU19" s="1">
        <v>8.0000000000000002E-3</v>
      </c>
      <c r="HV19" s="1">
        <v>1.6000000000000001E-3</v>
      </c>
      <c r="HW19" s="1">
        <v>5.9999999999999995E-4</v>
      </c>
      <c r="HX19" s="1">
        <v>4.0000000000000003E-5</v>
      </c>
      <c r="HY19" s="1">
        <v>4.0000000000000002E-4</v>
      </c>
      <c r="HZ19" s="1">
        <v>4.0000000000000002E-4</v>
      </c>
      <c r="IA19" s="1">
        <v>2.0000000000000002E-5</v>
      </c>
      <c r="IB19" s="1">
        <v>3.9999999999999998E-6</v>
      </c>
      <c r="IC19" s="1">
        <f>Table14[[#This Row],[Total_Cost_MUSD]]*Table14[[#This Row],[prob500-failure_rating1]]*1000000/500</f>
        <v>1477.9979854999999</v>
      </c>
      <c r="ID19" s="1">
        <f>Table14[[#This Row],[Total_Cost_MUSD]]*Table14[[#This Row],[prob500-failure_rating2]]*1000000/500</f>
        <v>591.19919420000008</v>
      </c>
      <c r="IE19" s="1">
        <f>Table14[[#This Row],[Total_Cost_MUSD]]*Table14[[#This Row],[prob500-failure_rating3]]*1000000/500</f>
        <v>147.79979855000002</v>
      </c>
      <c r="IF19" s="1">
        <f>Table14[[#This Row],[Total_Cost_MUSD]]*Table14[[#This Row],[prob500-failure_rating4]]*1000000/500</f>
        <v>23.647967768000001</v>
      </c>
      <c r="IG19" s="1">
        <f>Table14[[#This Row],[Total_Cost_MUSD]]*Table14[[#This Row],[prob500-failure_rating5]]*1000000/500</f>
        <v>0.41383943594000006</v>
      </c>
      <c r="IH19" s="1">
        <f>Table14[[#This Row],[Total_Cost_MUSD]]*Table14[[#This Row],[prob500-failure_rating6]]*1000000/500</f>
        <v>10.641585495600001</v>
      </c>
      <c r="II19" s="1">
        <f>Table14[[#This Row],[Total_Cost_MUSD]]*Table14[[#This Row],[prob500-failure_rating7]]*1000000/500</f>
        <v>10.641585495600001</v>
      </c>
      <c r="IJ19" s="1">
        <f>Table14[[#This Row],[Total_Cost_MUSD]]*Table14[[#This Row],[prob500-failure_rating8]]*1000000/500</f>
        <v>0.23647967768</v>
      </c>
      <c r="IK19" s="1">
        <f>Table14[[#This Row],[Total_Cost_MUSD]]*Table14[[#This Row],[prob500-failure_rating9]]*1000000/500</f>
        <v>0.14779979855000003</v>
      </c>
      <c r="IL19" s="1">
        <f>Table14[[#This Row],[Total_Cost_MUSD]]*Table14[[#This Row],[prob100-failure_rating1]]*1000000/100</f>
        <v>3694.9949637499999</v>
      </c>
      <c r="IM19" s="1">
        <f>Table14[[#This Row],[Total_Cost_MUSD]]*Table14[[#This Row],[prob100-failure_rating2]]*1000000/100</f>
        <v>1773.5975826000001</v>
      </c>
      <c r="IN19" s="1">
        <f>Table14[[#This Row],[Total_Cost_MUSD]]*Table14[[#This Row],[prob100-failure_rating3]]*1000000/100</f>
        <v>738.99899275000007</v>
      </c>
      <c r="IO19" s="1">
        <f>Table14[[#This Row],[Total_Cost_MUSD]]*Table14[[#This Row],[prob100-failure_rating4]]*1000000/100</f>
        <v>147.79979854999999</v>
      </c>
      <c r="IP19" s="1">
        <f>Table14[[#This Row],[Total_Cost_MUSD]]*Table14[[#This Row],[prob100-failure_rating5]]*1000000/100</f>
        <v>2.3647967768</v>
      </c>
      <c r="IQ19" s="1">
        <f>Table14[[#This Row],[Total_Cost_MUSD]]*Table14[[#This Row],[prob100-failure_rating6]]*1000000/100</f>
        <v>73.899899274999996</v>
      </c>
      <c r="IR19" s="1">
        <f>Table14[[#This Row],[Total_Cost_MUSD]]*Table14[[#This Row],[prob100-failure_rating7]]*1000000/100</f>
        <v>73.899899274999996</v>
      </c>
      <c r="IS19" s="1">
        <f>Table14[[#This Row],[Total_Cost_MUSD]]*Table14[[#This Row],[prob100-failure_rating8]]*1000000/100</f>
        <v>1.4779979855000003</v>
      </c>
      <c r="IT19" s="1">
        <f>Table14[[#This Row],[Total_Cost_MUSD]]*Table14[[#This Row],[prob100-failure_rating9]]*1000000/100</f>
        <v>0.88679879130000006</v>
      </c>
      <c r="IU19" s="1">
        <f>Table14[[#This Row],[Total_Cost_MUSD]]*Table14[[#This Row],[prob50-failure_rating1]]*1000000/50</f>
        <v>5911.9919420000006</v>
      </c>
      <c r="IV19" s="1">
        <f>Table14[[#This Row],[Total_Cost_MUSD]]*Table14[[#This Row],[prob50-failure_rating2]]*1000000/50</f>
        <v>3547.1951652000002</v>
      </c>
      <c r="IW19" s="1">
        <f>Table14[[#This Row],[Total_Cost_MUSD]]*Table14[[#This Row],[prob50-failure_rating3]]*1000000/50</f>
        <v>768.55895246</v>
      </c>
      <c r="IX19" s="1">
        <f>Table14[[#This Row],[Total_Cost_MUSD]]*Table14[[#This Row],[prob50-failure_rating4]]*1000000/50</f>
        <v>295.59959709999998</v>
      </c>
      <c r="IY19" s="1">
        <f>Table14[[#This Row],[Total_Cost_MUSD]]*Table14[[#This Row],[prob50-failure_rating5]]*1000000/50</f>
        <v>4.7295935536</v>
      </c>
      <c r="IZ19" s="1">
        <f>Table14[[#This Row],[Total_Cost_MUSD]]*Table14[[#This Row],[prob50-failure_rating6]]*1000000/50</f>
        <v>147.79979854999999</v>
      </c>
      <c r="JA19" s="1">
        <f>Table14[[#This Row],[Total_Cost_MUSD]]*Table14[[#This Row],[prob50-failure_rating7]]*1000000/50</f>
        <v>147.79979854999999</v>
      </c>
      <c r="JB19" s="1">
        <f>Table14[[#This Row],[Total_Cost_MUSD]]*Table14[[#This Row],[prob50-failure_rating8]]*1000000/50</f>
        <v>2.9559959710000006</v>
      </c>
      <c r="JC19" s="1">
        <f>Table14[[#This Row],[Total_Cost_MUSD]]*Table14[[#This Row],[prob50-failure_rating9]]*1000000/50</f>
        <v>1.7735975826000001</v>
      </c>
      <c r="JD19" s="1">
        <f>Table14[[#This Row],[Total_Cost_MUSD]]*Table14[[#This Row],[prob10-failure_rating1]]*1000000/10</f>
        <v>29559.959710000003</v>
      </c>
      <c r="JE19" s="1">
        <f>Table14[[#This Row],[Total_Cost_MUSD]]*Table14[[#This Row],[prob10-failure_rating2]]*1000000/10</f>
        <v>23647.967767999999</v>
      </c>
      <c r="JF19" s="1">
        <f>Table14[[#This Row],[Total_Cost_MUSD]]*Table14[[#This Row],[prob10-failure_rating3]]*1000000/10</f>
        <v>4729.5935536000006</v>
      </c>
      <c r="JG19" s="1">
        <f>Table14[[#This Row],[Total_Cost_MUSD]]*Table14[[#This Row],[prob10-failure_rating4]]*1000000/10</f>
        <v>1773.5975825999999</v>
      </c>
      <c r="JH19" s="1">
        <f>Table14[[#This Row],[Total_Cost_MUSD]]*Table14[[#This Row],[prob10-failure_rating5]]*1000000/10</f>
        <v>118.23983884000002</v>
      </c>
      <c r="JI19" s="1">
        <f>Table14[[#This Row],[Total_Cost_MUSD]]*Table14[[#This Row],[prob10-failure_rating6]]*1000000/10</f>
        <v>1182.3983884000002</v>
      </c>
      <c r="JJ19" s="1">
        <f>Table14[[#This Row],[Total_Cost_MUSD]]*Table14[[#This Row],[prob10-failure_rating7]]*1000000/10</f>
        <v>1182.3983884000002</v>
      </c>
      <c r="JK19" s="1">
        <f>Table14[[#This Row],[Total_Cost_MUSD]]*Table14[[#This Row],[prob10-failure_rating8]]*1000000/10</f>
        <v>59.119919420000009</v>
      </c>
      <c r="JL19" s="1">
        <f>Table14[[#This Row],[Total_Cost_MUSD]]*Table14[[#This Row],[prob10-failure_rating9]]*1000000/10</f>
        <v>11.823983884</v>
      </c>
      <c r="JM19" s="1">
        <f>Table14[[#This Row],[failurecost500_rating1]]+Table14[[#This Row],[failurecost100_rating1]]+Table14[[#This Row],[failurecost50_rating1]]+Table14[[#This Row],[failurecost10_rating1]]</f>
        <v>40644.944601250005</v>
      </c>
      <c r="JN19" s="1">
        <f>Table14[[#This Row],[failurecost500_rating2]]+Table14[[#This Row],[failurecost100_rating2]]+Table14[[#This Row],[failurecost50_rating2]]+Table14[[#This Row],[failurecost10_rating2]]</f>
        <v>29559.959709999999</v>
      </c>
      <c r="JO19" s="1">
        <f>Table14[[#This Row],[failurecost500_rating2]]+Table14[[#This Row],[failurecost100_rating2]]+Table14[[#This Row],[failurecost50_rating2]]+Table14[[#This Row],[failurecost10_rating2]]</f>
        <v>29559.959709999999</v>
      </c>
      <c r="JP19" s="1">
        <f>Table14[[#This Row],[failurecost500_rating3]]+Table14[[#This Row],[failurecost100_rating3]]+Table14[[#This Row],[failurecost50_rating3]]+Table14[[#This Row],[failurecost10_rating3]]</f>
        <v>6384.9512973600013</v>
      </c>
      <c r="JQ19" s="1">
        <f>Table14[[#This Row],[failurecost500_rating3]]+Table14[[#This Row],[failurecost100_rating3]]+Table14[[#This Row],[failurecost50_rating3]]+Table14[[#This Row],[failurecost10_rating3]]</f>
        <v>6384.9512973600013</v>
      </c>
      <c r="JR19" s="1">
        <f>Table14[[#This Row],[failurecost500_rating4]]+Table14[[#This Row],[failurecost100_rating4]]+Table14[[#This Row],[failurecost50_rating4]]+Table14[[#This Row],[failurecost10_rating4]]</f>
        <v>2240.6449460179997</v>
      </c>
      <c r="JS19" s="1">
        <f>Table14[[#This Row],[failurecost500_rating4]]+Table14[[#This Row],[failurecost100_rating4]]+Table14[[#This Row],[failurecost50_rating4]]+Table14[[#This Row],[failurecost10_rating4]]</f>
        <v>2240.6449460179997</v>
      </c>
      <c r="JT19" s="1">
        <f>Table14[[#This Row],[failurecost500_rating5]]+Table14[[#This Row],[failurecost100_rating5]]+Table14[[#This Row],[failurecost50_rating5]]+Table14[[#This Row],[failurecost10_rating5]]</f>
        <v>125.74806860634001</v>
      </c>
      <c r="JU19" s="1">
        <f>Table14[[#This Row],[failurecost500_rating5]]+Table14[[#This Row],[failurecost100_rating5]]+Table14[[#This Row],[failurecost50_rating5]]+Table14[[#This Row],[failurecost10_rating5]]</f>
        <v>125.74806860634001</v>
      </c>
    </row>
    <row r="20" spans="1:281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Table14[[#This Row],[Depth10_Soil_vol]]*(9.353+9.027)+(Table14[[#This Row],[Depth10_Soil_vol]]/2.5)*20*1.053+(PI()*Table14[[#This Row],[Depth10_Scour]])*Table14[[#This Row],[DECK_WIDTH_MT_052]]*1.062</f>
        <v>13853.451944603266</v>
      </c>
      <c r="AR20" s="1">
        <f>Table14[[#This Row],[Depth50_Soil_vol]]*(9.353+9.027)+(Table14[[#This Row],[Depth50_Soil_vol]]/2.5)*20*1.053+(PI()*Table14[[#This Row],[Depth50_Scour]])*Table14[[#This Row],[DECK_WIDTH_MT_052]]*1.062</f>
        <v>14885.488907843239</v>
      </c>
      <c r="AS20" s="1">
        <f>Table14[[#This Row],[Depth100_Soil_vol]]*(9.353+9.027)+(Table14[[#This Row],[Depth100_Soil_vol]]/2.5)*20*1.053+(PI()*Table14[[#This Row],[Depth100_Scour]])*Table14[[#This Row],[DECK_WIDTH_MT_052]]*1.062</f>
        <v>15342.083437730904</v>
      </c>
      <c r="AT20" s="1">
        <f>Table14[[#This Row],[Depth500_Soil_vol]]*(9.353+9.027)+(Table14[[#This Row],[Depth500_Soil_vol]]/2.5)*20*1.053+(PI()*Table14[[#This Row],[Depth500_Scour]])*Table14[[#This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>
        <v>38.312809770000001</v>
      </c>
      <c r="GE20" s="1">
        <v>0</v>
      </c>
      <c r="GF20" s="1">
        <v>0</v>
      </c>
      <c r="GG20" s="1">
        <v>0</v>
      </c>
      <c r="GH20" s="1">
        <v>0</v>
      </c>
      <c r="GI20" s="1">
        <v>7</v>
      </c>
      <c r="GJ20" s="1">
        <v>10000</v>
      </c>
      <c r="GK20" s="1">
        <v>10000</v>
      </c>
      <c r="GL20" s="1">
        <v>10000</v>
      </c>
      <c r="GM20" s="1">
        <v>10000</v>
      </c>
      <c r="GN20" s="1">
        <v>10000</v>
      </c>
      <c r="GO20" s="1">
        <v>10000</v>
      </c>
      <c r="GP20" s="1">
        <v>0</v>
      </c>
      <c r="GQ20" s="1">
        <v>0</v>
      </c>
      <c r="GR20" s="1">
        <v>0</v>
      </c>
      <c r="GS20" s="1">
        <f t="shared" si="0"/>
        <v>2.5000000000000001E-2</v>
      </c>
      <c r="GT20" s="1">
        <v>0.01</v>
      </c>
      <c r="GU20" s="1">
        <v>2.5000000000000001E-3</v>
      </c>
      <c r="GV20" s="1">
        <v>4.0000000000000002E-4</v>
      </c>
      <c r="GW20" s="1">
        <v>6.9999999999999999E-6</v>
      </c>
      <c r="GX20" s="1">
        <v>1.8000000000000001E-4</v>
      </c>
      <c r="GY20" s="1">
        <v>1.8000000000000001E-4</v>
      </c>
      <c r="GZ20" s="1">
        <v>3.9999999999999998E-6</v>
      </c>
      <c r="HA20" s="1">
        <v>2.5000000000000002E-6</v>
      </c>
      <c r="HB20" s="1">
        <f t="shared" si="1"/>
        <v>1.2500000000000001E-2</v>
      </c>
      <c r="HC20" s="1">
        <v>6.0000000000000001E-3</v>
      </c>
      <c r="HD20" s="1">
        <v>2.5000000000000001E-3</v>
      </c>
      <c r="HE20" s="1">
        <v>5.0000000000000001E-4</v>
      </c>
      <c r="HF20" s="1">
        <v>7.9999999999999996E-6</v>
      </c>
      <c r="HG20" s="1">
        <v>2.5000000000000001E-4</v>
      </c>
      <c r="HH20" s="1">
        <v>2.5000000000000001E-4</v>
      </c>
      <c r="HI20" s="1">
        <v>5.0000000000000004E-6</v>
      </c>
      <c r="HJ20" s="1">
        <v>3.0000000000000001E-6</v>
      </c>
      <c r="HK20" s="1">
        <v>0.01</v>
      </c>
      <c r="HL20" s="1">
        <v>6.0000000000000001E-3</v>
      </c>
      <c r="HM20" s="1">
        <v>1.2999999999999999E-3</v>
      </c>
      <c r="HN20" s="1">
        <v>5.0000000000000001E-4</v>
      </c>
      <c r="HO20" s="1">
        <v>7.9999999999999996E-6</v>
      </c>
      <c r="HP20" s="1">
        <v>2.5000000000000001E-4</v>
      </c>
      <c r="HQ20" s="1">
        <v>2.5000000000000001E-4</v>
      </c>
      <c r="HR20" s="1">
        <v>5.0000000000000004E-6</v>
      </c>
      <c r="HS20" s="1">
        <v>3.0000000000000001E-6</v>
      </c>
      <c r="HT20" s="1">
        <v>0.01</v>
      </c>
      <c r="HU20" s="1">
        <v>8.0000000000000002E-3</v>
      </c>
      <c r="HV20" s="1">
        <v>1.6000000000000001E-3</v>
      </c>
      <c r="HW20" s="1">
        <v>5.9999999999999995E-4</v>
      </c>
      <c r="HX20" s="1">
        <v>4.0000000000000003E-5</v>
      </c>
      <c r="HY20" s="1">
        <v>4.0000000000000002E-4</v>
      </c>
      <c r="HZ20" s="1">
        <v>4.0000000000000002E-4</v>
      </c>
      <c r="IA20" s="1">
        <v>2.0000000000000002E-5</v>
      </c>
      <c r="IB20" s="1">
        <v>3.9999999999999998E-6</v>
      </c>
      <c r="IC20" s="1">
        <f>Table14[[#This Row],[Total_Cost_MUSD]]*Table14[[#This Row],[prob500-failure_rating1]]*1000000/500</f>
        <v>1915.6404885000002</v>
      </c>
      <c r="ID20" s="1">
        <f>Table14[[#This Row],[Total_Cost_MUSD]]*Table14[[#This Row],[prob500-failure_rating2]]*1000000/500</f>
        <v>766.25619540000002</v>
      </c>
      <c r="IE20" s="1">
        <f>Table14[[#This Row],[Total_Cost_MUSD]]*Table14[[#This Row],[prob500-failure_rating3]]*1000000/500</f>
        <v>191.56404885000001</v>
      </c>
      <c r="IF20" s="1">
        <f>Table14[[#This Row],[Total_Cost_MUSD]]*Table14[[#This Row],[prob500-failure_rating4]]*1000000/500</f>
        <v>30.650247816000004</v>
      </c>
      <c r="IG20" s="1">
        <f>Table14[[#This Row],[Total_Cost_MUSD]]*Table14[[#This Row],[prob500-failure_rating5]]*1000000/500</f>
        <v>0.53637933678000005</v>
      </c>
      <c r="IH20" s="1">
        <f>Table14[[#This Row],[Total_Cost_MUSD]]*Table14[[#This Row],[prob500-failure_rating6]]*1000000/500</f>
        <v>13.792611517200001</v>
      </c>
      <c r="II20" s="1">
        <f>Table14[[#This Row],[Total_Cost_MUSD]]*Table14[[#This Row],[prob500-failure_rating7]]*1000000/500</f>
        <v>13.792611517200001</v>
      </c>
      <c r="IJ20" s="1">
        <f>Table14[[#This Row],[Total_Cost_MUSD]]*Table14[[#This Row],[prob500-failure_rating8]]*1000000/500</f>
        <v>0.30650247816000004</v>
      </c>
      <c r="IK20" s="1">
        <f>Table14[[#This Row],[Total_Cost_MUSD]]*Table14[[#This Row],[prob500-failure_rating9]]*1000000/500</f>
        <v>0.19156404885000003</v>
      </c>
      <c r="IL20" s="1">
        <f>Table14[[#This Row],[Total_Cost_MUSD]]*Table14[[#This Row],[prob100-failure_rating1]]*1000000/100</f>
        <v>4789.1012212500009</v>
      </c>
      <c r="IM20" s="1">
        <f>Table14[[#This Row],[Total_Cost_MUSD]]*Table14[[#This Row],[prob100-failure_rating2]]*1000000/100</f>
        <v>2298.7685862000003</v>
      </c>
      <c r="IN20" s="1">
        <f>Table14[[#This Row],[Total_Cost_MUSD]]*Table14[[#This Row],[prob100-failure_rating3]]*1000000/100</f>
        <v>957.82024424999997</v>
      </c>
      <c r="IO20" s="1">
        <f>Table14[[#This Row],[Total_Cost_MUSD]]*Table14[[#This Row],[prob100-failure_rating4]]*1000000/100</f>
        <v>191.56404885000003</v>
      </c>
      <c r="IP20" s="1">
        <f>Table14[[#This Row],[Total_Cost_MUSD]]*Table14[[#This Row],[prob100-failure_rating5]]*1000000/100</f>
        <v>3.0650247816</v>
      </c>
      <c r="IQ20" s="1">
        <f>Table14[[#This Row],[Total_Cost_MUSD]]*Table14[[#This Row],[prob100-failure_rating6]]*1000000/100</f>
        <v>95.782024425000017</v>
      </c>
      <c r="IR20" s="1">
        <f>Table14[[#This Row],[Total_Cost_MUSD]]*Table14[[#This Row],[prob100-failure_rating7]]*1000000/100</f>
        <v>95.782024425000017</v>
      </c>
      <c r="IS20" s="1">
        <f>Table14[[#This Row],[Total_Cost_MUSD]]*Table14[[#This Row],[prob100-failure_rating8]]*1000000/100</f>
        <v>1.9156404885000002</v>
      </c>
      <c r="IT20" s="1">
        <f>Table14[[#This Row],[Total_Cost_MUSD]]*Table14[[#This Row],[prob100-failure_rating9]]*1000000/100</f>
        <v>1.1493842931</v>
      </c>
      <c r="IU20" s="1">
        <f>Table14[[#This Row],[Total_Cost_MUSD]]*Table14[[#This Row],[prob50-failure_rating1]]*1000000/50</f>
        <v>7662.5619539999998</v>
      </c>
      <c r="IV20" s="1">
        <f>Table14[[#This Row],[Total_Cost_MUSD]]*Table14[[#This Row],[prob50-failure_rating2]]*1000000/50</f>
        <v>4597.5371724000006</v>
      </c>
      <c r="IW20" s="1">
        <f>Table14[[#This Row],[Total_Cost_MUSD]]*Table14[[#This Row],[prob50-failure_rating3]]*1000000/50</f>
        <v>996.13305402000003</v>
      </c>
      <c r="IX20" s="1">
        <f>Table14[[#This Row],[Total_Cost_MUSD]]*Table14[[#This Row],[prob50-failure_rating4]]*1000000/50</f>
        <v>383.12809770000007</v>
      </c>
      <c r="IY20" s="1">
        <f>Table14[[#This Row],[Total_Cost_MUSD]]*Table14[[#This Row],[prob50-failure_rating5]]*1000000/50</f>
        <v>6.1300495632000001</v>
      </c>
      <c r="IZ20" s="1">
        <f>Table14[[#This Row],[Total_Cost_MUSD]]*Table14[[#This Row],[prob50-failure_rating6]]*1000000/50</f>
        <v>191.56404885000003</v>
      </c>
      <c r="JA20" s="1">
        <f>Table14[[#This Row],[Total_Cost_MUSD]]*Table14[[#This Row],[prob50-failure_rating7]]*1000000/50</f>
        <v>191.56404885000003</v>
      </c>
      <c r="JB20" s="1">
        <f>Table14[[#This Row],[Total_Cost_MUSD]]*Table14[[#This Row],[prob50-failure_rating8]]*1000000/50</f>
        <v>3.8312809770000005</v>
      </c>
      <c r="JC20" s="1">
        <f>Table14[[#This Row],[Total_Cost_MUSD]]*Table14[[#This Row],[prob50-failure_rating9]]*1000000/50</f>
        <v>2.2987685862</v>
      </c>
      <c r="JD20" s="1">
        <f>Table14[[#This Row],[Total_Cost_MUSD]]*Table14[[#This Row],[prob10-failure_rating1]]*1000000/10</f>
        <v>38312.80977</v>
      </c>
      <c r="JE20" s="1">
        <f>Table14[[#This Row],[Total_Cost_MUSD]]*Table14[[#This Row],[prob10-failure_rating2]]*1000000/10</f>
        <v>30650.247816000006</v>
      </c>
      <c r="JF20" s="1">
        <f>Table14[[#This Row],[Total_Cost_MUSD]]*Table14[[#This Row],[prob10-failure_rating3]]*1000000/10</f>
        <v>6130.0495632000002</v>
      </c>
      <c r="JG20" s="1">
        <f>Table14[[#This Row],[Total_Cost_MUSD]]*Table14[[#This Row],[prob10-failure_rating4]]*1000000/10</f>
        <v>2298.7685861999998</v>
      </c>
      <c r="JH20" s="1">
        <f>Table14[[#This Row],[Total_Cost_MUSD]]*Table14[[#This Row],[prob10-failure_rating5]]*1000000/10</f>
        <v>153.25123908000003</v>
      </c>
      <c r="JI20" s="1">
        <f>Table14[[#This Row],[Total_Cost_MUSD]]*Table14[[#This Row],[prob10-failure_rating6]]*1000000/10</f>
        <v>1532.5123908</v>
      </c>
      <c r="JJ20" s="1">
        <f>Table14[[#This Row],[Total_Cost_MUSD]]*Table14[[#This Row],[prob10-failure_rating7]]*1000000/10</f>
        <v>1532.5123908</v>
      </c>
      <c r="JK20" s="1">
        <f>Table14[[#This Row],[Total_Cost_MUSD]]*Table14[[#This Row],[prob10-failure_rating8]]*1000000/10</f>
        <v>76.625619540000017</v>
      </c>
      <c r="JL20" s="1">
        <f>Table14[[#This Row],[Total_Cost_MUSD]]*Table14[[#This Row],[prob10-failure_rating9]]*1000000/10</f>
        <v>15.325123908</v>
      </c>
      <c r="JM20" s="1">
        <f>Table14[[#This Row],[failurecost500_rating1]]+Table14[[#This Row],[failurecost100_rating1]]+Table14[[#This Row],[failurecost50_rating1]]+Table14[[#This Row],[failurecost10_rating1]]</f>
        <v>52680.113433749997</v>
      </c>
      <c r="JN20" s="1">
        <f>Table14[[#This Row],[failurecost500_rating2]]+Table14[[#This Row],[failurecost100_rating2]]+Table14[[#This Row],[failurecost50_rating2]]+Table14[[#This Row],[failurecost10_rating2]]</f>
        <v>38312.809770000007</v>
      </c>
      <c r="JO20" s="1">
        <f>Table14[[#This Row],[failurecost500_rating2]]+Table14[[#This Row],[failurecost100_rating2]]+Table14[[#This Row],[failurecost50_rating2]]+Table14[[#This Row],[failurecost10_rating2]]</f>
        <v>38312.809770000007</v>
      </c>
      <c r="JP20" s="1">
        <f>Table14[[#This Row],[failurecost500_rating3]]+Table14[[#This Row],[failurecost100_rating3]]+Table14[[#This Row],[failurecost50_rating3]]+Table14[[#This Row],[failurecost10_rating3]]</f>
        <v>8275.5669103199998</v>
      </c>
      <c r="JQ20" s="1">
        <f>Table14[[#This Row],[failurecost500_rating3]]+Table14[[#This Row],[failurecost100_rating3]]+Table14[[#This Row],[failurecost50_rating3]]+Table14[[#This Row],[failurecost10_rating3]]</f>
        <v>8275.5669103199998</v>
      </c>
      <c r="JR20" s="1">
        <f>Table14[[#This Row],[failurecost500_rating4]]+Table14[[#This Row],[failurecost100_rating4]]+Table14[[#This Row],[failurecost50_rating4]]+Table14[[#This Row],[failurecost10_rating4]]</f>
        <v>2904.1109805659999</v>
      </c>
      <c r="JS20" s="1">
        <f>Table14[[#This Row],[failurecost500_rating4]]+Table14[[#This Row],[failurecost100_rating4]]+Table14[[#This Row],[failurecost50_rating4]]+Table14[[#This Row],[failurecost10_rating4]]</f>
        <v>2904.1109805659999</v>
      </c>
      <c r="JT20" s="1">
        <f>Table14[[#This Row],[failurecost500_rating5]]+Table14[[#This Row],[failurecost100_rating5]]+Table14[[#This Row],[failurecost50_rating5]]+Table14[[#This Row],[failurecost10_rating5]]</f>
        <v>162.98269276158004</v>
      </c>
      <c r="JU20" s="1">
        <f>Table14[[#This Row],[failurecost500_rating5]]+Table14[[#This Row],[failurecost100_rating5]]+Table14[[#This Row],[failurecost50_rating5]]+Table14[[#This Row],[failurecost10_rating5]]</f>
        <v>162.98269276158004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0907-5EEC-4B3F-8A4F-1C6A8ECA5D01}">
  <dimension ref="A1:JW20"/>
  <sheetViews>
    <sheetView topLeftCell="IY1" workbookViewId="0">
      <selection activeCell="JN2" sqref="JN2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5" width="30.44140625" hidden="1" customWidth="1"/>
    <col min="186" max="186" width="11.6640625" customWidth="1"/>
    <col min="187" max="189" width="25.44140625" hidden="1" customWidth="1"/>
    <col min="190" max="190" width="24.44140625" hidden="1" customWidth="1"/>
    <col min="191" max="192" width="7.6640625" customWidth="1"/>
    <col min="193" max="193" width="11.33203125" customWidth="1"/>
    <col min="194" max="194" width="11" customWidth="1"/>
    <col min="195" max="195" width="11.109375" customWidth="1"/>
    <col min="196" max="201" width="11.44140625" bestFit="1" customWidth="1"/>
    <col min="202" max="203" width="9.33203125" customWidth="1"/>
    <col min="206" max="206" width="11.44140625" bestFit="1" customWidth="1"/>
    <col min="210" max="210" width="9.44140625" bestFit="1" customWidth="1"/>
    <col min="238" max="238" width="13.6640625" bestFit="1" customWidth="1"/>
    <col min="239" max="264" width="11.44140625" bestFit="1" customWidth="1"/>
    <col min="265" max="274" width="11.44140625" customWidth="1"/>
    <col min="275" max="276" width="11.44140625" bestFit="1" customWidth="1"/>
    <col min="277" max="277" width="10.44140625" bestFit="1" customWidth="1"/>
  </cols>
  <sheetData>
    <row r="1" spans="1:283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181</v>
      </c>
      <c r="GE1" s="2" t="s">
        <v>311</v>
      </c>
      <c r="GF1" s="2" t="s">
        <v>310</v>
      </c>
      <c r="GG1" s="2" t="s">
        <v>309</v>
      </c>
      <c r="GH1" s="2" t="s">
        <v>308</v>
      </c>
      <c r="GI1" s="2" t="s">
        <v>312</v>
      </c>
      <c r="GJ1" s="2" t="s">
        <v>409</v>
      </c>
      <c r="GK1" s="2" t="s">
        <v>318</v>
      </c>
      <c r="GL1" s="2" t="s">
        <v>319</v>
      </c>
      <c r="GM1" s="2" t="s">
        <v>320</v>
      </c>
      <c r="GN1" s="2" t="s">
        <v>321</v>
      </c>
      <c r="GO1" s="2" t="s">
        <v>322</v>
      </c>
      <c r="GP1" s="2" t="s">
        <v>323</v>
      </c>
      <c r="GQ1" s="2" t="s">
        <v>324</v>
      </c>
      <c r="GR1" s="2" t="s">
        <v>325</v>
      </c>
      <c r="GS1" s="2" t="s">
        <v>326</v>
      </c>
      <c r="GT1" s="2" t="s">
        <v>327</v>
      </c>
      <c r="GU1" s="2" t="s">
        <v>328</v>
      </c>
      <c r="GV1" s="2" t="s">
        <v>329</v>
      </c>
      <c r="GW1" s="2" t="s">
        <v>330</v>
      </c>
      <c r="GX1" s="2" t="s">
        <v>331</v>
      </c>
      <c r="GY1" s="2" t="s">
        <v>332</v>
      </c>
      <c r="GZ1" s="2" t="s">
        <v>333</v>
      </c>
      <c r="HA1" s="2" t="s">
        <v>334</v>
      </c>
      <c r="HB1" s="2" t="s">
        <v>335</v>
      </c>
      <c r="HC1" s="2" t="s">
        <v>336</v>
      </c>
      <c r="HD1" s="2" t="s">
        <v>337</v>
      </c>
      <c r="HE1" s="2" t="s">
        <v>338</v>
      </c>
      <c r="HF1" s="2" t="s">
        <v>339</v>
      </c>
      <c r="HG1" s="2" t="s">
        <v>340</v>
      </c>
      <c r="HH1" s="2" t="s">
        <v>341</v>
      </c>
      <c r="HI1" s="2" t="s">
        <v>342</v>
      </c>
      <c r="HJ1" s="2" t="s">
        <v>343</v>
      </c>
      <c r="HK1" s="2" t="s">
        <v>344</v>
      </c>
      <c r="HL1" s="2" t="s">
        <v>345</v>
      </c>
      <c r="HM1" s="2" t="s">
        <v>346</v>
      </c>
      <c r="HN1" s="2" t="s">
        <v>347</v>
      </c>
      <c r="HO1" s="2" t="s">
        <v>348</v>
      </c>
      <c r="HP1" s="2" t="s">
        <v>349</v>
      </c>
      <c r="HQ1" s="2" t="s">
        <v>350</v>
      </c>
      <c r="HR1" s="2" t="s">
        <v>351</v>
      </c>
      <c r="HS1" s="2" t="s">
        <v>352</v>
      </c>
      <c r="HT1" s="2" t="s">
        <v>353</v>
      </c>
      <c r="HU1" s="2" t="s">
        <v>354</v>
      </c>
      <c r="HV1" s="2" t="s">
        <v>355</v>
      </c>
      <c r="HW1" s="2" t="s">
        <v>356</v>
      </c>
      <c r="HX1" s="2" t="s">
        <v>357</v>
      </c>
      <c r="HY1" s="2" t="s">
        <v>358</v>
      </c>
      <c r="HZ1" s="2" t="s">
        <v>359</v>
      </c>
      <c r="IA1" s="2" t="s">
        <v>360</v>
      </c>
      <c r="IB1" s="2" t="s">
        <v>361</v>
      </c>
      <c r="IC1" s="2" t="s">
        <v>362</v>
      </c>
      <c r="ID1" s="2" t="s">
        <v>363</v>
      </c>
      <c r="IE1" s="2" t="s">
        <v>364</v>
      </c>
      <c r="IF1" s="2" t="s">
        <v>365</v>
      </c>
      <c r="IG1" s="2" t="s">
        <v>366</v>
      </c>
      <c r="IH1" s="2" t="s">
        <v>367</v>
      </c>
      <c r="II1" s="2" t="s">
        <v>368</v>
      </c>
      <c r="IJ1" s="2" t="s">
        <v>369</v>
      </c>
      <c r="IK1" s="2" t="s">
        <v>370</v>
      </c>
      <c r="IL1" s="2" t="s">
        <v>371</v>
      </c>
      <c r="IM1" s="2" t="s">
        <v>372</v>
      </c>
      <c r="IN1" s="2" t="s">
        <v>373</v>
      </c>
      <c r="IO1" s="2" t="s">
        <v>374</v>
      </c>
      <c r="IP1" s="2" t="s">
        <v>375</v>
      </c>
      <c r="IQ1" s="2" t="s">
        <v>376</v>
      </c>
      <c r="IR1" s="2" t="s">
        <v>377</v>
      </c>
      <c r="IS1" s="2" t="s">
        <v>378</v>
      </c>
      <c r="IT1" s="2" t="s">
        <v>379</v>
      </c>
      <c r="IU1" s="2" t="s">
        <v>380</v>
      </c>
      <c r="IV1" s="2" t="s">
        <v>381</v>
      </c>
      <c r="IW1" s="2" t="s">
        <v>382</v>
      </c>
      <c r="IX1" s="2" t="s">
        <v>383</v>
      </c>
      <c r="IY1" s="2" t="s">
        <v>384</v>
      </c>
      <c r="IZ1" s="2" t="s">
        <v>385</v>
      </c>
      <c r="JA1" s="2" t="s">
        <v>386</v>
      </c>
      <c r="JB1" s="2" t="s">
        <v>387</v>
      </c>
      <c r="JC1" s="2" t="s">
        <v>388</v>
      </c>
      <c r="JD1" s="2" t="s">
        <v>389</v>
      </c>
      <c r="JE1" s="2" t="s">
        <v>399</v>
      </c>
      <c r="JF1" s="2" t="s">
        <v>400</v>
      </c>
      <c r="JG1" s="2" t="s">
        <v>401</v>
      </c>
      <c r="JH1" s="2" t="s">
        <v>402</v>
      </c>
      <c r="JI1" s="2" t="s">
        <v>403</v>
      </c>
      <c r="JJ1" s="2" t="s">
        <v>404</v>
      </c>
      <c r="JK1" s="2" t="s">
        <v>405</v>
      </c>
      <c r="JL1" s="2" t="s">
        <v>406</v>
      </c>
      <c r="JM1" s="2" t="s">
        <v>407</v>
      </c>
      <c r="JN1" s="2" t="s">
        <v>408</v>
      </c>
      <c r="JO1" s="2" t="s">
        <v>390</v>
      </c>
      <c r="JP1" s="2" t="s">
        <v>391</v>
      </c>
      <c r="JQ1" s="2" t="s">
        <v>392</v>
      </c>
      <c r="JR1" s="2" t="s">
        <v>393</v>
      </c>
      <c r="JS1" s="2" t="s">
        <v>394</v>
      </c>
      <c r="JT1" s="2" t="s">
        <v>395</v>
      </c>
      <c r="JU1" s="2" t="s">
        <v>396</v>
      </c>
      <c r="JV1" s="2" t="s">
        <v>397</v>
      </c>
      <c r="JW1" s="2" t="s">
        <v>398</v>
      </c>
    </row>
    <row r="2" spans="1:283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Table13[[#This Row],[Depth10_Soil_vol]]*(9.353+9.027)+(Table13[[#This Row],[Depth10_Soil_vol]]/2.5)*20*1.053+(PI()*Table13[[#This Row],[Depth10_Scour]])*Table13[[#This Row],[DECK_WIDTH_MT_052]]*1.062</f>
        <v>11998.897701083155</v>
      </c>
      <c r="AR2" s="1">
        <f>Table13[[#This Row],[Depth50_Soil_vol]]*(9.353+9.027)+(Table13[[#This Row],[Depth50_Soil_vol]]/2.5)*20*1.053+(PI()*Table13[[#This Row],[Depth50_Scour]])*Table13[[#This Row],[DECK_WIDTH_MT_052]]*1.062</f>
        <v>12798.983727608316</v>
      </c>
      <c r="AS2" s="1">
        <f>Table13[[#This Row],[Depth100_Soil_vol]]*(9.353+9.027)+(Table13[[#This Row],[Depth100_Soil_vol]]/2.5)*20*1.053+(PI()*Table13[[#This Row],[Depth100_Scour]])*Table13[[#This Row],[DECK_WIDTH_MT_052]]*1.062</f>
        <v>13156.203147223239</v>
      </c>
      <c r="AT2" s="1">
        <f>Table13[[#This Row],[Depth500_Soil_vol]]*(9.353+9.027)+(Table13[[#This Row],[Depth500_Soil_vol]]/2.5)*20*1.053+(PI()*Table13[[#This Row],[Depth500_Scour]])*Table13[[#This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>
        <v>28.990788219999999</v>
      </c>
      <c r="GE2" s="1">
        <v>0</v>
      </c>
      <c r="GF2" s="1">
        <v>0</v>
      </c>
      <c r="GG2" s="1">
        <v>0</v>
      </c>
      <c r="GH2" s="1">
        <v>0</v>
      </c>
      <c r="GI2" s="1">
        <v>8</v>
      </c>
      <c r="GJ2" s="1">
        <v>6</v>
      </c>
      <c r="GK2" s="1">
        <f>5</f>
        <v>5</v>
      </c>
      <c r="GL2" s="1">
        <f>Table13[[#This Row],[cost_repair_rating1]]/2</f>
        <v>2.5</v>
      </c>
      <c r="GM2" s="1">
        <f>Table13[[#This Row],[cost_repair_rating2]]/2</f>
        <v>1.25</v>
      </c>
      <c r="GN2" s="1">
        <f>Table13[[#This Row],[cost_repair_rating3]]/2</f>
        <v>0.625</v>
      </c>
      <c r="GO2" s="1">
        <f>Table13[[#This Row],[cost_repair_rating4]]/2</f>
        <v>0.3125</v>
      </c>
      <c r="GP2" s="1">
        <f>Table13[[#This Row],[cost_repair_rating5]]/2</f>
        <v>0.15625</v>
      </c>
      <c r="GQ2" s="1">
        <v>0</v>
      </c>
      <c r="GR2" s="1">
        <v>0</v>
      </c>
      <c r="GS2" s="1">
        <v>0</v>
      </c>
      <c r="GT2" s="1">
        <f>2.5/100</f>
        <v>2.5000000000000001E-2</v>
      </c>
      <c r="GU2" s="1">
        <v>0.01</v>
      </c>
      <c r="GV2" s="1">
        <v>2.5000000000000001E-3</v>
      </c>
      <c r="GW2" s="1">
        <v>4.0000000000000002E-4</v>
      </c>
      <c r="GX2" s="1">
        <f>(2*Table13[[#This Row],[prob500-failure_rating4]]+Table13[[#This Row],[prob500-failure_rating6]])/3</f>
        <v>3.2666666666666667E-4</v>
      </c>
      <c r="GY2" s="1">
        <v>1.8000000000000001E-4</v>
      </c>
      <c r="GZ2" s="1">
        <v>1.8000000000000001E-4</v>
      </c>
      <c r="HA2" s="1">
        <v>3.9999999999999998E-6</v>
      </c>
      <c r="HB2" s="1">
        <v>2.5000000000000002E-6</v>
      </c>
      <c r="HC2" s="1">
        <f>1.25/100</f>
        <v>1.2500000000000001E-2</v>
      </c>
      <c r="HD2" s="1">
        <v>6.0000000000000001E-3</v>
      </c>
      <c r="HE2" s="1">
        <v>2.5000000000000001E-3</v>
      </c>
      <c r="HF2" s="1">
        <v>5.0000000000000001E-4</v>
      </c>
      <c r="HG2" s="1">
        <v>7.9999999999999996E-6</v>
      </c>
      <c r="HH2" s="1">
        <v>2.5000000000000001E-4</v>
      </c>
      <c r="HI2" s="1">
        <v>2.5000000000000001E-4</v>
      </c>
      <c r="HJ2" s="1">
        <v>5.0000000000000004E-6</v>
      </c>
      <c r="HK2" s="1">
        <v>3.0000000000000001E-6</v>
      </c>
      <c r="HL2" s="1">
        <v>0.01</v>
      </c>
      <c r="HM2" s="1">
        <v>6.0000000000000001E-3</v>
      </c>
      <c r="HN2" s="1">
        <v>1.2999999999999999E-3</v>
      </c>
      <c r="HO2" s="1">
        <v>5.0000000000000001E-4</v>
      </c>
      <c r="HP2" s="1">
        <v>7.9999999999999996E-6</v>
      </c>
      <c r="HQ2" s="1">
        <v>2.5000000000000001E-4</v>
      </c>
      <c r="HR2" s="1">
        <v>2.5000000000000001E-4</v>
      </c>
      <c r="HS2" s="1">
        <v>5.0000000000000004E-6</v>
      </c>
      <c r="HT2" s="1">
        <v>3.0000000000000001E-6</v>
      </c>
      <c r="HU2" s="1">
        <v>0.01</v>
      </c>
      <c r="HV2" s="1">
        <v>8.0000000000000002E-3</v>
      </c>
      <c r="HW2" s="1">
        <v>1.6000000000000001E-3</v>
      </c>
      <c r="HX2" s="1">
        <v>5.9999999999999995E-4</v>
      </c>
      <c r="HY2" s="1">
        <v>4.0000000000000003E-5</v>
      </c>
      <c r="HZ2" s="1">
        <v>4.0000000000000002E-4</v>
      </c>
      <c r="IA2" s="1">
        <v>4.0000000000000002E-4</v>
      </c>
      <c r="IB2" s="1">
        <v>2.0000000000000002E-5</v>
      </c>
      <c r="IC2" s="1">
        <v>3.9999999999999998E-6</v>
      </c>
      <c r="ID2" s="1">
        <f>Table13[[#This Row],[Total_Cost_MUSD]]*Table13[[#This Row],[prob500-failure_rating1]]*1000000/500</f>
        <v>1449.5394109999997</v>
      </c>
      <c r="IE2" s="1">
        <f>Table13[[#This Row],[Total_Cost_MUSD]]*Table13[[#This Row],[prob500-failure_rating2]]*1000000/500</f>
        <v>579.81576440000015</v>
      </c>
      <c r="IF2" s="1">
        <f>Table13[[#This Row],[Total_Cost_MUSD]]*Table13[[#This Row],[prob500-failure_rating3]]*1000000/500</f>
        <v>144.95394110000004</v>
      </c>
      <c r="IG2" s="1">
        <f>Table13[[#This Row],[Total_Cost_MUSD]]*Table13[[#This Row],[prob500-failure_rating4]]*1000000/500</f>
        <v>23.192630575999999</v>
      </c>
      <c r="IH2" s="1">
        <f>Table13[[#This Row],[Total_Cost_MUSD]]*Table13[[#This Row],[prob500-failure_rating5]]*1000000/500</f>
        <v>18.940648303733333</v>
      </c>
      <c r="II2" s="1">
        <f>Table13[[#This Row],[Total_Cost_MUSD]]*Table13[[#This Row],[prob500-failure_rating6]]*1000000/500</f>
        <v>10.436683759199999</v>
      </c>
      <c r="IJ2" s="1">
        <f>Table13[[#This Row],[Total_Cost_MUSD]]*Table13[[#This Row],[prob500-failure_rating7]]*1000000/500</f>
        <v>10.436683759199999</v>
      </c>
      <c r="IK2" s="1">
        <f>Table13[[#This Row],[Total_Cost_MUSD]]*Table13[[#This Row],[prob500-failure_rating8]]*1000000/500</f>
        <v>0.23192630575999995</v>
      </c>
      <c r="IL2" s="1">
        <f>Table13[[#This Row],[Total_Cost_MUSD]]*Table13[[#This Row],[prob500-failure_rating9]]*1000000/500</f>
        <v>0.14495394110000001</v>
      </c>
      <c r="IM2" s="1">
        <f>Table13[[#This Row],[Total_Cost_MUSD]]*Table13[[#This Row],[prob100-failure_rating1]]*1000000/100</f>
        <v>3623.8485274999998</v>
      </c>
      <c r="IN2" s="1">
        <f>Table13[[#This Row],[Total_Cost_MUSD]]*Table13[[#This Row],[prob100-failure_rating2]]*1000000/100</f>
        <v>1739.4472931999999</v>
      </c>
      <c r="IO2" s="1">
        <f>Table13[[#This Row],[Total_Cost_MUSD]]*Table13[[#This Row],[prob100-failure_rating3]]*1000000/100</f>
        <v>724.7697055000001</v>
      </c>
      <c r="IP2" s="1">
        <f>Table13[[#This Row],[Total_Cost_MUSD]]*Table13[[#This Row],[prob100-failure_rating4]]*1000000/100</f>
        <v>144.95394110000001</v>
      </c>
      <c r="IQ2" s="1">
        <f>Table13[[#This Row],[Total_Cost_MUSD]]*Table13[[#This Row],[prob100-failure_rating5]]*1000000/100</f>
        <v>2.3192630575999997</v>
      </c>
      <c r="IR2" s="1">
        <f>Table13[[#This Row],[Total_Cost_MUSD]]*Table13[[#This Row],[prob100-failure_rating6]]*1000000/100</f>
        <v>72.476970550000004</v>
      </c>
      <c r="IS2" s="1">
        <f>Table13[[#This Row],[Total_Cost_MUSD]]*Table13[[#This Row],[prob100-failure_rating7]]*1000000/100</f>
        <v>72.476970550000004</v>
      </c>
      <c r="IT2" s="1">
        <f>Table13[[#This Row],[Total_Cost_MUSD]]*Table13[[#This Row],[prob100-failure_rating8]]*1000000/100</f>
        <v>1.4495394110000002</v>
      </c>
      <c r="IU2" s="1">
        <f>Table13[[#This Row],[Total_Cost_MUSD]]*Table13[[#This Row],[prob100-failure_rating9]]*1000000/100</f>
        <v>0.86972364660000001</v>
      </c>
      <c r="IV2" s="1">
        <f>Table13[[#This Row],[Total_Cost_MUSD]]*Table13[[#This Row],[prob50-failure_rating1]]*1000000/50</f>
        <v>5798.1576440000008</v>
      </c>
      <c r="IW2" s="1">
        <f>Table13[[#This Row],[Total_Cost_MUSD]]*Table13[[#This Row],[prob50-failure_rating2]]*1000000/50</f>
        <v>3478.8945863999998</v>
      </c>
      <c r="IX2" s="1">
        <f>Table13[[#This Row],[Total_Cost_MUSD]]*Table13[[#This Row],[prob50-failure_rating3]]*1000000/50</f>
        <v>753.76049371999989</v>
      </c>
      <c r="IY2" s="1">
        <f>Table13[[#This Row],[Total_Cost_MUSD]]*Table13[[#This Row],[prob50-failure_rating4]]*1000000/50</f>
        <v>289.90788220000002</v>
      </c>
      <c r="IZ2" s="1">
        <f>Table13[[#This Row],[Total_Cost_MUSD]]*Table13[[#This Row],[prob50-failure_rating5]]*1000000/50</f>
        <v>4.6385261151999995</v>
      </c>
      <c r="JA2" s="1">
        <f>Table13[[#This Row],[Total_Cost_MUSD]]*Table13[[#This Row],[prob50-failure_rating6]]*1000000/50</f>
        <v>144.95394110000001</v>
      </c>
      <c r="JB2" s="1">
        <f>Table13[[#This Row],[Total_Cost_MUSD]]*Table13[[#This Row],[prob50-failure_rating7]]*1000000/50</f>
        <v>144.95394110000001</v>
      </c>
      <c r="JC2" s="1">
        <f>Table13[[#This Row],[Total_Cost_MUSD]]*Table13[[#This Row],[prob50-failure_rating8]]*1000000/50</f>
        <v>2.8990788220000003</v>
      </c>
      <c r="JD2" s="1">
        <f>Table13[[#This Row],[Total_Cost_MUSD]]*Table13[[#This Row],[prob50-failure_rating9]]*1000000/50</f>
        <v>1.7394472932</v>
      </c>
      <c r="JE2" s="1">
        <f>Table13[[#This Row],[Total_Cost_MUSD]]*Table13[[#This Row],[prob10-failure_rating1]]*1000000/10</f>
        <v>28990.788220000006</v>
      </c>
      <c r="JF2" s="1">
        <f>Table13[[#This Row],[Total_Cost_MUSD]]*Table13[[#This Row],[prob10-failure_rating2]]*1000000/10</f>
        <v>23192.630576000003</v>
      </c>
      <c r="JG2" s="1">
        <f>Table13[[#This Row],[Total_Cost_MUSD]]*Table13[[#This Row],[prob10-failure_rating3]]*1000000/10</f>
        <v>4638.5261152000003</v>
      </c>
      <c r="JH2" s="1">
        <f>Table13[[#This Row],[Total_Cost_MUSD]]*Table13[[#This Row],[prob10-failure_rating4]]*1000000/10</f>
        <v>1739.4472932000001</v>
      </c>
      <c r="JI2" s="1">
        <f>Table13[[#This Row],[Total_Cost_MUSD]]*Table13[[#This Row],[prob10-failure_rating5]]*1000000/10</f>
        <v>115.96315288000001</v>
      </c>
      <c r="JJ2" s="1">
        <f>Table13[[#This Row],[Total_Cost_MUSD]]*Table13[[#This Row],[prob10-failure_rating6]]*1000000/10</f>
        <v>1159.6315288000001</v>
      </c>
      <c r="JK2" s="1">
        <f>Table13[[#This Row],[Total_Cost_MUSD]]*Table13[[#This Row],[prob10-failure_rating7]]*1000000/10</f>
        <v>1159.6315288000001</v>
      </c>
      <c r="JL2" s="1">
        <f>Table13[[#This Row],[Total_Cost_MUSD]]*Table13[[#This Row],[prob10-failure_rating8]]*1000000/10</f>
        <v>57.981576440000005</v>
      </c>
      <c r="JM2" s="1">
        <f>Table13[[#This Row],[Total_Cost_MUSD]]*Table13[[#This Row],[prob10-failure_rating9]]*1000000/10</f>
        <v>11.596315287999998</v>
      </c>
      <c r="JN2" s="1">
        <f>45</f>
        <v>45</v>
      </c>
      <c r="JO2" s="1">
        <v>40</v>
      </c>
      <c r="JP2" s="1">
        <v>35</v>
      </c>
      <c r="JQ2" s="1">
        <v>30</v>
      </c>
      <c r="JR2" s="1">
        <v>25</v>
      </c>
      <c r="JS2" s="1">
        <v>20</v>
      </c>
      <c r="JT2" s="1">
        <v>15</v>
      </c>
      <c r="JU2" s="1">
        <v>10</v>
      </c>
      <c r="JV2" s="1">
        <v>5</v>
      </c>
      <c r="JW2" s="1">
        <v>3</v>
      </c>
    </row>
    <row r="3" spans="1:283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Table13[[#This Row],[Depth10_Soil_vol]]*(9.353+9.027)+(Table13[[#This Row],[Depth10_Soil_vol]]/2.5)*20*1.053+(PI()*Table13[[#This Row],[Depth10_Scour]])*Table13[[#This Row],[DECK_WIDTH_MT_052]]*1.062</f>
        <v>0</v>
      </c>
      <c r="AR3" s="1">
        <f>Table13[[#This Row],[Depth50_Soil_vol]]*(9.353+9.027)+(Table13[[#This Row],[Depth50_Soil_vol]]/2.5)*20*1.053+(PI()*Table13[[#This Row],[Depth50_Scour]])*Table13[[#This Row],[DECK_WIDTH_MT_052]]*1.062</f>
        <v>9520.728233804819</v>
      </c>
      <c r="AS3" s="1">
        <f>Table13[[#This Row],[Depth100_Soil_vol]]*(9.353+9.027)+(Table13[[#This Row],[Depth100_Soil_vol]]/2.5)*20*1.053+(PI()*Table13[[#This Row],[Depth100_Scour]])*Table13[[#This Row],[DECK_WIDTH_MT_052]]*1.062</f>
        <v>9985.7559384332872</v>
      </c>
      <c r="AT3" s="1">
        <f>Table13[[#This Row],[Depth500_Soil_vol]]*(9.353+9.027)+(Table13[[#This Row],[Depth500_Soil_vol]]/2.5)*20*1.053+(PI()*Table13[[#This Row],[Depth500_Scour]])*Table13[[#This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>
        <v>18.95289927</v>
      </c>
      <c r="GE3" s="1">
        <v>0</v>
      </c>
      <c r="GF3" s="1">
        <v>0</v>
      </c>
      <c r="GG3" s="1">
        <v>0</v>
      </c>
      <c r="GH3" s="1">
        <v>0</v>
      </c>
      <c r="GI3" s="1">
        <v>5</v>
      </c>
      <c r="GJ3" s="1">
        <v>6</v>
      </c>
      <c r="GK3" s="1">
        <f>5</f>
        <v>5</v>
      </c>
      <c r="GL3" s="1">
        <f>Table13[[#This Row],[cost_repair_rating1]]/2</f>
        <v>2.5</v>
      </c>
      <c r="GM3" s="1">
        <f>Table13[[#This Row],[cost_repair_rating2]]/2</f>
        <v>1.25</v>
      </c>
      <c r="GN3" s="1">
        <f>Table13[[#This Row],[cost_repair_rating3]]/2</f>
        <v>0.625</v>
      </c>
      <c r="GO3" s="1">
        <f>Table13[[#This Row],[cost_repair_rating4]]/2</f>
        <v>0.3125</v>
      </c>
      <c r="GP3" s="1">
        <f>Table13[[#This Row],[cost_repair_rating5]]/2</f>
        <v>0.15625</v>
      </c>
      <c r="GQ3" s="1">
        <v>0</v>
      </c>
      <c r="GR3" s="1">
        <v>0</v>
      </c>
      <c r="GS3" s="1">
        <v>0</v>
      </c>
      <c r="GT3" s="1">
        <f t="shared" ref="GT3:GT20" si="0">2.5/100</f>
        <v>2.5000000000000001E-2</v>
      </c>
      <c r="GU3" s="1">
        <v>0.01</v>
      </c>
      <c r="GV3" s="1">
        <v>2.5000000000000001E-3</v>
      </c>
      <c r="GW3" s="1">
        <v>4.0000000000000002E-4</v>
      </c>
      <c r="GX3" s="1">
        <f>(2*Table13[[#This Row],[prob500-failure_rating4]]+Table13[[#This Row],[prob500-failure_rating6]])/3</f>
        <v>3.2666666666666667E-4</v>
      </c>
      <c r="GY3" s="1">
        <v>1.8000000000000001E-4</v>
      </c>
      <c r="GZ3" s="1">
        <v>1.8000000000000001E-4</v>
      </c>
      <c r="HA3" s="1">
        <v>3.9999999999999998E-6</v>
      </c>
      <c r="HB3" s="1">
        <v>2.5000000000000002E-6</v>
      </c>
      <c r="HC3" s="1">
        <f t="shared" ref="HC3:HC20" si="1">1.25/100</f>
        <v>1.2500000000000001E-2</v>
      </c>
      <c r="HD3" s="1">
        <v>6.0000000000000001E-3</v>
      </c>
      <c r="HE3" s="1">
        <v>2.5000000000000001E-3</v>
      </c>
      <c r="HF3" s="1">
        <v>5.0000000000000001E-4</v>
      </c>
      <c r="HG3" s="1">
        <v>7.9999999999999996E-6</v>
      </c>
      <c r="HH3" s="1">
        <v>2.5000000000000001E-4</v>
      </c>
      <c r="HI3" s="1">
        <v>2.5000000000000001E-4</v>
      </c>
      <c r="HJ3" s="1">
        <v>5.0000000000000004E-6</v>
      </c>
      <c r="HK3" s="1">
        <v>3.0000000000000001E-6</v>
      </c>
      <c r="HL3" s="1">
        <v>0.01</v>
      </c>
      <c r="HM3" s="1">
        <v>6.0000000000000001E-3</v>
      </c>
      <c r="HN3" s="1">
        <v>1.2999999999999999E-3</v>
      </c>
      <c r="HO3" s="1">
        <v>5.0000000000000001E-4</v>
      </c>
      <c r="HP3" s="1">
        <v>7.9999999999999996E-6</v>
      </c>
      <c r="HQ3" s="1">
        <v>2.5000000000000001E-4</v>
      </c>
      <c r="HR3" s="1">
        <v>2.5000000000000001E-4</v>
      </c>
      <c r="HS3" s="1">
        <v>5.0000000000000004E-6</v>
      </c>
      <c r="HT3" s="1">
        <v>3.0000000000000001E-6</v>
      </c>
      <c r="HU3" s="1">
        <v>0.01</v>
      </c>
      <c r="HV3" s="1">
        <v>8.0000000000000002E-3</v>
      </c>
      <c r="HW3" s="1">
        <v>1.6000000000000001E-3</v>
      </c>
      <c r="HX3" s="1">
        <v>5.9999999999999995E-4</v>
      </c>
      <c r="HY3" s="1">
        <v>4.0000000000000003E-5</v>
      </c>
      <c r="HZ3" s="1">
        <v>4.0000000000000002E-4</v>
      </c>
      <c r="IA3" s="1">
        <v>4.0000000000000002E-4</v>
      </c>
      <c r="IB3" s="1">
        <v>2.0000000000000002E-5</v>
      </c>
      <c r="IC3" s="1">
        <v>3.9999999999999998E-6</v>
      </c>
      <c r="ID3" s="1">
        <f>Table13[[#This Row],[Total_Cost_MUSD]]*Table13[[#This Row],[prob500-failure_rating1]]*1000000/500</f>
        <v>947.64496350000002</v>
      </c>
      <c r="IE3" s="1">
        <f>Table13[[#This Row],[Total_Cost_MUSD]]*Table13[[#This Row],[prob500-failure_rating2]]*1000000/500</f>
        <v>379.05798540000001</v>
      </c>
      <c r="IF3" s="1">
        <f>Table13[[#This Row],[Total_Cost_MUSD]]*Table13[[#This Row],[prob500-failure_rating3]]*1000000/500</f>
        <v>94.764496350000002</v>
      </c>
      <c r="IG3" s="1">
        <f>Table13[[#This Row],[Total_Cost_MUSD]]*Table13[[#This Row],[prob500-failure_rating4]]*1000000/500</f>
        <v>15.162319416000001</v>
      </c>
      <c r="IH3" s="1">
        <f>Table13[[#This Row],[Total_Cost_MUSD]]*Table13[[#This Row],[prob500-failure_rating5]]*1000000/500</f>
        <v>12.3825608564</v>
      </c>
      <c r="II3" s="1">
        <f>Table13[[#This Row],[Total_Cost_MUSD]]*Table13[[#This Row],[prob500-failure_rating6]]*1000000/500</f>
        <v>6.8230437372000008</v>
      </c>
      <c r="IJ3" s="1">
        <f>Table13[[#This Row],[Total_Cost_MUSD]]*Table13[[#This Row],[prob500-failure_rating7]]*1000000/500</f>
        <v>6.8230437372000008</v>
      </c>
      <c r="IK3" s="1">
        <f>Table13[[#This Row],[Total_Cost_MUSD]]*Table13[[#This Row],[prob500-failure_rating8]]*1000000/500</f>
        <v>0.15162319416</v>
      </c>
      <c r="IL3" s="1">
        <f>Table13[[#This Row],[Total_Cost_MUSD]]*Table13[[#This Row],[prob500-failure_rating9]]*1000000/500</f>
        <v>9.4764496350000005E-2</v>
      </c>
      <c r="IM3" s="1">
        <f>Table13[[#This Row],[Total_Cost_MUSD]]*Table13[[#This Row],[prob100-failure_rating1]]*1000000/100</f>
        <v>2369.1124087500002</v>
      </c>
      <c r="IN3" s="1">
        <f>Table13[[#This Row],[Total_Cost_MUSD]]*Table13[[#This Row],[prob100-failure_rating2]]*1000000/100</f>
        <v>1137.1739562</v>
      </c>
      <c r="IO3" s="1">
        <f>Table13[[#This Row],[Total_Cost_MUSD]]*Table13[[#This Row],[prob100-failure_rating3]]*1000000/100</f>
        <v>473.82248175000001</v>
      </c>
      <c r="IP3" s="1">
        <f>Table13[[#This Row],[Total_Cost_MUSD]]*Table13[[#This Row],[prob100-failure_rating4]]*1000000/100</f>
        <v>94.764496350000002</v>
      </c>
      <c r="IQ3" s="1">
        <f>Table13[[#This Row],[Total_Cost_MUSD]]*Table13[[#This Row],[prob100-failure_rating5]]*1000000/100</f>
        <v>1.5162319416000001</v>
      </c>
      <c r="IR3" s="1">
        <f>Table13[[#This Row],[Total_Cost_MUSD]]*Table13[[#This Row],[prob100-failure_rating6]]*1000000/100</f>
        <v>47.382248175000001</v>
      </c>
      <c r="IS3" s="1">
        <f>Table13[[#This Row],[Total_Cost_MUSD]]*Table13[[#This Row],[prob100-failure_rating7]]*1000000/100</f>
        <v>47.382248175000001</v>
      </c>
      <c r="IT3" s="1">
        <f>Table13[[#This Row],[Total_Cost_MUSD]]*Table13[[#This Row],[prob100-failure_rating8]]*1000000/100</f>
        <v>0.94764496350000005</v>
      </c>
      <c r="IU3" s="1">
        <f>Table13[[#This Row],[Total_Cost_MUSD]]*Table13[[#This Row],[prob100-failure_rating9]]*1000000/100</f>
        <v>0.56858697810000003</v>
      </c>
      <c r="IV3" s="1">
        <f>Table13[[#This Row],[Total_Cost_MUSD]]*Table13[[#This Row],[prob50-failure_rating1]]*1000000/50</f>
        <v>3790.5798540000001</v>
      </c>
      <c r="IW3" s="1">
        <f>Table13[[#This Row],[Total_Cost_MUSD]]*Table13[[#This Row],[prob50-failure_rating2]]*1000000/50</f>
        <v>2274.3479124</v>
      </c>
      <c r="IX3" s="1">
        <f>Table13[[#This Row],[Total_Cost_MUSD]]*Table13[[#This Row],[prob50-failure_rating3]]*1000000/50</f>
        <v>492.77538101999994</v>
      </c>
      <c r="IY3" s="1">
        <f>Table13[[#This Row],[Total_Cost_MUSD]]*Table13[[#This Row],[prob50-failure_rating4]]*1000000/50</f>
        <v>189.5289927</v>
      </c>
      <c r="IZ3" s="1">
        <f>Table13[[#This Row],[Total_Cost_MUSD]]*Table13[[#This Row],[prob50-failure_rating5]]*1000000/50</f>
        <v>3.0324638832000002</v>
      </c>
      <c r="JA3" s="1">
        <f>Table13[[#This Row],[Total_Cost_MUSD]]*Table13[[#This Row],[prob50-failure_rating6]]*1000000/50</f>
        <v>94.764496350000002</v>
      </c>
      <c r="JB3" s="1">
        <f>Table13[[#This Row],[Total_Cost_MUSD]]*Table13[[#This Row],[prob50-failure_rating7]]*1000000/50</f>
        <v>94.764496350000002</v>
      </c>
      <c r="JC3" s="1">
        <f>Table13[[#This Row],[Total_Cost_MUSD]]*Table13[[#This Row],[prob50-failure_rating8]]*1000000/50</f>
        <v>1.8952899270000001</v>
      </c>
      <c r="JD3" s="1">
        <f>Table13[[#This Row],[Total_Cost_MUSD]]*Table13[[#This Row],[prob50-failure_rating9]]*1000000/50</f>
        <v>1.1371739562000001</v>
      </c>
      <c r="JE3" s="1">
        <f>Table13[[#This Row],[Total_Cost_MUSD]]*Table13[[#This Row],[prob10-failure_rating1]]*1000000/10</f>
        <v>18952.899270000002</v>
      </c>
      <c r="JF3" s="1">
        <f>Table13[[#This Row],[Total_Cost_MUSD]]*Table13[[#This Row],[prob10-failure_rating2]]*1000000/10</f>
        <v>15162.319416000002</v>
      </c>
      <c r="JG3" s="1">
        <f>Table13[[#This Row],[Total_Cost_MUSD]]*Table13[[#This Row],[prob10-failure_rating3]]*1000000/10</f>
        <v>3032.4638832000001</v>
      </c>
      <c r="JH3" s="1">
        <f>Table13[[#This Row],[Total_Cost_MUSD]]*Table13[[#This Row],[prob10-failure_rating4]]*1000000/10</f>
        <v>1137.1739561999998</v>
      </c>
      <c r="JI3" s="1">
        <f>Table13[[#This Row],[Total_Cost_MUSD]]*Table13[[#This Row],[prob10-failure_rating5]]*1000000/10</f>
        <v>75.811597079999999</v>
      </c>
      <c r="JJ3" s="1">
        <f>Table13[[#This Row],[Total_Cost_MUSD]]*Table13[[#This Row],[prob10-failure_rating6]]*1000000/10</f>
        <v>758.11597080000001</v>
      </c>
      <c r="JK3" s="1">
        <f>Table13[[#This Row],[Total_Cost_MUSD]]*Table13[[#This Row],[prob10-failure_rating7]]*1000000/10</f>
        <v>758.11597080000001</v>
      </c>
      <c r="JL3" s="1">
        <f>Table13[[#This Row],[Total_Cost_MUSD]]*Table13[[#This Row],[prob10-failure_rating8]]*1000000/10</f>
        <v>37.905798539999999</v>
      </c>
      <c r="JM3" s="1">
        <f>Table13[[#This Row],[Total_Cost_MUSD]]*Table13[[#This Row],[prob10-failure_rating9]]*1000000/10</f>
        <v>7.5811597079999995</v>
      </c>
      <c r="JN3" s="1">
        <f>45</f>
        <v>45</v>
      </c>
      <c r="JO3" s="1">
        <v>40</v>
      </c>
      <c r="JP3" s="1">
        <v>35</v>
      </c>
      <c r="JQ3" s="1">
        <v>30</v>
      </c>
      <c r="JR3" s="1">
        <v>25</v>
      </c>
      <c r="JS3" s="1">
        <v>20</v>
      </c>
      <c r="JT3" s="1">
        <v>15</v>
      </c>
      <c r="JU3" s="1">
        <v>10</v>
      </c>
      <c r="JV3" s="1">
        <v>5</v>
      </c>
      <c r="JW3" s="1">
        <v>3</v>
      </c>
    </row>
    <row r="4" spans="1:283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Table13[[#This Row],[Depth10_Soil_vol]]*(9.353+9.027)+(Table13[[#This Row],[Depth10_Soil_vol]]/2.5)*20*1.053+(PI()*Table13[[#This Row],[Depth10_Scour]])*Table13[[#This Row],[DECK_WIDTH_MT_052]]*1.062</f>
        <v>0</v>
      </c>
      <c r="AR4" s="1">
        <f>Table13[[#This Row],[Depth50_Soil_vol]]*(9.353+9.027)+(Table13[[#This Row],[Depth50_Soil_vol]]/2.5)*20*1.053+(PI()*Table13[[#This Row],[Depth50_Scour]])*Table13[[#This Row],[DECK_WIDTH_MT_052]]*1.062</f>
        <v>5183.5345730170238</v>
      </c>
      <c r="AS4" s="1">
        <f>Table13[[#This Row],[Depth100_Soil_vol]]*(9.353+9.027)+(Table13[[#This Row],[Depth100_Soil_vol]]/2.5)*20*1.053+(PI()*Table13[[#This Row],[Depth100_Scour]])*Table13[[#This Row],[DECK_WIDTH_MT_052]]*1.062</f>
        <v>5452.2219529566692</v>
      </c>
      <c r="AT4" s="1">
        <f>Table13[[#This Row],[Depth500_Soil_vol]]*(9.353+9.027)+(Table13[[#This Row],[Depth500_Soil_vol]]/2.5)*20*1.053+(PI()*Table13[[#This Row],[Depth500_Scour]])*Table13[[#This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>
        <v>36.37292137</v>
      </c>
      <c r="GE4" s="1">
        <v>0</v>
      </c>
      <c r="GF4" s="1">
        <v>0</v>
      </c>
      <c r="GG4" s="1">
        <v>0</v>
      </c>
      <c r="GH4" s="1">
        <v>0</v>
      </c>
      <c r="GI4" s="1">
        <v>8</v>
      </c>
      <c r="GJ4" s="1">
        <v>6</v>
      </c>
      <c r="GK4" s="1">
        <f>5</f>
        <v>5</v>
      </c>
      <c r="GL4" s="1">
        <f>Table13[[#This Row],[cost_repair_rating1]]/2</f>
        <v>2.5</v>
      </c>
      <c r="GM4" s="1">
        <f>Table13[[#This Row],[cost_repair_rating2]]/2</f>
        <v>1.25</v>
      </c>
      <c r="GN4" s="1">
        <f>Table13[[#This Row],[cost_repair_rating3]]/2</f>
        <v>0.625</v>
      </c>
      <c r="GO4" s="1">
        <f>Table13[[#This Row],[cost_repair_rating4]]/2</f>
        <v>0.3125</v>
      </c>
      <c r="GP4" s="1">
        <f>Table13[[#This Row],[cost_repair_rating5]]/2</f>
        <v>0.15625</v>
      </c>
      <c r="GQ4" s="1">
        <v>0</v>
      </c>
      <c r="GR4" s="1">
        <v>0</v>
      </c>
      <c r="GS4" s="1">
        <v>0</v>
      </c>
      <c r="GT4" s="1">
        <f t="shared" si="0"/>
        <v>2.5000000000000001E-2</v>
      </c>
      <c r="GU4" s="1">
        <v>0.01</v>
      </c>
      <c r="GV4" s="1">
        <v>2.5000000000000001E-3</v>
      </c>
      <c r="GW4" s="1">
        <v>4.0000000000000002E-4</v>
      </c>
      <c r="GX4" s="1">
        <f>(2*Table13[[#This Row],[prob500-failure_rating4]]+Table13[[#This Row],[prob500-failure_rating6]])/3</f>
        <v>3.2666666666666667E-4</v>
      </c>
      <c r="GY4" s="1">
        <v>1.8000000000000001E-4</v>
      </c>
      <c r="GZ4" s="1">
        <v>1.8000000000000001E-4</v>
      </c>
      <c r="HA4" s="1">
        <v>3.9999999999999998E-6</v>
      </c>
      <c r="HB4" s="1">
        <v>2.5000000000000002E-6</v>
      </c>
      <c r="HC4" s="1">
        <f t="shared" si="1"/>
        <v>1.2500000000000001E-2</v>
      </c>
      <c r="HD4" s="1">
        <v>6.0000000000000001E-3</v>
      </c>
      <c r="HE4" s="1">
        <v>2.5000000000000001E-3</v>
      </c>
      <c r="HF4" s="1">
        <v>5.0000000000000001E-4</v>
      </c>
      <c r="HG4" s="1">
        <v>7.9999999999999996E-6</v>
      </c>
      <c r="HH4" s="1">
        <v>2.5000000000000001E-4</v>
      </c>
      <c r="HI4" s="1">
        <v>2.5000000000000001E-4</v>
      </c>
      <c r="HJ4" s="1">
        <v>5.0000000000000004E-6</v>
      </c>
      <c r="HK4" s="1">
        <v>3.0000000000000001E-6</v>
      </c>
      <c r="HL4" s="1">
        <v>0.01</v>
      </c>
      <c r="HM4" s="1">
        <v>6.0000000000000001E-3</v>
      </c>
      <c r="HN4" s="1">
        <v>1.2999999999999999E-3</v>
      </c>
      <c r="HO4" s="1">
        <v>5.0000000000000001E-4</v>
      </c>
      <c r="HP4" s="1">
        <v>7.9999999999999996E-6</v>
      </c>
      <c r="HQ4" s="1">
        <v>2.5000000000000001E-4</v>
      </c>
      <c r="HR4" s="1">
        <v>2.5000000000000001E-4</v>
      </c>
      <c r="HS4" s="1">
        <v>5.0000000000000004E-6</v>
      </c>
      <c r="HT4" s="1">
        <v>3.0000000000000001E-6</v>
      </c>
      <c r="HU4" s="1">
        <v>0.01</v>
      </c>
      <c r="HV4" s="1">
        <v>8.0000000000000002E-3</v>
      </c>
      <c r="HW4" s="1">
        <v>1.6000000000000001E-3</v>
      </c>
      <c r="HX4" s="1">
        <v>5.9999999999999995E-4</v>
      </c>
      <c r="HY4" s="1">
        <v>4.0000000000000003E-5</v>
      </c>
      <c r="HZ4" s="1">
        <v>4.0000000000000002E-4</v>
      </c>
      <c r="IA4" s="1">
        <v>4.0000000000000002E-4</v>
      </c>
      <c r="IB4" s="1">
        <v>2.0000000000000002E-5</v>
      </c>
      <c r="IC4" s="1">
        <v>3.9999999999999998E-6</v>
      </c>
      <c r="ID4" s="1">
        <f>Table13[[#This Row],[Total_Cost_MUSD]]*Table13[[#This Row],[prob500-failure_rating1]]*1000000/500</f>
        <v>1818.6460685</v>
      </c>
      <c r="IE4" s="1">
        <f>Table13[[#This Row],[Total_Cost_MUSD]]*Table13[[#This Row],[prob500-failure_rating2]]*1000000/500</f>
        <v>727.45842740000001</v>
      </c>
      <c r="IF4" s="1">
        <f>Table13[[#This Row],[Total_Cost_MUSD]]*Table13[[#This Row],[prob500-failure_rating3]]*1000000/500</f>
        <v>181.86460685</v>
      </c>
      <c r="IG4" s="1">
        <f>Table13[[#This Row],[Total_Cost_MUSD]]*Table13[[#This Row],[prob500-failure_rating4]]*1000000/500</f>
        <v>29.098337096000002</v>
      </c>
      <c r="IH4" s="1">
        <f>Table13[[#This Row],[Total_Cost_MUSD]]*Table13[[#This Row],[prob500-failure_rating5]]*1000000/500</f>
        <v>23.763641961733335</v>
      </c>
      <c r="II4" s="1">
        <f>Table13[[#This Row],[Total_Cost_MUSD]]*Table13[[#This Row],[prob500-failure_rating6]]*1000000/500</f>
        <v>13.0942516932</v>
      </c>
      <c r="IJ4" s="1">
        <f>Table13[[#This Row],[Total_Cost_MUSD]]*Table13[[#This Row],[prob500-failure_rating7]]*1000000/500</f>
        <v>13.0942516932</v>
      </c>
      <c r="IK4" s="1">
        <f>Table13[[#This Row],[Total_Cost_MUSD]]*Table13[[#This Row],[prob500-failure_rating8]]*1000000/500</f>
        <v>0.29098337095999999</v>
      </c>
      <c r="IL4" s="1">
        <f>Table13[[#This Row],[Total_Cost_MUSD]]*Table13[[#This Row],[prob500-failure_rating9]]*1000000/500</f>
        <v>0.18186460685000003</v>
      </c>
      <c r="IM4" s="1">
        <f>Table13[[#This Row],[Total_Cost_MUSD]]*Table13[[#This Row],[prob100-failure_rating1]]*1000000/100</f>
        <v>4546.6151712500005</v>
      </c>
      <c r="IN4" s="1">
        <f>Table13[[#This Row],[Total_Cost_MUSD]]*Table13[[#This Row],[prob100-failure_rating2]]*1000000/100</f>
        <v>2182.3752822000001</v>
      </c>
      <c r="IO4" s="1">
        <f>Table13[[#This Row],[Total_Cost_MUSD]]*Table13[[#This Row],[prob100-failure_rating3]]*1000000/100</f>
        <v>909.32303425000009</v>
      </c>
      <c r="IP4" s="1">
        <f>Table13[[#This Row],[Total_Cost_MUSD]]*Table13[[#This Row],[prob100-failure_rating4]]*1000000/100</f>
        <v>181.86460684999997</v>
      </c>
      <c r="IQ4" s="1">
        <f>Table13[[#This Row],[Total_Cost_MUSD]]*Table13[[#This Row],[prob100-failure_rating5]]*1000000/100</f>
        <v>2.9098337096</v>
      </c>
      <c r="IR4" s="1">
        <f>Table13[[#This Row],[Total_Cost_MUSD]]*Table13[[#This Row],[prob100-failure_rating6]]*1000000/100</f>
        <v>90.932303424999986</v>
      </c>
      <c r="IS4" s="1">
        <f>Table13[[#This Row],[Total_Cost_MUSD]]*Table13[[#This Row],[prob100-failure_rating7]]*1000000/100</f>
        <v>90.932303424999986</v>
      </c>
      <c r="IT4" s="1">
        <f>Table13[[#This Row],[Total_Cost_MUSD]]*Table13[[#This Row],[prob100-failure_rating8]]*1000000/100</f>
        <v>1.8186460685000003</v>
      </c>
      <c r="IU4" s="1">
        <f>Table13[[#This Row],[Total_Cost_MUSD]]*Table13[[#This Row],[prob100-failure_rating9]]*1000000/100</f>
        <v>1.0911876411000001</v>
      </c>
      <c r="IV4" s="1">
        <f>Table13[[#This Row],[Total_Cost_MUSD]]*Table13[[#This Row],[prob50-failure_rating1]]*1000000/50</f>
        <v>7274.5842740000007</v>
      </c>
      <c r="IW4" s="1">
        <f>Table13[[#This Row],[Total_Cost_MUSD]]*Table13[[#This Row],[prob50-failure_rating2]]*1000000/50</f>
        <v>4364.7505644000003</v>
      </c>
      <c r="IX4" s="1">
        <f>Table13[[#This Row],[Total_Cost_MUSD]]*Table13[[#This Row],[prob50-failure_rating3]]*1000000/50</f>
        <v>945.69595561999984</v>
      </c>
      <c r="IY4" s="1">
        <f>Table13[[#This Row],[Total_Cost_MUSD]]*Table13[[#This Row],[prob50-failure_rating4]]*1000000/50</f>
        <v>363.72921369999995</v>
      </c>
      <c r="IZ4" s="1">
        <f>Table13[[#This Row],[Total_Cost_MUSD]]*Table13[[#This Row],[prob50-failure_rating5]]*1000000/50</f>
        <v>5.8196674192</v>
      </c>
      <c r="JA4" s="1">
        <f>Table13[[#This Row],[Total_Cost_MUSD]]*Table13[[#This Row],[prob50-failure_rating6]]*1000000/50</f>
        <v>181.86460684999997</v>
      </c>
      <c r="JB4" s="1">
        <f>Table13[[#This Row],[Total_Cost_MUSD]]*Table13[[#This Row],[prob50-failure_rating7]]*1000000/50</f>
        <v>181.86460684999997</v>
      </c>
      <c r="JC4" s="1">
        <f>Table13[[#This Row],[Total_Cost_MUSD]]*Table13[[#This Row],[prob50-failure_rating8]]*1000000/50</f>
        <v>3.6372921370000006</v>
      </c>
      <c r="JD4" s="1">
        <f>Table13[[#This Row],[Total_Cost_MUSD]]*Table13[[#This Row],[prob50-failure_rating9]]*1000000/50</f>
        <v>2.1823752822000002</v>
      </c>
      <c r="JE4" s="1">
        <f>Table13[[#This Row],[Total_Cost_MUSD]]*Table13[[#This Row],[prob10-failure_rating1]]*1000000/10</f>
        <v>36372.921370000004</v>
      </c>
      <c r="JF4" s="1">
        <f>Table13[[#This Row],[Total_Cost_MUSD]]*Table13[[#This Row],[prob10-failure_rating2]]*1000000/10</f>
        <v>29098.337095999996</v>
      </c>
      <c r="JG4" s="1">
        <f>Table13[[#This Row],[Total_Cost_MUSD]]*Table13[[#This Row],[prob10-failure_rating3]]*1000000/10</f>
        <v>5819.6674192000009</v>
      </c>
      <c r="JH4" s="1">
        <f>Table13[[#This Row],[Total_Cost_MUSD]]*Table13[[#This Row],[prob10-failure_rating4]]*1000000/10</f>
        <v>2182.3752821999997</v>
      </c>
      <c r="JI4" s="1">
        <f>Table13[[#This Row],[Total_Cost_MUSD]]*Table13[[#This Row],[prob10-failure_rating5]]*1000000/10</f>
        <v>145.49168548000003</v>
      </c>
      <c r="JJ4" s="1">
        <f>Table13[[#This Row],[Total_Cost_MUSD]]*Table13[[#This Row],[prob10-failure_rating6]]*1000000/10</f>
        <v>1454.9168548000002</v>
      </c>
      <c r="JK4" s="1">
        <f>Table13[[#This Row],[Total_Cost_MUSD]]*Table13[[#This Row],[prob10-failure_rating7]]*1000000/10</f>
        <v>1454.9168548000002</v>
      </c>
      <c r="JL4" s="1">
        <f>Table13[[#This Row],[Total_Cost_MUSD]]*Table13[[#This Row],[prob10-failure_rating8]]*1000000/10</f>
        <v>72.745842740000015</v>
      </c>
      <c r="JM4" s="1">
        <f>Table13[[#This Row],[Total_Cost_MUSD]]*Table13[[#This Row],[prob10-failure_rating9]]*1000000/10</f>
        <v>14.549168548000001</v>
      </c>
      <c r="JN4" s="1">
        <f>45</f>
        <v>45</v>
      </c>
      <c r="JO4" s="1">
        <v>40</v>
      </c>
      <c r="JP4" s="1">
        <v>35</v>
      </c>
      <c r="JQ4" s="1">
        <v>30</v>
      </c>
      <c r="JR4" s="1">
        <v>25</v>
      </c>
      <c r="JS4" s="1">
        <v>20</v>
      </c>
      <c r="JT4" s="1">
        <v>15</v>
      </c>
      <c r="JU4" s="1">
        <v>10</v>
      </c>
      <c r="JV4" s="1">
        <v>5</v>
      </c>
      <c r="JW4" s="1">
        <v>3</v>
      </c>
    </row>
    <row r="5" spans="1:283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Table13[[#This Row],[Depth10_Soil_vol]]*(9.353+9.027)+(Table13[[#This Row],[Depth10_Soil_vol]]/2.5)*20*1.053+(PI()*Table13[[#This Row],[Depth10_Scour]])*Table13[[#This Row],[DECK_WIDTH_MT_052]]*1.062</f>
        <v>0</v>
      </c>
      <c r="AR5" s="1">
        <f>Table13[[#This Row],[Depth50_Soil_vol]]*(9.353+9.027)+(Table13[[#This Row],[Depth50_Soil_vol]]/2.5)*20*1.053+(PI()*Table13[[#This Row],[Depth50_Scour]])*Table13[[#This Row],[DECK_WIDTH_MT_052]]*1.062</f>
        <v>8698.4034732067958</v>
      </c>
      <c r="AS5" s="1">
        <f>Table13[[#This Row],[Depth100_Soil_vol]]*(9.353+9.027)+(Table13[[#This Row],[Depth100_Soil_vol]]/2.5)*20*1.053+(PI()*Table13[[#This Row],[Depth100_Scour]])*Table13[[#This Row],[DECK_WIDTH_MT_052]]*1.062</f>
        <v>10436.848001870483</v>
      </c>
      <c r="AT5" s="1">
        <f>Table13[[#This Row],[Depth500_Soil_vol]]*(9.353+9.027)+(Table13[[#This Row],[Depth500_Soil_vol]]/2.5)*20*1.053+(PI()*Table13[[#This Row],[Depth500_Scour]])*Table13[[#This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>
        <v>16.12521495</v>
      </c>
      <c r="GE5" s="1">
        <v>0</v>
      </c>
      <c r="GF5" s="1">
        <v>0</v>
      </c>
      <c r="GG5" s="1">
        <v>0</v>
      </c>
      <c r="GH5" s="1">
        <v>0</v>
      </c>
      <c r="GI5" s="1">
        <v>8</v>
      </c>
      <c r="GJ5" s="1">
        <v>6</v>
      </c>
      <c r="GK5" s="1">
        <f>5</f>
        <v>5</v>
      </c>
      <c r="GL5" s="1">
        <f>Table13[[#This Row],[cost_repair_rating1]]/2</f>
        <v>2.5</v>
      </c>
      <c r="GM5" s="1">
        <f>Table13[[#This Row],[cost_repair_rating2]]/2</f>
        <v>1.25</v>
      </c>
      <c r="GN5" s="1">
        <f>Table13[[#This Row],[cost_repair_rating3]]/2</f>
        <v>0.625</v>
      </c>
      <c r="GO5" s="1">
        <f>Table13[[#This Row],[cost_repair_rating4]]/2</f>
        <v>0.3125</v>
      </c>
      <c r="GP5" s="1">
        <f>Table13[[#This Row],[cost_repair_rating5]]/2</f>
        <v>0.15625</v>
      </c>
      <c r="GQ5" s="1">
        <v>0</v>
      </c>
      <c r="GR5" s="1">
        <v>0</v>
      </c>
      <c r="GS5" s="1">
        <v>0</v>
      </c>
      <c r="GT5" s="1">
        <f t="shared" si="0"/>
        <v>2.5000000000000001E-2</v>
      </c>
      <c r="GU5" s="1">
        <v>0.01</v>
      </c>
      <c r="GV5" s="1">
        <v>2.5000000000000001E-3</v>
      </c>
      <c r="GW5" s="1">
        <v>4.0000000000000002E-4</v>
      </c>
      <c r="GX5" s="1">
        <f>(2*Table13[[#This Row],[prob500-failure_rating4]]+Table13[[#This Row],[prob500-failure_rating6]])/3</f>
        <v>3.2666666666666667E-4</v>
      </c>
      <c r="GY5" s="1">
        <v>1.8000000000000001E-4</v>
      </c>
      <c r="GZ5" s="1">
        <v>1.8000000000000001E-4</v>
      </c>
      <c r="HA5" s="1">
        <v>3.9999999999999998E-6</v>
      </c>
      <c r="HB5" s="1">
        <v>2.5000000000000002E-6</v>
      </c>
      <c r="HC5" s="1">
        <f t="shared" si="1"/>
        <v>1.2500000000000001E-2</v>
      </c>
      <c r="HD5" s="1">
        <v>6.0000000000000001E-3</v>
      </c>
      <c r="HE5" s="1">
        <v>2.5000000000000001E-3</v>
      </c>
      <c r="HF5" s="1">
        <v>5.0000000000000001E-4</v>
      </c>
      <c r="HG5" s="1">
        <v>7.9999999999999996E-6</v>
      </c>
      <c r="HH5" s="1">
        <v>2.5000000000000001E-4</v>
      </c>
      <c r="HI5" s="1">
        <v>2.5000000000000001E-4</v>
      </c>
      <c r="HJ5" s="1">
        <v>5.0000000000000004E-6</v>
      </c>
      <c r="HK5" s="1">
        <v>3.0000000000000001E-6</v>
      </c>
      <c r="HL5" s="1">
        <v>0.01</v>
      </c>
      <c r="HM5" s="1">
        <v>6.0000000000000001E-3</v>
      </c>
      <c r="HN5" s="1">
        <v>1.2999999999999999E-3</v>
      </c>
      <c r="HO5" s="1">
        <v>5.0000000000000001E-4</v>
      </c>
      <c r="HP5" s="1">
        <v>7.9999999999999996E-6</v>
      </c>
      <c r="HQ5" s="1">
        <v>2.5000000000000001E-4</v>
      </c>
      <c r="HR5" s="1">
        <v>2.5000000000000001E-4</v>
      </c>
      <c r="HS5" s="1">
        <v>5.0000000000000004E-6</v>
      </c>
      <c r="HT5" s="1">
        <v>3.0000000000000001E-6</v>
      </c>
      <c r="HU5" s="1">
        <v>0.01</v>
      </c>
      <c r="HV5" s="1">
        <v>8.0000000000000002E-3</v>
      </c>
      <c r="HW5" s="1">
        <v>1.6000000000000001E-3</v>
      </c>
      <c r="HX5" s="1">
        <v>5.9999999999999995E-4</v>
      </c>
      <c r="HY5" s="1">
        <v>4.0000000000000003E-5</v>
      </c>
      <c r="HZ5" s="1">
        <v>4.0000000000000002E-4</v>
      </c>
      <c r="IA5" s="1">
        <v>4.0000000000000002E-4</v>
      </c>
      <c r="IB5" s="1">
        <v>2.0000000000000002E-5</v>
      </c>
      <c r="IC5" s="1">
        <v>3.9999999999999998E-6</v>
      </c>
      <c r="ID5" s="1">
        <f>Table13[[#This Row],[Total_Cost_MUSD]]*Table13[[#This Row],[prob500-failure_rating1]]*1000000/500</f>
        <v>806.26074750000009</v>
      </c>
      <c r="IE5" s="1">
        <f>Table13[[#This Row],[Total_Cost_MUSD]]*Table13[[#This Row],[prob500-failure_rating2]]*1000000/500</f>
        <v>322.504299</v>
      </c>
      <c r="IF5" s="1">
        <f>Table13[[#This Row],[Total_Cost_MUSD]]*Table13[[#This Row],[prob500-failure_rating3]]*1000000/500</f>
        <v>80.626074750000001</v>
      </c>
      <c r="IG5" s="1">
        <f>Table13[[#This Row],[Total_Cost_MUSD]]*Table13[[#This Row],[prob500-failure_rating4]]*1000000/500</f>
        <v>12.900171960000002</v>
      </c>
      <c r="IH5" s="1">
        <f>Table13[[#This Row],[Total_Cost_MUSD]]*Table13[[#This Row],[prob500-failure_rating5]]*1000000/500</f>
        <v>10.535140434000001</v>
      </c>
      <c r="II5" s="1">
        <f>Table13[[#This Row],[Total_Cost_MUSD]]*Table13[[#This Row],[prob500-failure_rating6]]*1000000/500</f>
        <v>5.8050773820000003</v>
      </c>
      <c r="IJ5" s="1">
        <f>Table13[[#This Row],[Total_Cost_MUSD]]*Table13[[#This Row],[prob500-failure_rating7]]*1000000/500</f>
        <v>5.8050773820000003</v>
      </c>
      <c r="IK5" s="1">
        <f>Table13[[#This Row],[Total_Cost_MUSD]]*Table13[[#This Row],[prob500-failure_rating8]]*1000000/500</f>
        <v>0.12900171959999998</v>
      </c>
      <c r="IL5" s="1">
        <f>Table13[[#This Row],[Total_Cost_MUSD]]*Table13[[#This Row],[prob500-failure_rating9]]*1000000/500</f>
        <v>8.0626074750000012E-2</v>
      </c>
      <c r="IM5" s="1">
        <f>Table13[[#This Row],[Total_Cost_MUSD]]*Table13[[#This Row],[prob100-failure_rating1]]*1000000/100</f>
        <v>2015.6518687500002</v>
      </c>
      <c r="IN5" s="1">
        <f>Table13[[#This Row],[Total_Cost_MUSD]]*Table13[[#This Row],[prob100-failure_rating2]]*1000000/100</f>
        <v>967.51289700000007</v>
      </c>
      <c r="IO5" s="1">
        <f>Table13[[#This Row],[Total_Cost_MUSD]]*Table13[[#This Row],[prob100-failure_rating3]]*1000000/100</f>
        <v>403.13037374999999</v>
      </c>
      <c r="IP5" s="1">
        <f>Table13[[#This Row],[Total_Cost_MUSD]]*Table13[[#This Row],[prob100-failure_rating4]]*1000000/100</f>
        <v>80.626074750000001</v>
      </c>
      <c r="IQ5" s="1">
        <f>Table13[[#This Row],[Total_Cost_MUSD]]*Table13[[#This Row],[prob100-failure_rating5]]*1000000/100</f>
        <v>1.2900171959999998</v>
      </c>
      <c r="IR5" s="1">
        <f>Table13[[#This Row],[Total_Cost_MUSD]]*Table13[[#This Row],[prob100-failure_rating6]]*1000000/100</f>
        <v>40.313037375</v>
      </c>
      <c r="IS5" s="1">
        <f>Table13[[#This Row],[Total_Cost_MUSD]]*Table13[[#This Row],[prob100-failure_rating7]]*1000000/100</f>
        <v>40.313037375</v>
      </c>
      <c r="IT5" s="1">
        <f>Table13[[#This Row],[Total_Cost_MUSD]]*Table13[[#This Row],[prob100-failure_rating8]]*1000000/100</f>
        <v>0.8062607475000001</v>
      </c>
      <c r="IU5" s="1">
        <f>Table13[[#This Row],[Total_Cost_MUSD]]*Table13[[#This Row],[prob100-failure_rating9]]*1000000/100</f>
        <v>0.48375644849999999</v>
      </c>
      <c r="IV5" s="1">
        <f>Table13[[#This Row],[Total_Cost_MUSD]]*Table13[[#This Row],[prob50-failure_rating1]]*1000000/50</f>
        <v>3225.0429899999999</v>
      </c>
      <c r="IW5" s="1">
        <f>Table13[[#This Row],[Total_Cost_MUSD]]*Table13[[#This Row],[prob50-failure_rating2]]*1000000/50</f>
        <v>1935.0257940000001</v>
      </c>
      <c r="IX5" s="1">
        <f>Table13[[#This Row],[Total_Cost_MUSD]]*Table13[[#This Row],[prob50-failure_rating3]]*1000000/50</f>
        <v>419.25558870000003</v>
      </c>
      <c r="IY5" s="1">
        <f>Table13[[#This Row],[Total_Cost_MUSD]]*Table13[[#This Row],[prob50-failure_rating4]]*1000000/50</f>
        <v>161.2521495</v>
      </c>
      <c r="IZ5" s="1">
        <f>Table13[[#This Row],[Total_Cost_MUSD]]*Table13[[#This Row],[prob50-failure_rating5]]*1000000/50</f>
        <v>2.5800343919999995</v>
      </c>
      <c r="JA5" s="1">
        <f>Table13[[#This Row],[Total_Cost_MUSD]]*Table13[[#This Row],[prob50-failure_rating6]]*1000000/50</f>
        <v>80.626074750000001</v>
      </c>
      <c r="JB5" s="1">
        <f>Table13[[#This Row],[Total_Cost_MUSD]]*Table13[[#This Row],[prob50-failure_rating7]]*1000000/50</f>
        <v>80.626074750000001</v>
      </c>
      <c r="JC5" s="1">
        <f>Table13[[#This Row],[Total_Cost_MUSD]]*Table13[[#This Row],[prob50-failure_rating8]]*1000000/50</f>
        <v>1.6125214950000002</v>
      </c>
      <c r="JD5" s="1">
        <f>Table13[[#This Row],[Total_Cost_MUSD]]*Table13[[#This Row],[prob50-failure_rating9]]*1000000/50</f>
        <v>0.96751289699999998</v>
      </c>
      <c r="JE5" s="1">
        <f>Table13[[#This Row],[Total_Cost_MUSD]]*Table13[[#This Row],[prob10-failure_rating1]]*1000000/10</f>
        <v>16125.21495</v>
      </c>
      <c r="JF5" s="1">
        <f>Table13[[#This Row],[Total_Cost_MUSD]]*Table13[[#This Row],[prob10-failure_rating2]]*1000000/10</f>
        <v>12900.171960000001</v>
      </c>
      <c r="JG5" s="1">
        <f>Table13[[#This Row],[Total_Cost_MUSD]]*Table13[[#This Row],[prob10-failure_rating3]]*1000000/10</f>
        <v>2580.0343920000005</v>
      </c>
      <c r="JH5" s="1">
        <f>Table13[[#This Row],[Total_Cost_MUSD]]*Table13[[#This Row],[prob10-failure_rating4]]*1000000/10</f>
        <v>967.51289699999984</v>
      </c>
      <c r="JI5" s="1">
        <f>Table13[[#This Row],[Total_Cost_MUSD]]*Table13[[#This Row],[prob10-failure_rating5]]*1000000/10</f>
        <v>64.500859800000015</v>
      </c>
      <c r="JJ5" s="1">
        <f>Table13[[#This Row],[Total_Cost_MUSD]]*Table13[[#This Row],[prob10-failure_rating6]]*1000000/10</f>
        <v>645.00859800000012</v>
      </c>
      <c r="JK5" s="1">
        <f>Table13[[#This Row],[Total_Cost_MUSD]]*Table13[[#This Row],[prob10-failure_rating7]]*1000000/10</f>
        <v>645.00859800000012</v>
      </c>
      <c r="JL5" s="1">
        <f>Table13[[#This Row],[Total_Cost_MUSD]]*Table13[[#This Row],[prob10-failure_rating8]]*1000000/10</f>
        <v>32.250429900000007</v>
      </c>
      <c r="JM5" s="1">
        <f>Table13[[#This Row],[Total_Cost_MUSD]]*Table13[[#This Row],[prob10-failure_rating9]]*1000000/10</f>
        <v>6.450085979999999</v>
      </c>
      <c r="JN5" s="1">
        <f>45</f>
        <v>45</v>
      </c>
      <c r="JO5" s="1">
        <v>40</v>
      </c>
      <c r="JP5" s="1">
        <v>35</v>
      </c>
      <c r="JQ5" s="1">
        <v>30</v>
      </c>
      <c r="JR5" s="1">
        <v>25</v>
      </c>
      <c r="JS5" s="1">
        <v>20</v>
      </c>
      <c r="JT5" s="1">
        <v>15</v>
      </c>
      <c r="JU5" s="1">
        <v>10</v>
      </c>
      <c r="JV5" s="1">
        <v>5</v>
      </c>
      <c r="JW5" s="1">
        <v>3</v>
      </c>
    </row>
    <row r="6" spans="1:283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Table13[[#This Row],[Depth10_Soil_vol]]*(9.353+9.027)+(Table13[[#This Row],[Depth10_Soil_vol]]/2.5)*20*1.053+(PI()*Table13[[#This Row],[Depth10_Scour]])*Table13[[#This Row],[DECK_WIDTH_MT_052]]*1.062</f>
        <v>16919.4190908581</v>
      </c>
      <c r="AR6" s="1">
        <f>Table13[[#This Row],[Depth50_Soil_vol]]*(9.353+9.027)+(Table13[[#This Row],[Depth50_Soil_vol]]/2.5)*20*1.053+(PI()*Table13[[#This Row],[Depth50_Scour]])*Table13[[#This Row],[DECK_WIDTH_MT_052]]*1.062</f>
        <v>18202.748839783562</v>
      </c>
      <c r="AS6" s="1">
        <f>Table13[[#This Row],[Depth100_Soil_vol]]*(9.353+9.027)+(Table13[[#This Row],[Depth100_Soil_vol]]/2.5)*20*1.053+(PI()*Table13[[#This Row],[Depth100_Scour]])*Table13[[#This Row],[DECK_WIDTH_MT_052]]*1.062</f>
        <v>18769.361851972091</v>
      </c>
      <c r="AT6" s="1">
        <f>Table13[[#This Row],[Depth500_Soil_vol]]*(9.353+9.027)+(Table13[[#This Row],[Depth500_Soil_vol]]/2.5)*20*1.053+(PI()*Table13[[#This Row],[Depth500_Scour]])*Table13[[#This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>
        <v>24.57844167</v>
      </c>
      <c r="GE6" s="1">
        <v>0</v>
      </c>
      <c r="GF6" s="1">
        <v>0</v>
      </c>
      <c r="GG6" s="1">
        <v>0</v>
      </c>
      <c r="GH6" s="1">
        <v>0</v>
      </c>
      <c r="GI6" s="1">
        <v>3</v>
      </c>
      <c r="GJ6" s="1">
        <v>6</v>
      </c>
      <c r="GK6" s="1">
        <f>5</f>
        <v>5</v>
      </c>
      <c r="GL6" s="1">
        <f>Table13[[#This Row],[cost_repair_rating1]]/2</f>
        <v>2.5</v>
      </c>
      <c r="GM6" s="1">
        <f>Table13[[#This Row],[cost_repair_rating2]]/2</f>
        <v>1.25</v>
      </c>
      <c r="GN6" s="1">
        <f>Table13[[#This Row],[cost_repair_rating3]]/2</f>
        <v>0.625</v>
      </c>
      <c r="GO6" s="1">
        <f>Table13[[#This Row],[cost_repair_rating4]]/2</f>
        <v>0.3125</v>
      </c>
      <c r="GP6" s="1">
        <f>Table13[[#This Row],[cost_repair_rating5]]/2</f>
        <v>0.15625</v>
      </c>
      <c r="GQ6" s="1">
        <v>0</v>
      </c>
      <c r="GR6" s="1">
        <v>0</v>
      </c>
      <c r="GS6" s="1">
        <v>0</v>
      </c>
      <c r="GT6" s="1">
        <f t="shared" si="0"/>
        <v>2.5000000000000001E-2</v>
      </c>
      <c r="GU6" s="1">
        <v>0.01</v>
      </c>
      <c r="GV6" s="1">
        <v>2.5000000000000001E-3</v>
      </c>
      <c r="GW6" s="1">
        <v>4.0000000000000002E-4</v>
      </c>
      <c r="GX6" s="1">
        <f>(2*Table13[[#This Row],[prob500-failure_rating4]]+Table13[[#This Row],[prob500-failure_rating6]])/3</f>
        <v>3.2666666666666667E-4</v>
      </c>
      <c r="GY6" s="1">
        <v>1.8000000000000001E-4</v>
      </c>
      <c r="GZ6" s="1">
        <v>1.8000000000000001E-4</v>
      </c>
      <c r="HA6" s="1">
        <v>3.9999999999999998E-6</v>
      </c>
      <c r="HB6" s="1">
        <v>2.5000000000000002E-6</v>
      </c>
      <c r="HC6" s="1">
        <f t="shared" si="1"/>
        <v>1.2500000000000001E-2</v>
      </c>
      <c r="HD6" s="1">
        <v>6.0000000000000001E-3</v>
      </c>
      <c r="HE6" s="1">
        <v>2.5000000000000001E-3</v>
      </c>
      <c r="HF6" s="1">
        <v>5.0000000000000001E-4</v>
      </c>
      <c r="HG6" s="1">
        <v>7.9999999999999996E-6</v>
      </c>
      <c r="HH6" s="1">
        <v>2.5000000000000001E-4</v>
      </c>
      <c r="HI6" s="1">
        <v>2.5000000000000001E-4</v>
      </c>
      <c r="HJ6" s="1">
        <v>5.0000000000000004E-6</v>
      </c>
      <c r="HK6" s="1">
        <v>3.0000000000000001E-6</v>
      </c>
      <c r="HL6" s="1">
        <v>0.01</v>
      </c>
      <c r="HM6" s="1">
        <v>6.0000000000000001E-3</v>
      </c>
      <c r="HN6" s="1">
        <v>1.2999999999999999E-3</v>
      </c>
      <c r="HO6" s="1">
        <v>5.0000000000000001E-4</v>
      </c>
      <c r="HP6" s="1">
        <v>7.9999999999999996E-6</v>
      </c>
      <c r="HQ6" s="1">
        <v>2.5000000000000001E-4</v>
      </c>
      <c r="HR6" s="1">
        <v>2.5000000000000001E-4</v>
      </c>
      <c r="HS6" s="1">
        <v>5.0000000000000004E-6</v>
      </c>
      <c r="HT6" s="1">
        <v>3.0000000000000001E-6</v>
      </c>
      <c r="HU6" s="1">
        <v>0.01</v>
      </c>
      <c r="HV6" s="1">
        <v>8.0000000000000002E-3</v>
      </c>
      <c r="HW6" s="1">
        <v>1.6000000000000001E-3</v>
      </c>
      <c r="HX6" s="1">
        <v>5.9999999999999995E-4</v>
      </c>
      <c r="HY6" s="1">
        <v>4.0000000000000003E-5</v>
      </c>
      <c r="HZ6" s="1">
        <v>4.0000000000000002E-4</v>
      </c>
      <c r="IA6" s="1">
        <v>4.0000000000000002E-4</v>
      </c>
      <c r="IB6" s="1">
        <v>2.0000000000000002E-5</v>
      </c>
      <c r="IC6" s="1">
        <v>3.9999999999999998E-6</v>
      </c>
      <c r="ID6" s="1">
        <f>Table13[[#This Row],[Total_Cost_MUSD]]*Table13[[#This Row],[prob500-failure_rating1]]*1000000/500</f>
        <v>1228.9220835000001</v>
      </c>
      <c r="IE6" s="1">
        <f>Table13[[#This Row],[Total_Cost_MUSD]]*Table13[[#This Row],[prob500-failure_rating2]]*1000000/500</f>
        <v>491.56883340000002</v>
      </c>
      <c r="IF6" s="1">
        <f>Table13[[#This Row],[Total_Cost_MUSD]]*Table13[[#This Row],[prob500-failure_rating3]]*1000000/500</f>
        <v>122.89220835</v>
      </c>
      <c r="IG6" s="1">
        <f>Table13[[#This Row],[Total_Cost_MUSD]]*Table13[[#This Row],[prob500-failure_rating4]]*1000000/500</f>
        <v>19.662753336000002</v>
      </c>
      <c r="IH6" s="1">
        <f>Table13[[#This Row],[Total_Cost_MUSD]]*Table13[[#This Row],[prob500-failure_rating5]]*1000000/500</f>
        <v>16.057915224400002</v>
      </c>
      <c r="II6" s="1">
        <f>Table13[[#This Row],[Total_Cost_MUSD]]*Table13[[#This Row],[prob500-failure_rating6]]*1000000/500</f>
        <v>8.8482390012000014</v>
      </c>
      <c r="IJ6" s="1">
        <f>Table13[[#This Row],[Total_Cost_MUSD]]*Table13[[#This Row],[prob500-failure_rating7]]*1000000/500</f>
        <v>8.8482390012000014</v>
      </c>
      <c r="IK6" s="1">
        <f>Table13[[#This Row],[Total_Cost_MUSD]]*Table13[[#This Row],[prob500-failure_rating8]]*1000000/500</f>
        <v>0.19662753336</v>
      </c>
      <c r="IL6" s="1">
        <f>Table13[[#This Row],[Total_Cost_MUSD]]*Table13[[#This Row],[prob500-failure_rating9]]*1000000/500</f>
        <v>0.12289220835</v>
      </c>
      <c r="IM6" s="1">
        <f>Table13[[#This Row],[Total_Cost_MUSD]]*Table13[[#This Row],[prob100-failure_rating1]]*1000000/100</f>
        <v>3072.3052087500005</v>
      </c>
      <c r="IN6" s="1">
        <f>Table13[[#This Row],[Total_Cost_MUSD]]*Table13[[#This Row],[prob100-failure_rating2]]*1000000/100</f>
        <v>1474.7065001999999</v>
      </c>
      <c r="IO6" s="1">
        <f>Table13[[#This Row],[Total_Cost_MUSD]]*Table13[[#This Row],[prob100-failure_rating3]]*1000000/100</f>
        <v>614.46104175000005</v>
      </c>
      <c r="IP6" s="1">
        <f>Table13[[#This Row],[Total_Cost_MUSD]]*Table13[[#This Row],[prob100-failure_rating4]]*1000000/100</f>
        <v>122.89220835</v>
      </c>
      <c r="IQ6" s="1">
        <f>Table13[[#This Row],[Total_Cost_MUSD]]*Table13[[#This Row],[prob100-failure_rating5]]*1000000/100</f>
        <v>1.9662753336000001</v>
      </c>
      <c r="IR6" s="1">
        <f>Table13[[#This Row],[Total_Cost_MUSD]]*Table13[[#This Row],[prob100-failure_rating6]]*1000000/100</f>
        <v>61.446104175000002</v>
      </c>
      <c r="IS6" s="1">
        <f>Table13[[#This Row],[Total_Cost_MUSD]]*Table13[[#This Row],[prob100-failure_rating7]]*1000000/100</f>
        <v>61.446104175000002</v>
      </c>
      <c r="IT6" s="1">
        <f>Table13[[#This Row],[Total_Cost_MUSD]]*Table13[[#This Row],[prob100-failure_rating8]]*1000000/100</f>
        <v>1.2289220835000001</v>
      </c>
      <c r="IU6" s="1">
        <f>Table13[[#This Row],[Total_Cost_MUSD]]*Table13[[#This Row],[prob100-failure_rating9]]*1000000/100</f>
        <v>0.73735325009999997</v>
      </c>
      <c r="IV6" s="1">
        <f>Table13[[#This Row],[Total_Cost_MUSD]]*Table13[[#This Row],[prob50-failure_rating1]]*1000000/50</f>
        <v>4915.6883340000004</v>
      </c>
      <c r="IW6" s="1">
        <f>Table13[[#This Row],[Total_Cost_MUSD]]*Table13[[#This Row],[prob50-failure_rating2]]*1000000/50</f>
        <v>2949.4130003999999</v>
      </c>
      <c r="IX6" s="1">
        <f>Table13[[#This Row],[Total_Cost_MUSD]]*Table13[[#This Row],[prob50-failure_rating3]]*1000000/50</f>
        <v>639.03948342000001</v>
      </c>
      <c r="IY6" s="1">
        <f>Table13[[#This Row],[Total_Cost_MUSD]]*Table13[[#This Row],[prob50-failure_rating4]]*1000000/50</f>
        <v>245.78441670000001</v>
      </c>
      <c r="IZ6" s="1">
        <f>Table13[[#This Row],[Total_Cost_MUSD]]*Table13[[#This Row],[prob50-failure_rating5]]*1000000/50</f>
        <v>3.9325506672000001</v>
      </c>
      <c r="JA6" s="1">
        <f>Table13[[#This Row],[Total_Cost_MUSD]]*Table13[[#This Row],[prob50-failure_rating6]]*1000000/50</f>
        <v>122.89220835</v>
      </c>
      <c r="JB6" s="1">
        <f>Table13[[#This Row],[Total_Cost_MUSD]]*Table13[[#This Row],[prob50-failure_rating7]]*1000000/50</f>
        <v>122.89220835</v>
      </c>
      <c r="JC6" s="1">
        <f>Table13[[#This Row],[Total_Cost_MUSD]]*Table13[[#This Row],[prob50-failure_rating8]]*1000000/50</f>
        <v>2.4578441670000002</v>
      </c>
      <c r="JD6" s="1">
        <f>Table13[[#This Row],[Total_Cost_MUSD]]*Table13[[#This Row],[prob50-failure_rating9]]*1000000/50</f>
        <v>1.4747065001999999</v>
      </c>
      <c r="JE6" s="1">
        <f>Table13[[#This Row],[Total_Cost_MUSD]]*Table13[[#This Row],[prob10-failure_rating1]]*1000000/10</f>
        <v>24578.44167</v>
      </c>
      <c r="JF6" s="1">
        <f>Table13[[#This Row],[Total_Cost_MUSD]]*Table13[[#This Row],[prob10-failure_rating2]]*1000000/10</f>
        <v>19662.753336000002</v>
      </c>
      <c r="JG6" s="1">
        <f>Table13[[#This Row],[Total_Cost_MUSD]]*Table13[[#This Row],[prob10-failure_rating3]]*1000000/10</f>
        <v>3932.5506672000001</v>
      </c>
      <c r="JH6" s="1">
        <f>Table13[[#This Row],[Total_Cost_MUSD]]*Table13[[#This Row],[prob10-failure_rating4]]*1000000/10</f>
        <v>1474.7065001999999</v>
      </c>
      <c r="JI6" s="1">
        <f>Table13[[#This Row],[Total_Cost_MUSD]]*Table13[[#This Row],[prob10-failure_rating5]]*1000000/10</f>
        <v>98.313766680000001</v>
      </c>
      <c r="JJ6" s="1">
        <f>Table13[[#This Row],[Total_Cost_MUSD]]*Table13[[#This Row],[prob10-failure_rating6]]*1000000/10</f>
        <v>983.13766680000003</v>
      </c>
      <c r="JK6" s="1">
        <f>Table13[[#This Row],[Total_Cost_MUSD]]*Table13[[#This Row],[prob10-failure_rating7]]*1000000/10</f>
        <v>983.13766680000003</v>
      </c>
      <c r="JL6" s="1">
        <f>Table13[[#This Row],[Total_Cost_MUSD]]*Table13[[#This Row],[prob10-failure_rating8]]*1000000/10</f>
        <v>49.15688334</v>
      </c>
      <c r="JM6" s="1">
        <f>Table13[[#This Row],[Total_Cost_MUSD]]*Table13[[#This Row],[prob10-failure_rating9]]*1000000/10</f>
        <v>9.8313766680000008</v>
      </c>
      <c r="JN6" s="1">
        <f>45</f>
        <v>45</v>
      </c>
      <c r="JO6" s="1">
        <v>40</v>
      </c>
      <c r="JP6" s="1">
        <v>35</v>
      </c>
      <c r="JQ6" s="1">
        <v>30</v>
      </c>
      <c r="JR6" s="1">
        <v>25</v>
      </c>
      <c r="JS6" s="1">
        <v>20</v>
      </c>
      <c r="JT6" s="1">
        <v>15</v>
      </c>
      <c r="JU6" s="1">
        <v>10</v>
      </c>
      <c r="JV6" s="1">
        <v>5</v>
      </c>
      <c r="JW6" s="1">
        <v>3</v>
      </c>
    </row>
    <row r="7" spans="1:283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Table13[[#This Row],[Depth10_Soil_vol]]*(9.353+9.027)+(Table13[[#This Row],[Depth10_Soil_vol]]/2.5)*20*1.053+(PI()*Table13[[#This Row],[Depth10_Scour]])*Table13[[#This Row],[DECK_WIDTH_MT_052]]*1.062</f>
        <v>11407.250817613454</v>
      </c>
      <c r="AR7" s="1">
        <f>Table13[[#This Row],[Depth50_Soil_vol]]*(9.353+9.027)+(Table13[[#This Row],[Depth50_Soil_vol]]/2.5)*20*1.053+(PI()*Table13[[#This Row],[Depth50_Scour]])*Table13[[#This Row],[DECK_WIDTH_MT_052]]*1.062</f>
        <v>12369.739122689782</v>
      </c>
      <c r="AS7" s="1">
        <f>Table13[[#This Row],[Depth100_Soil_vol]]*(9.353+9.027)+(Table13[[#This Row],[Depth100_Soil_vol]]/2.5)*20*1.053+(PI()*Table13[[#This Row],[Depth100_Scour]])*Table13[[#This Row],[DECK_WIDTH_MT_052]]*1.062</f>
        <v>14750.148906789464</v>
      </c>
      <c r="AT7" s="1">
        <f>Table13[[#This Row],[Depth500_Soil_vol]]*(9.353+9.027)+(Table13[[#This Row],[Depth500_Soil_vol]]/2.5)*20*1.053+(PI()*Table13[[#This Row],[Depth500_Scour]])*Table13[[#This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>
        <v>9.2416624370000005</v>
      </c>
      <c r="GE7" s="1">
        <v>0</v>
      </c>
      <c r="GF7" s="1">
        <v>0</v>
      </c>
      <c r="GG7" s="1">
        <v>0</v>
      </c>
      <c r="GH7" s="1">
        <v>0</v>
      </c>
      <c r="GI7" s="1">
        <v>8</v>
      </c>
      <c r="GJ7" s="1">
        <v>6</v>
      </c>
      <c r="GK7" s="1">
        <f>5</f>
        <v>5</v>
      </c>
      <c r="GL7" s="1">
        <f>Table13[[#This Row],[cost_repair_rating1]]/2</f>
        <v>2.5</v>
      </c>
      <c r="GM7" s="1">
        <f>Table13[[#This Row],[cost_repair_rating2]]/2</f>
        <v>1.25</v>
      </c>
      <c r="GN7" s="1">
        <f>Table13[[#This Row],[cost_repair_rating3]]/2</f>
        <v>0.625</v>
      </c>
      <c r="GO7" s="1">
        <f>Table13[[#This Row],[cost_repair_rating4]]/2</f>
        <v>0.3125</v>
      </c>
      <c r="GP7" s="1">
        <f>Table13[[#This Row],[cost_repair_rating5]]/2</f>
        <v>0.15625</v>
      </c>
      <c r="GQ7" s="1">
        <v>0</v>
      </c>
      <c r="GR7" s="1">
        <v>0</v>
      </c>
      <c r="GS7" s="1">
        <v>0</v>
      </c>
      <c r="GT7" s="1">
        <f t="shared" si="0"/>
        <v>2.5000000000000001E-2</v>
      </c>
      <c r="GU7" s="1">
        <v>0.01</v>
      </c>
      <c r="GV7" s="1">
        <v>2.5000000000000001E-3</v>
      </c>
      <c r="GW7" s="1">
        <v>4.0000000000000002E-4</v>
      </c>
      <c r="GX7" s="1">
        <f>(2*Table13[[#This Row],[prob500-failure_rating4]]+Table13[[#This Row],[prob500-failure_rating6]])/3</f>
        <v>3.2666666666666667E-4</v>
      </c>
      <c r="GY7" s="1">
        <v>1.8000000000000001E-4</v>
      </c>
      <c r="GZ7" s="1">
        <v>1.8000000000000001E-4</v>
      </c>
      <c r="HA7" s="1">
        <v>3.9999999999999998E-6</v>
      </c>
      <c r="HB7" s="1">
        <v>2.5000000000000002E-6</v>
      </c>
      <c r="HC7" s="1">
        <f t="shared" si="1"/>
        <v>1.2500000000000001E-2</v>
      </c>
      <c r="HD7" s="1">
        <v>6.0000000000000001E-3</v>
      </c>
      <c r="HE7" s="1">
        <v>2.5000000000000001E-3</v>
      </c>
      <c r="HF7" s="1">
        <v>5.0000000000000001E-4</v>
      </c>
      <c r="HG7" s="1">
        <v>7.9999999999999996E-6</v>
      </c>
      <c r="HH7" s="1">
        <v>2.5000000000000001E-4</v>
      </c>
      <c r="HI7" s="1">
        <v>2.5000000000000001E-4</v>
      </c>
      <c r="HJ7" s="1">
        <v>5.0000000000000004E-6</v>
      </c>
      <c r="HK7" s="1">
        <v>3.0000000000000001E-6</v>
      </c>
      <c r="HL7" s="1">
        <v>0.01</v>
      </c>
      <c r="HM7" s="1">
        <v>6.0000000000000001E-3</v>
      </c>
      <c r="HN7" s="1">
        <v>1.2999999999999999E-3</v>
      </c>
      <c r="HO7" s="1">
        <v>5.0000000000000001E-4</v>
      </c>
      <c r="HP7" s="1">
        <v>7.9999999999999996E-6</v>
      </c>
      <c r="HQ7" s="1">
        <v>2.5000000000000001E-4</v>
      </c>
      <c r="HR7" s="1">
        <v>2.5000000000000001E-4</v>
      </c>
      <c r="HS7" s="1">
        <v>5.0000000000000004E-6</v>
      </c>
      <c r="HT7" s="1">
        <v>3.0000000000000001E-6</v>
      </c>
      <c r="HU7" s="1">
        <v>0.01</v>
      </c>
      <c r="HV7" s="1">
        <v>8.0000000000000002E-3</v>
      </c>
      <c r="HW7" s="1">
        <v>1.6000000000000001E-3</v>
      </c>
      <c r="HX7" s="1">
        <v>5.9999999999999995E-4</v>
      </c>
      <c r="HY7" s="1">
        <v>4.0000000000000003E-5</v>
      </c>
      <c r="HZ7" s="1">
        <v>4.0000000000000002E-4</v>
      </c>
      <c r="IA7" s="1">
        <v>4.0000000000000002E-4</v>
      </c>
      <c r="IB7" s="1">
        <v>2.0000000000000002E-5</v>
      </c>
      <c r="IC7" s="1">
        <v>3.9999999999999998E-6</v>
      </c>
      <c r="ID7" s="1">
        <f>Table13[[#This Row],[Total_Cost_MUSD]]*Table13[[#This Row],[prob500-failure_rating1]]*1000000/500</f>
        <v>462.08312185000005</v>
      </c>
      <c r="IE7" s="1">
        <f>Table13[[#This Row],[Total_Cost_MUSD]]*Table13[[#This Row],[prob500-failure_rating2]]*1000000/500</f>
        <v>184.83324874000002</v>
      </c>
      <c r="IF7" s="1">
        <f>Table13[[#This Row],[Total_Cost_MUSD]]*Table13[[#This Row],[prob500-failure_rating3]]*1000000/500</f>
        <v>46.208312185000004</v>
      </c>
      <c r="IG7" s="1">
        <f>Table13[[#This Row],[Total_Cost_MUSD]]*Table13[[#This Row],[prob500-failure_rating4]]*1000000/500</f>
        <v>7.3933299496000009</v>
      </c>
      <c r="IH7" s="1">
        <f>Table13[[#This Row],[Total_Cost_MUSD]]*Table13[[#This Row],[prob500-failure_rating5]]*1000000/500</f>
        <v>6.0378861255066667</v>
      </c>
      <c r="II7" s="1">
        <f>Table13[[#This Row],[Total_Cost_MUSD]]*Table13[[#This Row],[prob500-failure_rating6]]*1000000/500</f>
        <v>3.3269984773200005</v>
      </c>
      <c r="IJ7" s="1">
        <f>Table13[[#This Row],[Total_Cost_MUSD]]*Table13[[#This Row],[prob500-failure_rating7]]*1000000/500</f>
        <v>3.3269984773200005</v>
      </c>
      <c r="IK7" s="1">
        <f>Table13[[#This Row],[Total_Cost_MUSD]]*Table13[[#This Row],[prob500-failure_rating8]]*1000000/500</f>
        <v>7.3933299495999999E-2</v>
      </c>
      <c r="IL7" s="1">
        <f>Table13[[#This Row],[Total_Cost_MUSD]]*Table13[[#This Row],[prob500-failure_rating9]]*1000000/500</f>
        <v>4.6208312185000003E-2</v>
      </c>
      <c r="IM7" s="1">
        <f>Table13[[#This Row],[Total_Cost_MUSD]]*Table13[[#This Row],[prob100-failure_rating1]]*1000000/100</f>
        <v>1155.2078046250001</v>
      </c>
      <c r="IN7" s="1">
        <f>Table13[[#This Row],[Total_Cost_MUSD]]*Table13[[#This Row],[prob100-failure_rating2]]*1000000/100</f>
        <v>554.49974622000013</v>
      </c>
      <c r="IO7" s="1">
        <f>Table13[[#This Row],[Total_Cost_MUSD]]*Table13[[#This Row],[prob100-failure_rating3]]*1000000/100</f>
        <v>231.041560925</v>
      </c>
      <c r="IP7" s="1">
        <f>Table13[[#This Row],[Total_Cost_MUSD]]*Table13[[#This Row],[prob100-failure_rating4]]*1000000/100</f>
        <v>46.208312184999997</v>
      </c>
      <c r="IQ7" s="1">
        <f>Table13[[#This Row],[Total_Cost_MUSD]]*Table13[[#This Row],[prob100-failure_rating5]]*1000000/100</f>
        <v>0.73933299496000005</v>
      </c>
      <c r="IR7" s="1">
        <f>Table13[[#This Row],[Total_Cost_MUSD]]*Table13[[#This Row],[prob100-failure_rating6]]*1000000/100</f>
        <v>23.104156092499998</v>
      </c>
      <c r="IS7" s="1">
        <f>Table13[[#This Row],[Total_Cost_MUSD]]*Table13[[#This Row],[prob100-failure_rating7]]*1000000/100</f>
        <v>23.104156092499998</v>
      </c>
      <c r="IT7" s="1">
        <f>Table13[[#This Row],[Total_Cost_MUSD]]*Table13[[#This Row],[prob100-failure_rating8]]*1000000/100</f>
        <v>0.46208312185000006</v>
      </c>
      <c r="IU7" s="1">
        <f>Table13[[#This Row],[Total_Cost_MUSD]]*Table13[[#This Row],[prob100-failure_rating9]]*1000000/100</f>
        <v>0.27724987311000004</v>
      </c>
      <c r="IV7" s="1">
        <f>Table13[[#This Row],[Total_Cost_MUSD]]*Table13[[#This Row],[prob50-failure_rating1]]*1000000/50</f>
        <v>1848.3324874</v>
      </c>
      <c r="IW7" s="1">
        <f>Table13[[#This Row],[Total_Cost_MUSD]]*Table13[[#This Row],[prob50-failure_rating2]]*1000000/50</f>
        <v>1108.9994924400003</v>
      </c>
      <c r="IX7" s="1">
        <f>Table13[[#This Row],[Total_Cost_MUSD]]*Table13[[#This Row],[prob50-failure_rating3]]*1000000/50</f>
        <v>240.283223362</v>
      </c>
      <c r="IY7" s="1">
        <f>Table13[[#This Row],[Total_Cost_MUSD]]*Table13[[#This Row],[prob50-failure_rating4]]*1000000/50</f>
        <v>92.416624369999994</v>
      </c>
      <c r="IZ7" s="1">
        <f>Table13[[#This Row],[Total_Cost_MUSD]]*Table13[[#This Row],[prob50-failure_rating5]]*1000000/50</f>
        <v>1.4786659899200001</v>
      </c>
      <c r="JA7" s="1">
        <f>Table13[[#This Row],[Total_Cost_MUSD]]*Table13[[#This Row],[prob50-failure_rating6]]*1000000/50</f>
        <v>46.208312184999997</v>
      </c>
      <c r="JB7" s="1">
        <f>Table13[[#This Row],[Total_Cost_MUSD]]*Table13[[#This Row],[prob50-failure_rating7]]*1000000/50</f>
        <v>46.208312184999997</v>
      </c>
      <c r="JC7" s="1">
        <f>Table13[[#This Row],[Total_Cost_MUSD]]*Table13[[#This Row],[prob50-failure_rating8]]*1000000/50</f>
        <v>0.92416624370000011</v>
      </c>
      <c r="JD7" s="1">
        <f>Table13[[#This Row],[Total_Cost_MUSD]]*Table13[[#This Row],[prob50-failure_rating9]]*1000000/50</f>
        <v>0.55449974622000009</v>
      </c>
      <c r="JE7" s="1">
        <f>Table13[[#This Row],[Total_Cost_MUSD]]*Table13[[#This Row],[prob10-failure_rating1]]*1000000/10</f>
        <v>9241.6624370000009</v>
      </c>
      <c r="JF7" s="1">
        <f>Table13[[#This Row],[Total_Cost_MUSD]]*Table13[[#This Row],[prob10-failure_rating2]]*1000000/10</f>
        <v>7393.3299495999991</v>
      </c>
      <c r="JG7" s="1">
        <f>Table13[[#This Row],[Total_Cost_MUSD]]*Table13[[#This Row],[prob10-failure_rating3]]*1000000/10</f>
        <v>1478.6659899200001</v>
      </c>
      <c r="JH7" s="1">
        <f>Table13[[#This Row],[Total_Cost_MUSD]]*Table13[[#This Row],[prob10-failure_rating4]]*1000000/10</f>
        <v>554.49974622000002</v>
      </c>
      <c r="JI7" s="1">
        <f>Table13[[#This Row],[Total_Cost_MUSD]]*Table13[[#This Row],[prob10-failure_rating5]]*1000000/10</f>
        <v>36.966649748000002</v>
      </c>
      <c r="JJ7" s="1">
        <f>Table13[[#This Row],[Total_Cost_MUSD]]*Table13[[#This Row],[prob10-failure_rating6]]*1000000/10</f>
        <v>369.66649748000003</v>
      </c>
      <c r="JK7" s="1">
        <f>Table13[[#This Row],[Total_Cost_MUSD]]*Table13[[#This Row],[prob10-failure_rating7]]*1000000/10</f>
        <v>369.66649748000003</v>
      </c>
      <c r="JL7" s="1">
        <f>Table13[[#This Row],[Total_Cost_MUSD]]*Table13[[#This Row],[prob10-failure_rating8]]*1000000/10</f>
        <v>18.483324874000001</v>
      </c>
      <c r="JM7" s="1">
        <f>Table13[[#This Row],[Total_Cost_MUSD]]*Table13[[#This Row],[prob10-failure_rating9]]*1000000/10</f>
        <v>3.6966649748</v>
      </c>
      <c r="JN7" s="1">
        <f>45</f>
        <v>45</v>
      </c>
      <c r="JO7" s="1">
        <v>40</v>
      </c>
      <c r="JP7" s="1">
        <v>35</v>
      </c>
      <c r="JQ7" s="1">
        <v>30</v>
      </c>
      <c r="JR7" s="1">
        <v>25</v>
      </c>
      <c r="JS7" s="1">
        <v>20</v>
      </c>
      <c r="JT7" s="1">
        <v>15</v>
      </c>
      <c r="JU7" s="1">
        <v>10</v>
      </c>
      <c r="JV7" s="1">
        <v>5</v>
      </c>
      <c r="JW7" s="1">
        <v>3</v>
      </c>
    </row>
    <row r="8" spans="1:283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Table13[[#This Row],[Depth10_Soil_vol]]*(9.353+9.027)+(Table13[[#This Row],[Depth10_Soil_vol]]/2.5)*20*1.053+(PI()*Table13[[#This Row],[Depth10_Scour]])*Table13[[#This Row],[DECK_WIDTH_MT_052]]*1.062</f>
        <v>16463.256386162553</v>
      </c>
      <c r="AR8" s="1">
        <f>Table13[[#This Row],[Depth50_Soil_vol]]*(9.353+9.027)+(Table13[[#This Row],[Depth50_Soil_vol]]/2.5)*20*1.053+(PI()*Table13[[#This Row],[Depth50_Scour]])*Table13[[#This Row],[DECK_WIDTH_MT_052]]*1.062</f>
        <v>18935.802677782114</v>
      </c>
      <c r="AS8" s="1">
        <f>Table13[[#This Row],[Depth100_Soil_vol]]*(9.353+9.027)+(Table13[[#This Row],[Depth100_Soil_vol]]/2.5)*20*1.053+(PI()*Table13[[#This Row],[Depth100_Scour]])*Table13[[#This Row],[DECK_WIDTH_MT_052]]*1.062</f>
        <v>19959.892643325038</v>
      </c>
      <c r="AT8" s="1">
        <f>Table13[[#This Row],[Depth500_Soil_vol]]*(9.353+9.027)+(Table13[[#This Row],[Depth500_Soil_vol]]/2.5)*20*1.053+(PI()*Table13[[#This Row],[Depth500_Scour]])*Table13[[#This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>
        <v>47.935071469999997</v>
      </c>
      <c r="GE8" s="1">
        <v>0</v>
      </c>
      <c r="GF8" s="1">
        <v>0</v>
      </c>
      <c r="GG8" s="1">
        <v>0</v>
      </c>
      <c r="GH8" s="1">
        <v>0</v>
      </c>
      <c r="GI8" s="1">
        <v>9</v>
      </c>
      <c r="GJ8" s="1">
        <v>6</v>
      </c>
      <c r="GK8" s="1">
        <f>5</f>
        <v>5</v>
      </c>
      <c r="GL8" s="1">
        <f>Table13[[#This Row],[cost_repair_rating1]]/2</f>
        <v>2.5</v>
      </c>
      <c r="GM8" s="1">
        <f>Table13[[#This Row],[cost_repair_rating2]]/2</f>
        <v>1.25</v>
      </c>
      <c r="GN8" s="1">
        <f>Table13[[#This Row],[cost_repair_rating3]]/2</f>
        <v>0.625</v>
      </c>
      <c r="GO8" s="1">
        <f>Table13[[#This Row],[cost_repair_rating4]]/2</f>
        <v>0.3125</v>
      </c>
      <c r="GP8" s="1">
        <f>Table13[[#This Row],[cost_repair_rating5]]/2</f>
        <v>0.15625</v>
      </c>
      <c r="GQ8" s="1">
        <v>0</v>
      </c>
      <c r="GR8" s="1">
        <v>0</v>
      </c>
      <c r="GS8" s="1">
        <v>0</v>
      </c>
      <c r="GT8" s="1">
        <f t="shared" si="0"/>
        <v>2.5000000000000001E-2</v>
      </c>
      <c r="GU8" s="1">
        <v>0.01</v>
      </c>
      <c r="GV8" s="1">
        <v>2.5000000000000001E-3</v>
      </c>
      <c r="GW8" s="1">
        <v>4.0000000000000002E-4</v>
      </c>
      <c r="GX8" s="1">
        <f>(2*Table13[[#This Row],[prob500-failure_rating4]]+Table13[[#This Row],[prob500-failure_rating6]])/3</f>
        <v>3.2666666666666667E-4</v>
      </c>
      <c r="GY8" s="1">
        <v>1.8000000000000001E-4</v>
      </c>
      <c r="GZ8" s="1">
        <v>1.8000000000000001E-4</v>
      </c>
      <c r="HA8" s="1">
        <v>3.9999999999999998E-6</v>
      </c>
      <c r="HB8" s="1">
        <v>2.5000000000000002E-6</v>
      </c>
      <c r="HC8" s="1">
        <f t="shared" si="1"/>
        <v>1.2500000000000001E-2</v>
      </c>
      <c r="HD8" s="1">
        <v>6.0000000000000001E-3</v>
      </c>
      <c r="HE8" s="1">
        <v>2.5000000000000001E-3</v>
      </c>
      <c r="HF8" s="1">
        <v>5.0000000000000001E-4</v>
      </c>
      <c r="HG8" s="1">
        <v>7.9999999999999996E-6</v>
      </c>
      <c r="HH8" s="1">
        <v>2.5000000000000001E-4</v>
      </c>
      <c r="HI8" s="1">
        <v>2.5000000000000001E-4</v>
      </c>
      <c r="HJ8" s="1">
        <v>5.0000000000000004E-6</v>
      </c>
      <c r="HK8" s="1">
        <v>3.0000000000000001E-6</v>
      </c>
      <c r="HL8" s="1">
        <v>0.01</v>
      </c>
      <c r="HM8" s="1">
        <v>6.0000000000000001E-3</v>
      </c>
      <c r="HN8" s="1">
        <v>1.2999999999999999E-3</v>
      </c>
      <c r="HO8" s="1">
        <v>5.0000000000000001E-4</v>
      </c>
      <c r="HP8" s="1">
        <v>7.9999999999999996E-6</v>
      </c>
      <c r="HQ8" s="1">
        <v>2.5000000000000001E-4</v>
      </c>
      <c r="HR8" s="1">
        <v>2.5000000000000001E-4</v>
      </c>
      <c r="HS8" s="1">
        <v>5.0000000000000004E-6</v>
      </c>
      <c r="HT8" s="1">
        <v>3.0000000000000001E-6</v>
      </c>
      <c r="HU8" s="1">
        <v>0.01</v>
      </c>
      <c r="HV8" s="1">
        <v>8.0000000000000002E-3</v>
      </c>
      <c r="HW8" s="1">
        <v>1.6000000000000001E-3</v>
      </c>
      <c r="HX8" s="1">
        <v>5.9999999999999995E-4</v>
      </c>
      <c r="HY8" s="1">
        <v>4.0000000000000003E-5</v>
      </c>
      <c r="HZ8" s="1">
        <v>4.0000000000000002E-4</v>
      </c>
      <c r="IA8" s="1">
        <v>4.0000000000000002E-4</v>
      </c>
      <c r="IB8" s="1">
        <v>2.0000000000000002E-5</v>
      </c>
      <c r="IC8" s="1">
        <v>3.9999999999999998E-6</v>
      </c>
      <c r="ID8" s="1">
        <f>Table13[[#This Row],[Total_Cost_MUSD]]*Table13[[#This Row],[prob500-failure_rating1]]*1000000/500</f>
        <v>2396.7535735000001</v>
      </c>
      <c r="IE8" s="1">
        <f>Table13[[#This Row],[Total_Cost_MUSD]]*Table13[[#This Row],[prob500-failure_rating2]]*1000000/500</f>
        <v>958.70142939999994</v>
      </c>
      <c r="IF8" s="1">
        <f>Table13[[#This Row],[Total_Cost_MUSD]]*Table13[[#This Row],[prob500-failure_rating3]]*1000000/500</f>
        <v>239.67535734999998</v>
      </c>
      <c r="IG8" s="1">
        <f>Table13[[#This Row],[Total_Cost_MUSD]]*Table13[[#This Row],[prob500-failure_rating4]]*1000000/500</f>
        <v>38.348057175999998</v>
      </c>
      <c r="IH8" s="1">
        <f>Table13[[#This Row],[Total_Cost_MUSD]]*Table13[[#This Row],[prob500-failure_rating5]]*1000000/500</f>
        <v>31.317580027066665</v>
      </c>
      <c r="II8" s="1">
        <f>Table13[[#This Row],[Total_Cost_MUSD]]*Table13[[#This Row],[prob500-failure_rating6]]*1000000/500</f>
        <v>17.2566257292</v>
      </c>
      <c r="IJ8" s="1">
        <f>Table13[[#This Row],[Total_Cost_MUSD]]*Table13[[#This Row],[prob500-failure_rating7]]*1000000/500</f>
        <v>17.2566257292</v>
      </c>
      <c r="IK8" s="1">
        <f>Table13[[#This Row],[Total_Cost_MUSD]]*Table13[[#This Row],[prob500-failure_rating8]]*1000000/500</f>
        <v>0.38348057176</v>
      </c>
      <c r="IL8" s="1">
        <f>Table13[[#This Row],[Total_Cost_MUSD]]*Table13[[#This Row],[prob500-failure_rating9]]*1000000/500</f>
        <v>0.23967535734999998</v>
      </c>
      <c r="IM8" s="1">
        <f>Table13[[#This Row],[Total_Cost_MUSD]]*Table13[[#This Row],[prob100-failure_rating1]]*1000000/100</f>
        <v>5991.8839337499994</v>
      </c>
      <c r="IN8" s="1">
        <f>Table13[[#This Row],[Total_Cost_MUSD]]*Table13[[#This Row],[prob100-failure_rating2]]*1000000/100</f>
        <v>2876.1042881999997</v>
      </c>
      <c r="IO8" s="1">
        <f>Table13[[#This Row],[Total_Cost_MUSD]]*Table13[[#This Row],[prob100-failure_rating3]]*1000000/100</f>
        <v>1198.3767867499998</v>
      </c>
      <c r="IP8" s="1">
        <f>Table13[[#This Row],[Total_Cost_MUSD]]*Table13[[#This Row],[prob100-failure_rating4]]*1000000/100</f>
        <v>239.67535735000001</v>
      </c>
      <c r="IQ8" s="1">
        <f>Table13[[#This Row],[Total_Cost_MUSD]]*Table13[[#This Row],[prob100-failure_rating5]]*1000000/100</f>
        <v>3.8348057175999997</v>
      </c>
      <c r="IR8" s="1">
        <f>Table13[[#This Row],[Total_Cost_MUSD]]*Table13[[#This Row],[prob100-failure_rating6]]*1000000/100</f>
        <v>119.83767867500001</v>
      </c>
      <c r="IS8" s="1">
        <f>Table13[[#This Row],[Total_Cost_MUSD]]*Table13[[#This Row],[prob100-failure_rating7]]*1000000/100</f>
        <v>119.83767867500001</v>
      </c>
      <c r="IT8" s="1">
        <f>Table13[[#This Row],[Total_Cost_MUSD]]*Table13[[#This Row],[prob100-failure_rating8]]*1000000/100</f>
        <v>2.3967535734999998</v>
      </c>
      <c r="IU8" s="1">
        <f>Table13[[#This Row],[Total_Cost_MUSD]]*Table13[[#This Row],[prob100-failure_rating9]]*1000000/100</f>
        <v>1.4380521440999998</v>
      </c>
      <c r="IV8" s="1">
        <f>Table13[[#This Row],[Total_Cost_MUSD]]*Table13[[#This Row],[prob50-failure_rating1]]*1000000/50</f>
        <v>9587.0142939999987</v>
      </c>
      <c r="IW8" s="1">
        <f>Table13[[#This Row],[Total_Cost_MUSD]]*Table13[[#This Row],[prob50-failure_rating2]]*1000000/50</f>
        <v>5752.2085763999994</v>
      </c>
      <c r="IX8" s="1">
        <f>Table13[[#This Row],[Total_Cost_MUSD]]*Table13[[#This Row],[prob50-failure_rating3]]*1000000/50</f>
        <v>1246.3118582199997</v>
      </c>
      <c r="IY8" s="1">
        <f>Table13[[#This Row],[Total_Cost_MUSD]]*Table13[[#This Row],[prob50-failure_rating4]]*1000000/50</f>
        <v>479.35071470000003</v>
      </c>
      <c r="IZ8" s="1">
        <f>Table13[[#This Row],[Total_Cost_MUSD]]*Table13[[#This Row],[prob50-failure_rating5]]*1000000/50</f>
        <v>7.6696114351999993</v>
      </c>
      <c r="JA8" s="1">
        <f>Table13[[#This Row],[Total_Cost_MUSD]]*Table13[[#This Row],[prob50-failure_rating6]]*1000000/50</f>
        <v>239.67535735000001</v>
      </c>
      <c r="JB8" s="1">
        <f>Table13[[#This Row],[Total_Cost_MUSD]]*Table13[[#This Row],[prob50-failure_rating7]]*1000000/50</f>
        <v>239.67535735000001</v>
      </c>
      <c r="JC8" s="1">
        <f>Table13[[#This Row],[Total_Cost_MUSD]]*Table13[[#This Row],[prob50-failure_rating8]]*1000000/50</f>
        <v>4.7935071469999997</v>
      </c>
      <c r="JD8" s="1">
        <f>Table13[[#This Row],[Total_Cost_MUSD]]*Table13[[#This Row],[prob50-failure_rating9]]*1000000/50</f>
        <v>2.8761042881999996</v>
      </c>
      <c r="JE8" s="1">
        <f>Table13[[#This Row],[Total_Cost_MUSD]]*Table13[[#This Row],[prob10-failure_rating1]]*1000000/10</f>
        <v>47935.071469999995</v>
      </c>
      <c r="JF8" s="1">
        <f>Table13[[#This Row],[Total_Cost_MUSD]]*Table13[[#This Row],[prob10-failure_rating2]]*1000000/10</f>
        <v>38348.057176000002</v>
      </c>
      <c r="JG8" s="1">
        <f>Table13[[#This Row],[Total_Cost_MUSD]]*Table13[[#This Row],[prob10-failure_rating3]]*1000000/10</f>
        <v>7669.6114351999986</v>
      </c>
      <c r="JH8" s="1">
        <f>Table13[[#This Row],[Total_Cost_MUSD]]*Table13[[#This Row],[prob10-failure_rating4]]*1000000/10</f>
        <v>2876.1042881999992</v>
      </c>
      <c r="JI8" s="1">
        <f>Table13[[#This Row],[Total_Cost_MUSD]]*Table13[[#This Row],[prob10-failure_rating5]]*1000000/10</f>
        <v>191.74028587999999</v>
      </c>
      <c r="JJ8" s="1">
        <f>Table13[[#This Row],[Total_Cost_MUSD]]*Table13[[#This Row],[prob10-failure_rating6]]*1000000/10</f>
        <v>1917.4028587999996</v>
      </c>
      <c r="JK8" s="1">
        <f>Table13[[#This Row],[Total_Cost_MUSD]]*Table13[[#This Row],[prob10-failure_rating7]]*1000000/10</f>
        <v>1917.4028587999996</v>
      </c>
      <c r="JL8" s="1">
        <f>Table13[[#This Row],[Total_Cost_MUSD]]*Table13[[#This Row],[prob10-failure_rating8]]*1000000/10</f>
        <v>95.870142939999994</v>
      </c>
      <c r="JM8" s="1">
        <f>Table13[[#This Row],[Total_Cost_MUSD]]*Table13[[#This Row],[prob10-failure_rating9]]*1000000/10</f>
        <v>19.174028587999999</v>
      </c>
      <c r="JN8" s="1">
        <f>45</f>
        <v>45</v>
      </c>
      <c r="JO8" s="1">
        <v>40</v>
      </c>
      <c r="JP8" s="1">
        <v>35</v>
      </c>
      <c r="JQ8" s="1">
        <v>30</v>
      </c>
      <c r="JR8" s="1">
        <v>25</v>
      </c>
      <c r="JS8" s="1">
        <v>20</v>
      </c>
      <c r="JT8" s="1">
        <v>15</v>
      </c>
      <c r="JU8" s="1">
        <v>10</v>
      </c>
      <c r="JV8" s="1">
        <v>5</v>
      </c>
      <c r="JW8" s="1">
        <v>3</v>
      </c>
    </row>
    <row r="9" spans="1:283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Table13[[#This Row],[Depth10_Soil_vol]]*(9.353+9.027)+(Table13[[#This Row],[Depth10_Soil_vol]]/2.5)*20*1.053+(PI()*Table13[[#This Row],[Depth10_Scour]])*Table13[[#This Row],[DECK_WIDTH_MT_052]]*1.062</f>
        <v>6829.712539120831</v>
      </c>
      <c r="AR9" s="1">
        <f>Table13[[#This Row],[Depth50_Soil_vol]]*(9.353+9.027)+(Table13[[#This Row],[Depth50_Soil_vol]]/2.5)*20*1.053+(PI()*Table13[[#This Row],[Depth50_Scour]])*Table13[[#This Row],[DECK_WIDTH_MT_052]]*1.062</f>
        <v>7284.9335218547822</v>
      </c>
      <c r="AS9" s="1">
        <f>Table13[[#This Row],[Depth100_Soil_vol]]*(9.353+9.027)+(Table13[[#This Row],[Depth100_Soil_vol]]/2.5)*20*1.053+(PI()*Table13[[#This Row],[Depth100_Scour]])*Table13[[#This Row],[DECK_WIDTH_MT_052]]*1.062</f>
        <v>7678.6049905512346</v>
      </c>
      <c r="AT9" s="1">
        <f>Table13[[#This Row],[Depth500_Soil_vol]]*(9.353+9.027)+(Table13[[#This Row],[Depth500_Soil_vol]]/2.5)*20*1.053+(PI()*Table13[[#This Row],[Depth500_Scour]])*Table13[[#This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>
        <v>42.732621100000003</v>
      </c>
      <c r="GE9" s="1">
        <v>0</v>
      </c>
      <c r="GF9" s="1">
        <v>0</v>
      </c>
      <c r="GG9" s="1">
        <v>0</v>
      </c>
      <c r="GH9" s="1">
        <v>0</v>
      </c>
      <c r="GI9" s="1">
        <v>5</v>
      </c>
      <c r="GJ9" s="1">
        <v>6</v>
      </c>
      <c r="GK9" s="1">
        <f>5</f>
        <v>5</v>
      </c>
      <c r="GL9" s="1">
        <f>Table13[[#This Row],[cost_repair_rating1]]/2</f>
        <v>2.5</v>
      </c>
      <c r="GM9" s="1">
        <f>Table13[[#This Row],[cost_repair_rating2]]/2</f>
        <v>1.25</v>
      </c>
      <c r="GN9" s="1">
        <f>Table13[[#This Row],[cost_repair_rating3]]/2</f>
        <v>0.625</v>
      </c>
      <c r="GO9" s="1">
        <f>Table13[[#This Row],[cost_repair_rating4]]/2</f>
        <v>0.3125</v>
      </c>
      <c r="GP9" s="1">
        <f>Table13[[#This Row],[cost_repair_rating5]]/2</f>
        <v>0.15625</v>
      </c>
      <c r="GQ9" s="1">
        <v>0</v>
      </c>
      <c r="GR9" s="1">
        <v>0</v>
      </c>
      <c r="GS9" s="1">
        <v>0</v>
      </c>
      <c r="GT9" s="1">
        <f t="shared" si="0"/>
        <v>2.5000000000000001E-2</v>
      </c>
      <c r="GU9" s="1">
        <v>0.01</v>
      </c>
      <c r="GV9" s="1">
        <v>2.5000000000000001E-3</v>
      </c>
      <c r="GW9" s="1">
        <v>4.0000000000000002E-4</v>
      </c>
      <c r="GX9" s="1">
        <f>(2*Table13[[#This Row],[prob500-failure_rating4]]+Table13[[#This Row],[prob500-failure_rating6]])/3</f>
        <v>3.2666666666666667E-4</v>
      </c>
      <c r="GY9" s="1">
        <v>1.8000000000000001E-4</v>
      </c>
      <c r="GZ9" s="1">
        <v>1.8000000000000001E-4</v>
      </c>
      <c r="HA9" s="1">
        <v>3.9999999999999998E-6</v>
      </c>
      <c r="HB9" s="1">
        <v>2.5000000000000002E-6</v>
      </c>
      <c r="HC9" s="1">
        <f t="shared" si="1"/>
        <v>1.2500000000000001E-2</v>
      </c>
      <c r="HD9" s="1">
        <v>6.0000000000000001E-3</v>
      </c>
      <c r="HE9" s="1">
        <v>2.5000000000000001E-3</v>
      </c>
      <c r="HF9" s="1">
        <v>5.0000000000000001E-4</v>
      </c>
      <c r="HG9" s="1">
        <v>7.9999999999999996E-6</v>
      </c>
      <c r="HH9" s="1">
        <v>2.5000000000000001E-4</v>
      </c>
      <c r="HI9" s="1">
        <v>2.5000000000000001E-4</v>
      </c>
      <c r="HJ9" s="1">
        <v>5.0000000000000004E-6</v>
      </c>
      <c r="HK9" s="1">
        <v>3.0000000000000001E-6</v>
      </c>
      <c r="HL9" s="1">
        <v>0.01</v>
      </c>
      <c r="HM9" s="1">
        <v>6.0000000000000001E-3</v>
      </c>
      <c r="HN9" s="1">
        <v>1.2999999999999999E-3</v>
      </c>
      <c r="HO9" s="1">
        <v>5.0000000000000001E-4</v>
      </c>
      <c r="HP9" s="1">
        <v>7.9999999999999996E-6</v>
      </c>
      <c r="HQ9" s="1">
        <v>2.5000000000000001E-4</v>
      </c>
      <c r="HR9" s="1">
        <v>2.5000000000000001E-4</v>
      </c>
      <c r="HS9" s="1">
        <v>5.0000000000000004E-6</v>
      </c>
      <c r="HT9" s="1">
        <v>3.0000000000000001E-6</v>
      </c>
      <c r="HU9" s="1">
        <v>0.01</v>
      </c>
      <c r="HV9" s="1">
        <v>8.0000000000000002E-3</v>
      </c>
      <c r="HW9" s="1">
        <v>1.6000000000000001E-3</v>
      </c>
      <c r="HX9" s="1">
        <v>5.9999999999999995E-4</v>
      </c>
      <c r="HY9" s="1">
        <v>4.0000000000000003E-5</v>
      </c>
      <c r="HZ9" s="1">
        <v>4.0000000000000002E-4</v>
      </c>
      <c r="IA9" s="1">
        <v>4.0000000000000002E-4</v>
      </c>
      <c r="IB9" s="1">
        <v>2.0000000000000002E-5</v>
      </c>
      <c r="IC9" s="1">
        <v>3.9999999999999998E-6</v>
      </c>
      <c r="ID9" s="1">
        <f>Table13[[#This Row],[Total_Cost_MUSD]]*Table13[[#This Row],[prob500-failure_rating1]]*1000000/500</f>
        <v>2136.6310550000003</v>
      </c>
      <c r="IE9" s="1">
        <f>Table13[[#This Row],[Total_Cost_MUSD]]*Table13[[#This Row],[prob500-failure_rating2]]*1000000/500</f>
        <v>854.652422</v>
      </c>
      <c r="IF9" s="1">
        <f>Table13[[#This Row],[Total_Cost_MUSD]]*Table13[[#This Row],[prob500-failure_rating3]]*1000000/500</f>
        <v>213.6631055</v>
      </c>
      <c r="IG9" s="1">
        <f>Table13[[#This Row],[Total_Cost_MUSD]]*Table13[[#This Row],[prob500-failure_rating4]]*1000000/500</f>
        <v>34.186096880000008</v>
      </c>
      <c r="IH9" s="1">
        <f>Table13[[#This Row],[Total_Cost_MUSD]]*Table13[[#This Row],[prob500-failure_rating5]]*1000000/500</f>
        <v>27.918645785333332</v>
      </c>
      <c r="II9" s="1">
        <f>Table13[[#This Row],[Total_Cost_MUSD]]*Table13[[#This Row],[prob500-failure_rating6]]*1000000/500</f>
        <v>15.383743596</v>
      </c>
      <c r="IJ9" s="1">
        <f>Table13[[#This Row],[Total_Cost_MUSD]]*Table13[[#This Row],[prob500-failure_rating7]]*1000000/500</f>
        <v>15.383743596</v>
      </c>
      <c r="IK9" s="1">
        <f>Table13[[#This Row],[Total_Cost_MUSD]]*Table13[[#This Row],[prob500-failure_rating8]]*1000000/500</f>
        <v>0.3418609688</v>
      </c>
      <c r="IL9" s="1">
        <f>Table13[[#This Row],[Total_Cost_MUSD]]*Table13[[#This Row],[prob500-failure_rating9]]*1000000/500</f>
        <v>0.21366310550000006</v>
      </c>
      <c r="IM9" s="1">
        <f>Table13[[#This Row],[Total_Cost_MUSD]]*Table13[[#This Row],[prob100-failure_rating1]]*1000000/100</f>
        <v>5341.5776375000005</v>
      </c>
      <c r="IN9" s="1">
        <f>Table13[[#This Row],[Total_Cost_MUSD]]*Table13[[#This Row],[prob100-failure_rating2]]*1000000/100</f>
        <v>2563.9572660000003</v>
      </c>
      <c r="IO9" s="1">
        <f>Table13[[#This Row],[Total_Cost_MUSD]]*Table13[[#This Row],[prob100-failure_rating3]]*1000000/100</f>
        <v>1068.3155274999999</v>
      </c>
      <c r="IP9" s="1">
        <f>Table13[[#This Row],[Total_Cost_MUSD]]*Table13[[#This Row],[prob100-failure_rating4]]*1000000/100</f>
        <v>213.66310550000003</v>
      </c>
      <c r="IQ9" s="1">
        <f>Table13[[#This Row],[Total_Cost_MUSD]]*Table13[[#This Row],[prob100-failure_rating5]]*1000000/100</f>
        <v>3.4186096880000001</v>
      </c>
      <c r="IR9" s="1">
        <f>Table13[[#This Row],[Total_Cost_MUSD]]*Table13[[#This Row],[prob100-failure_rating6]]*1000000/100</f>
        <v>106.83155275000001</v>
      </c>
      <c r="IS9" s="1">
        <f>Table13[[#This Row],[Total_Cost_MUSD]]*Table13[[#This Row],[prob100-failure_rating7]]*1000000/100</f>
        <v>106.83155275000001</v>
      </c>
      <c r="IT9" s="1">
        <f>Table13[[#This Row],[Total_Cost_MUSD]]*Table13[[#This Row],[prob100-failure_rating8]]*1000000/100</f>
        <v>2.1366310550000005</v>
      </c>
      <c r="IU9" s="1">
        <f>Table13[[#This Row],[Total_Cost_MUSD]]*Table13[[#This Row],[prob100-failure_rating9]]*1000000/100</f>
        <v>1.2819786330000003</v>
      </c>
      <c r="IV9" s="1">
        <f>Table13[[#This Row],[Total_Cost_MUSD]]*Table13[[#This Row],[prob50-failure_rating1]]*1000000/50</f>
        <v>8546.5242199999993</v>
      </c>
      <c r="IW9" s="1">
        <f>Table13[[#This Row],[Total_Cost_MUSD]]*Table13[[#This Row],[prob50-failure_rating2]]*1000000/50</f>
        <v>5127.9145320000007</v>
      </c>
      <c r="IX9" s="1">
        <f>Table13[[#This Row],[Total_Cost_MUSD]]*Table13[[#This Row],[prob50-failure_rating3]]*1000000/50</f>
        <v>1111.0481485999999</v>
      </c>
      <c r="IY9" s="1">
        <f>Table13[[#This Row],[Total_Cost_MUSD]]*Table13[[#This Row],[prob50-failure_rating4]]*1000000/50</f>
        <v>427.32621100000006</v>
      </c>
      <c r="IZ9" s="1">
        <f>Table13[[#This Row],[Total_Cost_MUSD]]*Table13[[#This Row],[prob50-failure_rating5]]*1000000/50</f>
        <v>6.8372193760000002</v>
      </c>
      <c r="JA9" s="1">
        <f>Table13[[#This Row],[Total_Cost_MUSD]]*Table13[[#This Row],[prob50-failure_rating6]]*1000000/50</f>
        <v>213.66310550000003</v>
      </c>
      <c r="JB9" s="1">
        <f>Table13[[#This Row],[Total_Cost_MUSD]]*Table13[[#This Row],[prob50-failure_rating7]]*1000000/50</f>
        <v>213.66310550000003</v>
      </c>
      <c r="JC9" s="1">
        <f>Table13[[#This Row],[Total_Cost_MUSD]]*Table13[[#This Row],[prob50-failure_rating8]]*1000000/50</f>
        <v>4.273262110000001</v>
      </c>
      <c r="JD9" s="1">
        <f>Table13[[#This Row],[Total_Cost_MUSD]]*Table13[[#This Row],[prob50-failure_rating9]]*1000000/50</f>
        <v>2.5639572660000005</v>
      </c>
      <c r="JE9" s="1">
        <f>Table13[[#This Row],[Total_Cost_MUSD]]*Table13[[#This Row],[prob10-failure_rating1]]*1000000/10</f>
        <v>42732.621100000004</v>
      </c>
      <c r="JF9" s="1">
        <f>Table13[[#This Row],[Total_Cost_MUSD]]*Table13[[#This Row],[prob10-failure_rating2]]*1000000/10</f>
        <v>34186.096880000005</v>
      </c>
      <c r="JG9" s="1">
        <f>Table13[[#This Row],[Total_Cost_MUSD]]*Table13[[#This Row],[prob10-failure_rating3]]*1000000/10</f>
        <v>6837.2193760000009</v>
      </c>
      <c r="JH9" s="1">
        <f>Table13[[#This Row],[Total_Cost_MUSD]]*Table13[[#This Row],[prob10-failure_rating4]]*1000000/10</f>
        <v>2563.9572659999999</v>
      </c>
      <c r="JI9" s="1">
        <f>Table13[[#This Row],[Total_Cost_MUSD]]*Table13[[#This Row],[prob10-failure_rating5]]*1000000/10</f>
        <v>170.93048440000004</v>
      </c>
      <c r="JJ9" s="1">
        <f>Table13[[#This Row],[Total_Cost_MUSD]]*Table13[[#This Row],[prob10-failure_rating6]]*1000000/10</f>
        <v>1709.3048440000002</v>
      </c>
      <c r="JK9" s="1">
        <f>Table13[[#This Row],[Total_Cost_MUSD]]*Table13[[#This Row],[prob10-failure_rating7]]*1000000/10</f>
        <v>1709.3048440000002</v>
      </c>
      <c r="JL9" s="1">
        <f>Table13[[#This Row],[Total_Cost_MUSD]]*Table13[[#This Row],[prob10-failure_rating8]]*1000000/10</f>
        <v>85.46524220000002</v>
      </c>
      <c r="JM9" s="1">
        <f>Table13[[#This Row],[Total_Cost_MUSD]]*Table13[[#This Row],[prob10-failure_rating9]]*1000000/10</f>
        <v>17.09304844</v>
      </c>
      <c r="JN9" s="1">
        <f>45</f>
        <v>45</v>
      </c>
      <c r="JO9" s="1">
        <v>40</v>
      </c>
      <c r="JP9" s="1">
        <v>35</v>
      </c>
      <c r="JQ9" s="1">
        <v>30</v>
      </c>
      <c r="JR9" s="1">
        <v>25</v>
      </c>
      <c r="JS9" s="1">
        <v>20</v>
      </c>
      <c r="JT9" s="1">
        <v>15</v>
      </c>
      <c r="JU9" s="1">
        <v>10</v>
      </c>
      <c r="JV9" s="1">
        <v>5</v>
      </c>
      <c r="JW9" s="1">
        <v>3</v>
      </c>
    </row>
    <row r="10" spans="1:283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Table13[[#This Row],[Depth10_Soil_vol]]*(9.353+9.027)+(Table13[[#This Row],[Depth10_Soil_vol]]/2.5)*20*1.053+(PI()*Table13[[#This Row],[Depth10_Scour]])*Table13[[#This Row],[DECK_WIDTH_MT_052]]*1.062</f>
        <v>2767.3671308174216</v>
      </c>
      <c r="AR10" s="1">
        <f>Table13[[#This Row],[Depth50_Soil_vol]]*(9.353+9.027)+(Table13[[#This Row],[Depth50_Soil_vol]]/2.5)*20*1.053+(PI()*Table13[[#This Row],[Depth50_Scour]])*Table13[[#This Row],[DECK_WIDTH_MT_052]]*1.062</f>
        <v>2942.0444801705157</v>
      </c>
      <c r="AS10" s="1">
        <f>Table13[[#This Row],[Depth100_Soil_vol]]*(9.353+9.027)+(Table13[[#This Row],[Depth100_Soil_vol]]/2.5)*20*1.053+(PI()*Table13[[#This Row],[Depth100_Scour]])*Table13[[#This Row],[DECK_WIDTH_MT_052]]*1.062</f>
        <v>3019.9468768096358</v>
      </c>
      <c r="AT10" s="1">
        <f>Table13[[#This Row],[Depth500_Soil_vol]]*(9.353+9.027)+(Table13[[#This Row],[Depth500_Soil_vol]]/2.5)*20*1.053+(PI()*Table13[[#This Row],[Depth500_Scour]])*Table13[[#This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>
        <v>17.884614809999999</v>
      </c>
      <c r="GE10" s="1">
        <v>0</v>
      </c>
      <c r="GF10" s="1">
        <v>0</v>
      </c>
      <c r="GG10" s="1">
        <v>0</v>
      </c>
      <c r="GH10" s="1">
        <v>0</v>
      </c>
      <c r="GI10" s="1">
        <v>4</v>
      </c>
      <c r="GJ10" s="1">
        <v>6</v>
      </c>
      <c r="GK10" s="1">
        <f>5</f>
        <v>5</v>
      </c>
      <c r="GL10" s="1">
        <f>Table13[[#This Row],[cost_repair_rating1]]/2</f>
        <v>2.5</v>
      </c>
      <c r="GM10" s="1">
        <f>Table13[[#This Row],[cost_repair_rating2]]/2</f>
        <v>1.25</v>
      </c>
      <c r="GN10" s="1">
        <f>Table13[[#This Row],[cost_repair_rating3]]/2</f>
        <v>0.625</v>
      </c>
      <c r="GO10" s="1">
        <f>Table13[[#This Row],[cost_repair_rating4]]/2</f>
        <v>0.3125</v>
      </c>
      <c r="GP10" s="1">
        <f>Table13[[#This Row],[cost_repair_rating5]]/2</f>
        <v>0.15625</v>
      </c>
      <c r="GQ10" s="1">
        <v>0</v>
      </c>
      <c r="GR10" s="1">
        <v>0</v>
      </c>
      <c r="GS10" s="1">
        <v>0</v>
      </c>
      <c r="GT10" s="1">
        <f t="shared" si="0"/>
        <v>2.5000000000000001E-2</v>
      </c>
      <c r="GU10" s="1">
        <v>0.01</v>
      </c>
      <c r="GV10" s="1">
        <v>2.5000000000000001E-3</v>
      </c>
      <c r="GW10" s="1">
        <v>4.0000000000000002E-4</v>
      </c>
      <c r="GX10" s="1">
        <f>(2*Table13[[#This Row],[prob500-failure_rating4]]+Table13[[#This Row],[prob500-failure_rating6]])/3</f>
        <v>3.2666666666666667E-4</v>
      </c>
      <c r="GY10" s="1">
        <v>1.8000000000000001E-4</v>
      </c>
      <c r="GZ10" s="1">
        <v>1.8000000000000001E-4</v>
      </c>
      <c r="HA10" s="1">
        <v>3.9999999999999998E-6</v>
      </c>
      <c r="HB10" s="1">
        <v>2.5000000000000002E-6</v>
      </c>
      <c r="HC10" s="1">
        <f t="shared" si="1"/>
        <v>1.2500000000000001E-2</v>
      </c>
      <c r="HD10" s="1">
        <v>6.0000000000000001E-3</v>
      </c>
      <c r="HE10" s="1">
        <v>2.5000000000000001E-3</v>
      </c>
      <c r="HF10" s="1">
        <v>5.0000000000000001E-4</v>
      </c>
      <c r="HG10" s="1">
        <v>7.9999999999999996E-6</v>
      </c>
      <c r="HH10" s="1">
        <v>2.5000000000000001E-4</v>
      </c>
      <c r="HI10" s="1">
        <v>2.5000000000000001E-4</v>
      </c>
      <c r="HJ10" s="1">
        <v>5.0000000000000004E-6</v>
      </c>
      <c r="HK10" s="1">
        <v>3.0000000000000001E-6</v>
      </c>
      <c r="HL10" s="1">
        <v>0.01</v>
      </c>
      <c r="HM10" s="1">
        <v>6.0000000000000001E-3</v>
      </c>
      <c r="HN10" s="1">
        <v>1.2999999999999999E-3</v>
      </c>
      <c r="HO10" s="1">
        <v>5.0000000000000001E-4</v>
      </c>
      <c r="HP10" s="1">
        <v>7.9999999999999996E-6</v>
      </c>
      <c r="HQ10" s="1">
        <v>2.5000000000000001E-4</v>
      </c>
      <c r="HR10" s="1">
        <v>2.5000000000000001E-4</v>
      </c>
      <c r="HS10" s="1">
        <v>5.0000000000000004E-6</v>
      </c>
      <c r="HT10" s="1">
        <v>3.0000000000000001E-6</v>
      </c>
      <c r="HU10" s="1">
        <v>0.01</v>
      </c>
      <c r="HV10" s="1">
        <v>8.0000000000000002E-3</v>
      </c>
      <c r="HW10" s="1">
        <v>1.6000000000000001E-3</v>
      </c>
      <c r="HX10" s="1">
        <v>5.9999999999999995E-4</v>
      </c>
      <c r="HY10" s="1">
        <v>4.0000000000000003E-5</v>
      </c>
      <c r="HZ10" s="1">
        <v>4.0000000000000002E-4</v>
      </c>
      <c r="IA10" s="1">
        <v>4.0000000000000002E-4</v>
      </c>
      <c r="IB10" s="1">
        <v>2.0000000000000002E-5</v>
      </c>
      <c r="IC10" s="1">
        <v>3.9999999999999998E-6</v>
      </c>
      <c r="ID10" s="1">
        <f>Table13[[#This Row],[Total_Cost_MUSD]]*Table13[[#This Row],[prob500-failure_rating1]]*1000000/500</f>
        <v>894.23074049999991</v>
      </c>
      <c r="IE10" s="1">
        <f>Table13[[#This Row],[Total_Cost_MUSD]]*Table13[[#This Row],[prob500-failure_rating2]]*1000000/500</f>
        <v>357.69229619999999</v>
      </c>
      <c r="IF10" s="1">
        <f>Table13[[#This Row],[Total_Cost_MUSD]]*Table13[[#This Row],[prob500-failure_rating3]]*1000000/500</f>
        <v>89.423074049999997</v>
      </c>
      <c r="IG10" s="1">
        <f>Table13[[#This Row],[Total_Cost_MUSD]]*Table13[[#This Row],[prob500-failure_rating4]]*1000000/500</f>
        <v>14.307691847999999</v>
      </c>
      <c r="IH10" s="1">
        <f>Table13[[#This Row],[Total_Cost_MUSD]]*Table13[[#This Row],[prob500-failure_rating5]]*1000000/500</f>
        <v>11.684615009199998</v>
      </c>
      <c r="II10" s="1">
        <f>Table13[[#This Row],[Total_Cost_MUSD]]*Table13[[#This Row],[prob500-failure_rating6]]*1000000/500</f>
        <v>6.4384613315999992</v>
      </c>
      <c r="IJ10" s="1">
        <f>Table13[[#This Row],[Total_Cost_MUSD]]*Table13[[#This Row],[prob500-failure_rating7]]*1000000/500</f>
        <v>6.4384613315999992</v>
      </c>
      <c r="IK10" s="1">
        <f>Table13[[#This Row],[Total_Cost_MUSD]]*Table13[[#This Row],[prob500-failure_rating8]]*1000000/500</f>
        <v>0.14307691847999998</v>
      </c>
      <c r="IL10" s="1">
        <f>Table13[[#This Row],[Total_Cost_MUSD]]*Table13[[#This Row],[prob500-failure_rating9]]*1000000/500</f>
        <v>8.9423074050000009E-2</v>
      </c>
      <c r="IM10" s="1">
        <f>Table13[[#This Row],[Total_Cost_MUSD]]*Table13[[#This Row],[prob100-failure_rating1]]*1000000/100</f>
        <v>2235.5768512499999</v>
      </c>
      <c r="IN10" s="1">
        <f>Table13[[#This Row],[Total_Cost_MUSD]]*Table13[[#This Row],[prob100-failure_rating2]]*1000000/100</f>
        <v>1073.0768885999998</v>
      </c>
      <c r="IO10" s="1">
        <f>Table13[[#This Row],[Total_Cost_MUSD]]*Table13[[#This Row],[prob100-failure_rating3]]*1000000/100</f>
        <v>447.11537024999996</v>
      </c>
      <c r="IP10" s="1">
        <f>Table13[[#This Row],[Total_Cost_MUSD]]*Table13[[#This Row],[prob100-failure_rating4]]*1000000/100</f>
        <v>89.423074049999997</v>
      </c>
      <c r="IQ10" s="1">
        <f>Table13[[#This Row],[Total_Cost_MUSD]]*Table13[[#This Row],[prob100-failure_rating5]]*1000000/100</f>
        <v>1.4307691847999999</v>
      </c>
      <c r="IR10" s="1">
        <f>Table13[[#This Row],[Total_Cost_MUSD]]*Table13[[#This Row],[prob100-failure_rating6]]*1000000/100</f>
        <v>44.711537024999998</v>
      </c>
      <c r="IS10" s="1">
        <f>Table13[[#This Row],[Total_Cost_MUSD]]*Table13[[#This Row],[prob100-failure_rating7]]*1000000/100</f>
        <v>44.711537024999998</v>
      </c>
      <c r="IT10" s="1">
        <f>Table13[[#This Row],[Total_Cost_MUSD]]*Table13[[#This Row],[prob100-failure_rating8]]*1000000/100</f>
        <v>0.89423074050000007</v>
      </c>
      <c r="IU10" s="1">
        <f>Table13[[#This Row],[Total_Cost_MUSD]]*Table13[[#This Row],[prob100-failure_rating9]]*1000000/100</f>
        <v>0.53653844429999997</v>
      </c>
      <c r="IV10" s="1">
        <f>Table13[[#This Row],[Total_Cost_MUSD]]*Table13[[#This Row],[prob50-failure_rating1]]*1000000/50</f>
        <v>3576.9229619999996</v>
      </c>
      <c r="IW10" s="1">
        <f>Table13[[#This Row],[Total_Cost_MUSD]]*Table13[[#This Row],[prob50-failure_rating2]]*1000000/50</f>
        <v>2146.1537771999997</v>
      </c>
      <c r="IX10" s="1">
        <f>Table13[[#This Row],[Total_Cost_MUSD]]*Table13[[#This Row],[prob50-failure_rating3]]*1000000/50</f>
        <v>464.99998505999991</v>
      </c>
      <c r="IY10" s="1">
        <f>Table13[[#This Row],[Total_Cost_MUSD]]*Table13[[#This Row],[prob50-failure_rating4]]*1000000/50</f>
        <v>178.84614809999999</v>
      </c>
      <c r="IZ10" s="1">
        <f>Table13[[#This Row],[Total_Cost_MUSD]]*Table13[[#This Row],[prob50-failure_rating5]]*1000000/50</f>
        <v>2.8615383695999999</v>
      </c>
      <c r="JA10" s="1">
        <f>Table13[[#This Row],[Total_Cost_MUSD]]*Table13[[#This Row],[prob50-failure_rating6]]*1000000/50</f>
        <v>89.423074049999997</v>
      </c>
      <c r="JB10" s="1">
        <f>Table13[[#This Row],[Total_Cost_MUSD]]*Table13[[#This Row],[prob50-failure_rating7]]*1000000/50</f>
        <v>89.423074049999997</v>
      </c>
      <c r="JC10" s="1">
        <f>Table13[[#This Row],[Total_Cost_MUSD]]*Table13[[#This Row],[prob50-failure_rating8]]*1000000/50</f>
        <v>1.7884614810000001</v>
      </c>
      <c r="JD10" s="1">
        <f>Table13[[#This Row],[Total_Cost_MUSD]]*Table13[[#This Row],[prob50-failure_rating9]]*1000000/50</f>
        <v>1.0730768885999999</v>
      </c>
      <c r="JE10" s="1">
        <f>Table13[[#This Row],[Total_Cost_MUSD]]*Table13[[#This Row],[prob10-failure_rating1]]*1000000/10</f>
        <v>17884.614809999999</v>
      </c>
      <c r="JF10" s="1">
        <f>Table13[[#This Row],[Total_Cost_MUSD]]*Table13[[#This Row],[prob10-failure_rating2]]*1000000/10</f>
        <v>14307.691847999999</v>
      </c>
      <c r="JG10" s="1">
        <f>Table13[[#This Row],[Total_Cost_MUSD]]*Table13[[#This Row],[prob10-failure_rating3]]*1000000/10</f>
        <v>2861.5383695999999</v>
      </c>
      <c r="JH10" s="1">
        <f>Table13[[#This Row],[Total_Cost_MUSD]]*Table13[[#This Row],[prob10-failure_rating4]]*1000000/10</f>
        <v>1073.0768886000001</v>
      </c>
      <c r="JI10" s="1">
        <f>Table13[[#This Row],[Total_Cost_MUSD]]*Table13[[#This Row],[prob10-failure_rating5]]*1000000/10</f>
        <v>71.538459240000009</v>
      </c>
      <c r="JJ10" s="1">
        <f>Table13[[#This Row],[Total_Cost_MUSD]]*Table13[[#This Row],[prob10-failure_rating6]]*1000000/10</f>
        <v>715.38459239999997</v>
      </c>
      <c r="JK10" s="1">
        <f>Table13[[#This Row],[Total_Cost_MUSD]]*Table13[[#This Row],[prob10-failure_rating7]]*1000000/10</f>
        <v>715.38459239999997</v>
      </c>
      <c r="JL10" s="1">
        <f>Table13[[#This Row],[Total_Cost_MUSD]]*Table13[[#This Row],[prob10-failure_rating8]]*1000000/10</f>
        <v>35.769229620000004</v>
      </c>
      <c r="JM10" s="1">
        <f>Table13[[#This Row],[Total_Cost_MUSD]]*Table13[[#This Row],[prob10-failure_rating9]]*1000000/10</f>
        <v>7.1538459239999996</v>
      </c>
      <c r="JN10" s="1">
        <f>45</f>
        <v>45</v>
      </c>
      <c r="JO10" s="1">
        <v>40</v>
      </c>
      <c r="JP10" s="1">
        <v>35</v>
      </c>
      <c r="JQ10" s="1">
        <v>30</v>
      </c>
      <c r="JR10" s="1">
        <v>25</v>
      </c>
      <c r="JS10" s="1">
        <v>20</v>
      </c>
      <c r="JT10" s="1">
        <v>15</v>
      </c>
      <c r="JU10" s="1">
        <v>10</v>
      </c>
      <c r="JV10" s="1">
        <v>5</v>
      </c>
      <c r="JW10" s="1">
        <v>3</v>
      </c>
    </row>
    <row r="11" spans="1:283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Table13[[#This Row],[Depth10_Soil_vol]]*(9.353+9.027)+(Table13[[#This Row],[Depth10_Soil_vol]]/2.5)*20*1.053+(PI()*Table13[[#This Row],[Depth10_Scour]])*Table13[[#This Row],[DECK_WIDTH_MT_052]]*1.062</f>
        <v>12912.070383440046</v>
      </c>
      <c r="AR11" s="1">
        <f>Table13[[#This Row],[Depth50_Soil_vol]]*(9.353+9.027)+(Table13[[#This Row],[Depth50_Soil_vol]]/2.5)*20*1.053+(PI()*Table13[[#This Row],[Depth50_Scour]])*Table13[[#This Row],[DECK_WIDTH_MT_052]]*1.062</f>
        <v>13809.829327894035</v>
      </c>
      <c r="AS11" s="1">
        <f>Table13[[#This Row],[Depth100_Soil_vol]]*(9.353+9.027)+(Table13[[#This Row],[Depth100_Soil_vol]]/2.5)*20*1.053+(PI()*Table13[[#This Row],[Depth100_Scour]])*Table13[[#This Row],[DECK_WIDTH_MT_052]]*1.062</f>
        <v>14209.20261771438</v>
      </c>
      <c r="AT11" s="1">
        <f>Table13[[#This Row],[Depth500_Soil_vol]]*(9.353+9.027)+(Table13[[#This Row],[Depth500_Soil_vol]]/2.5)*20*1.053+(PI()*Table13[[#This Row],[Depth500_Scour]])*Table13[[#This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>
        <v>61.928876150000001</v>
      </c>
      <c r="GE11" s="1">
        <v>0</v>
      </c>
      <c r="GF11" s="1">
        <v>0</v>
      </c>
      <c r="GG11" s="1">
        <v>0</v>
      </c>
      <c r="GH11" s="1">
        <v>0</v>
      </c>
      <c r="GI11" s="1">
        <v>4</v>
      </c>
      <c r="GJ11" s="1">
        <v>6</v>
      </c>
      <c r="GK11" s="1">
        <f>5</f>
        <v>5</v>
      </c>
      <c r="GL11" s="1">
        <f>Table13[[#This Row],[cost_repair_rating1]]/2</f>
        <v>2.5</v>
      </c>
      <c r="GM11" s="1">
        <f>Table13[[#This Row],[cost_repair_rating2]]/2</f>
        <v>1.25</v>
      </c>
      <c r="GN11" s="1">
        <f>Table13[[#This Row],[cost_repair_rating3]]/2</f>
        <v>0.625</v>
      </c>
      <c r="GO11" s="1">
        <f>Table13[[#This Row],[cost_repair_rating4]]/2</f>
        <v>0.3125</v>
      </c>
      <c r="GP11" s="1">
        <f>Table13[[#This Row],[cost_repair_rating5]]/2</f>
        <v>0.15625</v>
      </c>
      <c r="GQ11" s="1">
        <v>0</v>
      </c>
      <c r="GR11" s="1">
        <v>0</v>
      </c>
      <c r="GS11" s="1">
        <v>0</v>
      </c>
      <c r="GT11" s="1">
        <f t="shared" si="0"/>
        <v>2.5000000000000001E-2</v>
      </c>
      <c r="GU11" s="1">
        <v>0.01</v>
      </c>
      <c r="GV11" s="1">
        <v>2.5000000000000001E-3</v>
      </c>
      <c r="GW11" s="1">
        <v>4.0000000000000002E-4</v>
      </c>
      <c r="GX11" s="1">
        <f>(2*Table13[[#This Row],[prob500-failure_rating4]]+Table13[[#This Row],[prob500-failure_rating6]])/3</f>
        <v>3.2666666666666667E-4</v>
      </c>
      <c r="GY11" s="1">
        <v>1.8000000000000001E-4</v>
      </c>
      <c r="GZ11" s="1">
        <v>1.8000000000000001E-4</v>
      </c>
      <c r="HA11" s="1">
        <v>3.9999999999999998E-6</v>
      </c>
      <c r="HB11" s="1">
        <v>2.5000000000000002E-6</v>
      </c>
      <c r="HC11" s="1">
        <f t="shared" si="1"/>
        <v>1.2500000000000001E-2</v>
      </c>
      <c r="HD11" s="1">
        <v>6.0000000000000001E-3</v>
      </c>
      <c r="HE11" s="1">
        <v>2.5000000000000001E-3</v>
      </c>
      <c r="HF11" s="1">
        <v>5.0000000000000001E-4</v>
      </c>
      <c r="HG11" s="1">
        <v>7.9999999999999996E-6</v>
      </c>
      <c r="HH11" s="1">
        <v>2.5000000000000001E-4</v>
      </c>
      <c r="HI11" s="1">
        <v>2.5000000000000001E-4</v>
      </c>
      <c r="HJ11" s="1">
        <v>5.0000000000000004E-6</v>
      </c>
      <c r="HK11" s="1">
        <v>3.0000000000000001E-6</v>
      </c>
      <c r="HL11" s="1">
        <v>0.01</v>
      </c>
      <c r="HM11" s="1">
        <v>6.0000000000000001E-3</v>
      </c>
      <c r="HN11" s="1">
        <v>1.2999999999999999E-3</v>
      </c>
      <c r="HO11" s="1">
        <v>5.0000000000000001E-4</v>
      </c>
      <c r="HP11" s="1">
        <v>7.9999999999999996E-6</v>
      </c>
      <c r="HQ11" s="1">
        <v>2.5000000000000001E-4</v>
      </c>
      <c r="HR11" s="1">
        <v>2.5000000000000001E-4</v>
      </c>
      <c r="HS11" s="1">
        <v>5.0000000000000004E-6</v>
      </c>
      <c r="HT11" s="1">
        <v>3.0000000000000001E-6</v>
      </c>
      <c r="HU11" s="1">
        <v>0.01</v>
      </c>
      <c r="HV11" s="1">
        <v>8.0000000000000002E-3</v>
      </c>
      <c r="HW11" s="1">
        <v>1.6000000000000001E-3</v>
      </c>
      <c r="HX11" s="1">
        <v>5.9999999999999995E-4</v>
      </c>
      <c r="HY11" s="1">
        <v>4.0000000000000003E-5</v>
      </c>
      <c r="HZ11" s="1">
        <v>4.0000000000000002E-4</v>
      </c>
      <c r="IA11" s="1">
        <v>4.0000000000000002E-4</v>
      </c>
      <c r="IB11" s="1">
        <v>2.0000000000000002E-5</v>
      </c>
      <c r="IC11" s="1">
        <v>3.9999999999999998E-6</v>
      </c>
      <c r="ID11" s="1">
        <f>Table13[[#This Row],[Total_Cost_MUSD]]*Table13[[#This Row],[prob500-failure_rating1]]*1000000/500</f>
        <v>3096.4438075000003</v>
      </c>
      <c r="IE11" s="1">
        <f>Table13[[#This Row],[Total_Cost_MUSD]]*Table13[[#This Row],[prob500-failure_rating2]]*1000000/500</f>
        <v>1238.5775230000002</v>
      </c>
      <c r="IF11" s="1">
        <f>Table13[[#This Row],[Total_Cost_MUSD]]*Table13[[#This Row],[prob500-failure_rating3]]*1000000/500</f>
        <v>309.64438075000004</v>
      </c>
      <c r="IG11" s="1">
        <f>Table13[[#This Row],[Total_Cost_MUSD]]*Table13[[#This Row],[prob500-failure_rating4]]*1000000/500</f>
        <v>49.543100920000008</v>
      </c>
      <c r="IH11" s="1">
        <f>Table13[[#This Row],[Total_Cost_MUSD]]*Table13[[#This Row],[prob500-failure_rating5]]*1000000/500</f>
        <v>40.460199084666669</v>
      </c>
      <c r="II11" s="1">
        <f>Table13[[#This Row],[Total_Cost_MUSD]]*Table13[[#This Row],[prob500-failure_rating6]]*1000000/500</f>
        <v>22.294395414000004</v>
      </c>
      <c r="IJ11" s="1">
        <f>Table13[[#This Row],[Total_Cost_MUSD]]*Table13[[#This Row],[prob500-failure_rating7]]*1000000/500</f>
        <v>22.294395414000004</v>
      </c>
      <c r="IK11" s="1">
        <f>Table13[[#This Row],[Total_Cost_MUSD]]*Table13[[#This Row],[prob500-failure_rating8]]*1000000/500</f>
        <v>0.49543100919999999</v>
      </c>
      <c r="IL11" s="1">
        <f>Table13[[#This Row],[Total_Cost_MUSD]]*Table13[[#This Row],[prob500-failure_rating9]]*1000000/500</f>
        <v>0.30964438075000006</v>
      </c>
      <c r="IM11" s="1">
        <f>Table13[[#This Row],[Total_Cost_MUSD]]*Table13[[#This Row],[prob100-failure_rating1]]*1000000/100</f>
        <v>7741.1095187500005</v>
      </c>
      <c r="IN11" s="1">
        <f>Table13[[#This Row],[Total_Cost_MUSD]]*Table13[[#This Row],[prob100-failure_rating2]]*1000000/100</f>
        <v>3715.7325690000002</v>
      </c>
      <c r="IO11" s="1">
        <f>Table13[[#This Row],[Total_Cost_MUSD]]*Table13[[#This Row],[prob100-failure_rating3]]*1000000/100</f>
        <v>1548.2219037500001</v>
      </c>
      <c r="IP11" s="1">
        <f>Table13[[#This Row],[Total_Cost_MUSD]]*Table13[[#This Row],[prob100-failure_rating4]]*1000000/100</f>
        <v>309.64438074999998</v>
      </c>
      <c r="IQ11" s="1">
        <f>Table13[[#This Row],[Total_Cost_MUSD]]*Table13[[#This Row],[prob100-failure_rating5]]*1000000/100</f>
        <v>4.9543100920000001</v>
      </c>
      <c r="IR11" s="1">
        <f>Table13[[#This Row],[Total_Cost_MUSD]]*Table13[[#This Row],[prob100-failure_rating6]]*1000000/100</f>
        <v>154.82219037499999</v>
      </c>
      <c r="IS11" s="1">
        <f>Table13[[#This Row],[Total_Cost_MUSD]]*Table13[[#This Row],[prob100-failure_rating7]]*1000000/100</f>
        <v>154.82219037499999</v>
      </c>
      <c r="IT11" s="1">
        <f>Table13[[#This Row],[Total_Cost_MUSD]]*Table13[[#This Row],[prob100-failure_rating8]]*1000000/100</f>
        <v>3.0964438075000005</v>
      </c>
      <c r="IU11" s="1">
        <f>Table13[[#This Row],[Total_Cost_MUSD]]*Table13[[#This Row],[prob100-failure_rating9]]*1000000/100</f>
        <v>1.8578662845</v>
      </c>
      <c r="IV11" s="1">
        <f>Table13[[#This Row],[Total_Cost_MUSD]]*Table13[[#This Row],[prob50-failure_rating1]]*1000000/50</f>
        <v>12385.775230000001</v>
      </c>
      <c r="IW11" s="1">
        <f>Table13[[#This Row],[Total_Cost_MUSD]]*Table13[[#This Row],[prob50-failure_rating2]]*1000000/50</f>
        <v>7431.4651380000005</v>
      </c>
      <c r="IX11" s="1">
        <f>Table13[[#This Row],[Total_Cost_MUSD]]*Table13[[#This Row],[prob50-failure_rating3]]*1000000/50</f>
        <v>1610.1507798999999</v>
      </c>
      <c r="IY11" s="1">
        <f>Table13[[#This Row],[Total_Cost_MUSD]]*Table13[[#This Row],[prob50-failure_rating4]]*1000000/50</f>
        <v>619.28876149999996</v>
      </c>
      <c r="IZ11" s="1">
        <f>Table13[[#This Row],[Total_Cost_MUSD]]*Table13[[#This Row],[prob50-failure_rating5]]*1000000/50</f>
        <v>9.9086201840000001</v>
      </c>
      <c r="JA11" s="1">
        <f>Table13[[#This Row],[Total_Cost_MUSD]]*Table13[[#This Row],[prob50-failure_rating6]]*1000000/50</f>
        <v>309.64438074999998</v>
      </c>
      <c r="JB11" s="1">
        <f>Table13[[#This Row],[Total_Cost_MUSD]]*Table13[[#This Row],[prob50-failure_rating7]]*1000000/50</f>
        <v>309.64438074999998</v>
      </c>
      <c r="JC11" s="1">
        <f>Table13[[#This Row],[Total_Cost_MUSD]]*Table13[[#This Row],[prob50-failure_rating8]]*1000000/50</f>
        <v>6.192887615000001</v>
      </c>
      <c r="JD11" s="1">
        <f>Table13[[#This Row],[Total_Cost_MUSD]]*Table13[[#This Row],[prob50-failure_rating9]]*1000000/50</f>
        <v>3.715732569</v>
      </c>
      <c r="JE11" s="1">
        <f>Table13[[#This Row],[Total_Cost_MUSD]]*Table13[[#This Row],[prob10-failure_rating1]]*1000000/10</f>
        <v>61928.876150000004</v>
      </c>
      <c r="JF11" s="1">
        <f>Table13[[#This Row],[Total_Cost_MUSD]]*Table13[[#This Row],[prob10-failure_rating2]]*1000000/10</f>
        <v>49543.100919999997</v>
      </c>
      <c r="JG11" s="1">
        <f>Table13[[#This Row],[Total_Cost_MUSD]]*Table13[[#This Row],[prob10-failure_rating3]]*1000000/10</f>
        <v>9908.6201840000012</v>
      </c>
      <c r="JH11" s="1">
        <f>Table13[[#This Row],[Total_Cost_MUSD]]*Table13[[#This Row],[prob10-failure_rating4]]*1000000/10</f>
        <v>3715.7325689999998</v>
      </c>
      <c r="JI11" s="1">
        <f>Table13[[#This Row],[Total_Cost_MUSD]]*Table13[[#This Row],[prob10-failure_rating5]]*1000000/10</f>
        <v>247.71550460000003</v>
      </c>
      <c r="JJ11" s="1">
        <f>Table13[[#This Row],[Total_Cost_MUSD]]*Table13[[#This Row],[prob10-failure_rating6]]*1000000/10</f>
        <v>2477.1550460000003</v>
      </c>
      <c r="JK11" s="1">
        <f>Table13[[#This Row],[Total_Cost_MUSD]]*Table13[[#This Row],[prob10-failure_rating7]]*1000000/10</f>
        <v>2477.1550460000003</v>
      </c>
      <c r="JL11" s="1">
        <f>Table13[[#This Row],[Total_Cost_MUSD]]*Table13[[#This Row],[prob10-failure_rating8]]*1000000/10</f>
        <v>123.85775230000002</v>
      </c>
      <c r="JM11" s="1">
        <f>Table13[[#This Row],[Total_Cost_MUSD]]*Table13[[#This Row],[prob10-failure_rating9]]*1000000/10</f>
        <v>24.77155046</v>
      </c>
      <c r="JN11" s="1">
        <f>45</f>
        <v>45</v>
      </c>
      <c r="JO11" s="1">
        <v>40</v>
      </c>
      <c r="JP11" s="1">
        <v>35</v>
      </c>
      <c r="JQ11" s="1">
        <v>30</v>
      </c>
      <c r="JR11" s="1">
        <v>25</v>
      </c>
      <c r="JS11" s="1">
        <v>20</v>
      </c>
      <c r="JT11" s="1">
        <v>15</v>
      </c>
      <c r="JU11" s="1">
        <v>10</v>
      </c>
      <c r="JV11" s="1">
        <v>5</v>
      </c>
      <c r="JW11" s="1">
        <v>3</v>
      </c>
    </row>
    <row r="12" spans="1:283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Table13[[#This Row],[Depth10_Soil_vol]]*(9.353+9.027)+(Table13[[#This Row],[Depth10_Soil_vol]]/2.5)*20*1.053+(PI()*Table13[[#This Row],[Depth10_Scour]])*Table13[[#This Row],[DECK_WIDTH_MT_052]]*1.062</f>
        <v>6737.4062355001524</v>
      </c>
      <c r="AR12" s="1">
        <f>Table13[[#This Row],[Depth50_Soil_vol]]*(9.353+9.027)+(Table13[[#This Row],[Depth50_Soil_vol]]/2.5)*20*1.053+(PI()*Table13[[#This Row],[Depth50_Scour]])*Table13[[#This Row],[DECK_WIDTH_MT_052]]*1.062</f>
        <v>7415.8873465101096</v>
      </c>
      <c r="AS12" s="1">
        <f>Table13[[#This Row],[Depth100_Soil_vol]]*(9.353+9.027)+(Table13[[#This Row],[Depth100_Soil_vol]]/2.5)*20*1.053+(PI()*Table13[[#This Row],[Depth100_Scour]])*Table13[[#This Row],[DECK_WIDTH_MT_052]]*1.062</f>
        <v>7705.9386938101106</v>
      </c>
      <c r="AT12" s="1">
        <f>Table13[[#This Row],[Depth500_Soil_vol]]*(9.353+9.027)+(Table13[[#This Row],[Depth500_Soil_vol]]/2.5)*20*1.053+(PI()*Table13[[#This Row],[Depth500_Scour]])*Table13[[#This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>
        <v>12.298697430000001</v>
      </c>
      <c r="GE12" s="1">
        <v>0</v>
      </c>
      <c r="GF12" s="1">
        <v>0</v>
      </c>
      <c r="GG12" s="1">
        <v>0</v>
      </c>
      <c r="GH12" s="1">
        <v>0</v>
      </c>
      <c r="GI12" s="1">
        <v>5</v>
      </c>
      <c r="GJ12" s="1">
        <v>6</v>
      </c>
      <c r="GK12" s="1">
        <f>5</f>
        <v>5</v>
      </c>
      <c r="GL12" s="1">
        <f>Table13[[#This Row],[cost_repair_rating1]]/2</f>
        <v>2.5</v>
      </c>
      <c r="GM12" s="1">
        <f>Table13[[#This Row],[cost_repair_rating2]]/2</f>
        <v>1.25</v>
      </c>
      <c r="GN12" s="1">
        <f>Table13[[#This Row],[cost_repair_rating3]]/2</f>
        <v>0.625</v>
      </c>
      <c r="GO12" s="1">
        <f>Table13[[#This Row],[cost_repair_rating4]]/2</f>
        <v>0.3125</v>
      </c>
      <c r="GP12" s="1">
        <f>Table13[[#This Row],[cost_repair_rating5]]/2</f>
        <v>0.15625</v>
      </c>
      <c r="GQ12" s="1">
        <v>0</v>
      </c>
      <c r="GR12" s="1">
        <v>0</v>
      </c>
      <c r="GS12" s="1">
        <v>0</v>
      </c>
      <c r="GT12" s="1">
        <f t="shared" si="0"/>
        <v>2.5000000000000001E-2</v>
      </c>
      <c r="GU12" s="1">
        <v>0.01</v>
      </c>
      <c r="GV12" s="1">
        <v>2.5000000000000001E-3</v>
      </c>
      <c r="GW12" s="1">
        <v>4.0000000000000002E-4</v>
      </c>
      <c r="GX12" s="1">
        <f>(2*Table13[[#This Row],[prob500-failure_rating4]]+Table13[[#This Row],[prob500-failure_rating6]])/3</f>
        <v>3.2666666666666667E-4</v>
      </c>
      <c r="GY12" s="1">
        <v>1.8000000000000001E-4</v>
      </c>
      <c r="GZ12" s="1">
        <v>1.8000000000000001E-4</v>
      </c>
      <c r="HA12" s="1">
        <v>3.9999999999999998E-6</v>
      </c>
      <c r="HB12" s="1">
        <v>2.5000000000000002E-6</v>
      </c>
      <c r="HC12" s="1">
        <f t="shared" si="1"/>
        <v>1.2500000000000001E-2</v>
      </c>
      <c r="HD12" s="1">
        <v>6.0000000000000001E-3</v>
      </c>
      <c r="HE12" s="1">
        <v>2.5000000000000001E-3</v>
      </c>
      <c r="HF12" s="1">
        <v>5.0000000000000001E-4</v>
      </c>
      <c r="HG12" s="1">
        <v>7.9999999999999996E-6</v>
      </c>
      <c r="HH12" s="1">
        <v>2.5000000000000001E-4</v>
      </c>
      <c r="HI12" s="1">
        <v>2.5000000000000001E-4</v>
      </c>
      <c r="HJ12" s="1">
        <v>5.0000000000000004E-6</v>
      </c>
      <c r="HK12" s="1">
        <v>3.0000000000000001E-6</v>
      </c>
      <c r="HL12" s="1">
        <v>0.01</v>
      </c>
      <c r="HM12" s="1">
        <v>6.0000000000000001E-3</v>
      </c>
      <c r="HN12" s="1">
        <v>1.2999999999999999E-3</v>
      </c>
      <c r="HO12" s="1">
        <v>5.0000000000000001E-4</v>
      </c>
      <c r="HP12" s="1">
        <v>7.9999999999999996E-6</v>
      </c>
      <c r="HQ12" s="1">
        <v>2.5000000000000001E-4</v>
      </c>
      <c r="HR12" s="1">
        <v>2.5000000000000001E-4</v>
      </c>
      <c r="HS12" s="1">
        <v>5.0000000000000004E-6</v>
      </c>
      <c r="HT12" s="1">
        <v>3.0000000000000001E-6</v>
      </c>
      <c r="HU12" s="1">
        <v>0.01</v>
      </c>
      <c r="HV12" s="1">
        <v>8.0000000000000002E-3</v>
      </c>
      <c r="HW12" s="1">
        <v>1.6000000000000001E-3</v>
      </c>
      <c r="HX12" s="1">
        <v>5.9999999999999995E-4</v>
      </c>
      <c r="HY12" s="1">
        <v>4.0000000000000003E-5</v>
      </c>
      <c r="HZ12" s="1">
        <v>4.0000000000000002E-4</v>
      </c>
      <c r="IA12" s="1">
        <v>4.0000000000000002E-4</v>
      </c>
      <c r="IB12" s="1">
        <v>2.0000000000000002E-5</v>
      </c>
      <c r="IC12" s="1">
        <v>3.9999999999999998E-6</v>
      </c>
      <c r="ID12" s="1">
        <f>Table13[[#This Row],[Total_Cost_MUSD]]*Table13[[#This Row],[prob500-failure_rating1]]*1000000/500</f>
        <v>614.93487149999999</v>
      </c>
      <c r="IE12" s="1">
        <f>Table13[[#This Row],[Total_Cost_MUSD]]*Table13[[#This Row],[prob500-failure_rating2]]*1000000/500</f>
        <v>245.97394860000003</v>
      </c>
      <c r="IF12" s="1">
        <f>Table13[[#This Row],[Total_Cost_MUSD]]*Table13[[#This Row],[prob500-failure_rating3]]*1000000/500</f>
        <v>61.493487150000007</v>
      </c>
      <c r="IG12" s="1">
        <f>Table13[[#This Row],[Total_Cost_MUSD]]*Table13[[#This Row],[prob500-failure_rating4]]*1000000/500</f>
        <v>9.8389579440000006</v>
      </c>
      <c r="IH12" s="1">
        <f>Table13[[#This Row],[Total_Cost_MUSD]]*Table13[[#This Row],[prob500-failure_rating5]]*1000000/500</f>
        <v>8.0351489876000013</v>
      </c>
      <c r="II12" s="1">
        <f>Table13[[#This Row],[Total_Cost_MUSD]]*Table13[[#This Row],[prob500-failure_rating6]]*1000000/500</f>
        <v>4.4275310748000001</v>
      </c>
      <c r="IJ12" s="1">
        <f>Table13[[#This Row],[Total_Cost_MUSD]]*Table13[[#This Row],[prob500-failure_rating7]]*1000000/500</f>
        <v>4.4275310748000001</v>
      </c>
      <c r="IK12" s="1">
        <f>Table13[[#This Row],[Total_Cost_MUSD]]*Table13[[#This Row],[prob500-failure_rating8]]*1000000/500</f>
        <v>9.838957944E-2</v>
      </c>
      <c r="IL12" s="1">
        <f>Table13[[#This Row],[Total_Cost_MUSD]]*Table13[[#This Row],[prob500-failure_rating9]]*1000000/500</f>
        <v>6.1493487149999998E-2</v>
      </c>
      <c r="IM12" s="1">
        <f>Table13[[#This Row],[Total_Cost_MUSD]]*Table13[[#This Row],[prob100-failure_rating1]]*1000000/100</f>
        <v>1537.33717875</v>
      </c>
      <c r="IN12" s="1">
        <f>Table13[[#This Row],[Total_Cost_MUSD]]*Table13[[#This Row],[prob100-failure_rating2]]*1000000/100</f>
        <v>737.92184580000003</v>
      </c>
      <c r="IO12" s="1">
        <f>Table13[[#This Row],[Total_Cost_MUSD]]*Table13[[#This Row],[prob100-failure_rating3]]*1000000/100</f>
        <v>307.46743575000005</v>
      </c>
      <c r="IP12" s="1">
        <f>Table13[[#This Row],[Total_Cost_MUSD]]*Table13[[#This Row],[prob100-failure_rating4]]*1000000/100</f>
        <v>61.493487150000007</v>
      </c>
      <c r="IQ12" s="1">
        <f>Table13[[#This Row],[Total_Cost_MUSD]]*Table13[[#This Row],[prob100-failure_rating5]]*1000000/100</f>
        <v>0.98389579440000008</v>
      </c>
      <c r="IR12" s="1">
        <f>Table13[[#This Row],[Total_Cost_MUSD]]*Table13[[#This Row],[prob100-failure_rating6]]*1000000/100</f>
        <v>30.746743575000004</v>
      </c>
      <c r="IS12" s="1">
        <f>Table13[[#This Row],[Total_Cost_MUSD]]*Table13[[#This Row],[prob100-failure_rating7]]*1000000/100</f>
        <v>30.746743575000004</v>
      </c>
      <c r="IT12" s="1">
        <f>Table13[[#This Row],[Total_Cost_MUSD]]*Table13[[#This Row],[prob100-failure_rating8]]*1000000/100</f>
        <v>0.61493487150000004</v>
      </c>
      <c r="IU12" s="1">
        <f>Table13[[#This Row],[Total_Cost_MUSD]]*Table13[[#This Row],[prob100-failure_rating9]]*1000000/100</f>
        <v>0.36896092290000004</v>
      </c>
      <c r="IV12" s="1">
        <f>Table13[[#This Row],[Total_Cost_MUSD]]*Table13[[#This Row],[prob50-failure_rating1]]*1000000/50</f>
        <v>2459.7394860000004</v>
      </c>
      <c r="IW12" s="1">
        <f>Table13[[#This Row],[Total_Cost_MUSD]]*Table13[[#This Row],[prob50-failure_rating2]]*1000000/50</f>
        <v>1475.8436916000001</v>
      </c>
      <c r="IX12" s="1">
        <f>Table13[[#This Row],[Total_Cost_MUSD]]*Table13[[#This Row],[prob50-failure_rating3]]*1000000/50</f>
        <v>319.76613318000005</v>
      </c>
      <c r="IY12" s="1">
        <f>Table13[[#This Row],[Total_Cost_MUSD]]*Table13[[#This Row],[prob50-failure_rating4]]*1000000/50</f>
        <v>122.98697430000001</v>
      </c>
      <c r="IZ12" s="1">
        <f>Table13[[#This Row],[Total_Cost_MUSD]]*Table13[[#This Row],[prob50-failure_rating5]]*1000000/50</f>
        <v>1.9677915888000002</v>
      </c>
      <c r="JA12" s="1">
        <f>Table13[[#This Row],[Total_Cost_MUSD]]*Table13[[#This Row],[prob50-failure_rating6]]*1000000/50</f>
        <v>61.493487150000007</v>
      </c>
      <c r="JB12" s="1">
        <f>Table13[[#This Row],[Total_Cost_MUSD]]*Table13[[#This Row],[prob50-failure_rating7]]*1000000/50</f>
        <v>61.493487150000007</v>
      </c>
      <c r="JC12" s="1">
        <f>Table13[[#This Row],[Total_Cost_MUSD]]*Table13[[#This Row],[prob50-failure_rating8]]*1000000/50</f>
        <v>1.2298697430000001</v>
      </c>
      <c r="JD12" s="1">
        <f>Table13[[#This Row],[Total_Cost_MUSD]]*Table13[[#This Row],[prob50-failure_rating9]]*1000000/50</f>
        <v>0.73792184580000009</v>
      </c>
      <c r="JE12" s="1">
        <f>Table13[[#This Row],[Total_Cost_MUSD]]*Table13[[#This Row],[prob10-failure_rating1]]*1000000/10</f>
        <v>12298.697430000002</v>
      </c>
      <c r="JF12" s="1">
        <f>Table13[[#This Row],[Total_Cost_MUSD]]*Table13[[#This Row],[prob10-failure_rating2]]*1000000/10</f>
        <v>9838.9579440000016</v>
      </c>
      <c r="JG12" s="1">
        <f>Table13[[#This Row],[Total_Cost_MUSD]]*Table13[[#This Row],[prob10-failure_rating3]]*1000000/10</f>
        <v>1967.7915888</v>
      </c>
      <c r="JH12" s="1">
        <f>Table13[[#This Row],[Total_Cost_MUSD]]*Table13[[#This Row],[prob10-failure_rating4]]*1000000/10</f>
        <v>737.92184579999991</v>
      </c>
      <c r="JI12" s="1">
        <f>Table13[[#This Row],[Total_Cost_MUSD]]*Table13[[#This Row],[prob10-failure_rating5]]*1000000/10</f>
        <v>49.194789720000003</v>
      </c>
      <c r="JJ12" s="1">
        <f>Table13[[#This Row],[Total_Cost_MUSD]]*Table13[[#This Row],[prob10-failure_rating6]]*1000000/10</f>
        <v>491.9478972</v>
      </c>
      <c r="JK12" s="1">
        <f>Table13[[#This Row],[Total_Cost_MUSD]]*Table13[[#This Row],[prob10-failure_rating7]]*1000000/10</f>
        <v>491.9478972</v>
      </c>
      <c r="JL12" s="1">
        <f>Table13[[#This Row],[Total_Cost_MUSD]]*Table13[[#This Row],[prob10-failure_rating8]]*1000000/10</f>
        <v>24.597394860000001</v>
      </c>
      <c r="JM12" s="1">
        <f>Table13[[#This Row],[Total_Cost_MUSD]]*Table13[[#This Row],[prob10-failure_rating9]]*1000000/10</f>
        <v>4.9194789720000003</v>
      </c>
      <c r="JN12" s="1">
        <f>45</f>
        <v>45</v>
      </c>
      <c r="JO12" s="1">
        <v>40</v>
      </c>
      <c r="JP12" s="1">
        <v>35</v>
      </c>
      <c r="JQ12" s="1">
        <v>30</v>
      </c>
      <c r="JR12" s="1">
        <v>25</v>
      </c>
      <c r="JS12" s="1">
        <v>20</v>
      </c>
      <c r="JT12" s="1">
        <v>15</v>
      </c>
      <c r="JU12" s="1">
        <v>10</v>
      </c>
      <c r="JV12" s="1">
        <v>5</v>
      </c>
      <c r="JW12" s="1">
        <v>3</v>
      </c>
    </row>
    <row r="13" spans="1:283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Table13[[#This Row],[Depth10_Soil_vol]]*(9.353+9.027)+(Table13[[#This Row],[Depth10_Soil_vol]]/2.5)*20*1.053+(PI()*Table13[[#This Row],[Depth10_Scour]])*Table13[[#This Row],[DECK_WIDTH_MT_052]]*1.062</f>
        <v>6992.666213599131</v>
      </c>
      <c r="AR13" s="1">
        <f>Table13[[#This Row],[Depth50_Soil_vol]]*(9.353+9.027)+(Table13[[#This Row],[Depth50_Soil_vol]]/2.5)*20*1.053+(PI()*Table13[[#This Row],[Depth50_Scour]])*Table13[[#This Row],[DECK_WIDTH_MT_052]]*1.062</f>
        <v>8975.9969727162606</v>
      </c>
      <c r="AS13" s="1">
        <f>Table13[[#This Row],[Depth100_Soil_vol]]*(9.353+9.027)+(Table13[[#This Row],[Depth100_Soil_vol]]/2.5)*20*1.053+(PI()*Table13[[#This Row],[Depth100_Scour]])*Table13[[#This Row],[DECK_WIDTH_MT_052]]*1.062</f>
        <v>9724.0394899581861</v>
      </c>
      <c r="AT13" s="1">
        <f>Table13[[#This Row],[Depth500_Soil_vol]]*(9.353+9.027)+(Table13[[#This Row],[Depth500_Soil_vol]]/2.5)*20*1.053+(PI()*Table13[[#This Row],[Depth500_Scour]])*Table13[[#This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>
        <v>25.743303220000001</v>
      </c>
      <c r="GE13" s="1">
        <v>0</v>
      </c>
      <c r="GF13" s="1">
        <v>0</v>
      </c>
      <c r="GG13" s="1">
        <v>0</v>
      </c>
      <c r="GH13" s="1">
        <v>0</v>
      </c>
      <c r="GI13" s="1">
        <v>5</v>
      </c>
      <c r="GJ13" s="1">
        <v>6</v>
      </c>
      <c r="GK13" s="1">
        <f>5</f>
        <v>5</v>
      </c>
      <c r="GL13" s="1">
        <f>Table13[[#This Row],[cost_repair_rating1]]/2</f>
        <v>2.5</v>
      </c>
      <c r="GM13" s="1">
        <f>Table13[[#This Row],[cost_repair_rating2]]/2</f>
        <v>1.25</v>
      </c>
      <c r="GN13" s="1">
        <f>Table13[[#This Row],[cost_repair_rating3]]/2</f>
        <v>0.625</v>
      </c>
      <c r="GO13" s="1">
        <f>Table13[[#This Row],[cost_repair_rating4]]/2</f>
        <v>0.3125</v>
      </c>
      <c r="GP13" s="1">
        <f>Table13[[#This Row],[cost_repair_rating5]]/2</f>
        <v>0.15625</v>
      </c>
      <c r="GQ13" s="1">
        <v>0</v>
      </c>
      <c r="GR13" s="1">
        <v>0</v>
      </c>
      <c r="GS13" s="1">
        <v>0</v>
      </c>
      <c r="GT13" s="1">
        <f t="shared" si="0"/>
        <v>2.5000000000000001E-2</v>
      </c>
      <c r="GU13" s="1">
        <v>0.01</v>
      </c>
      <c r="GV13" s="1">
        <v>2.5000000000000001E-3</v>
      </c>
      <c r="GW13" s="1">
        <v>4.0000000000000002E-4</v>
      </c>
      <c r="GX13" s="1">
        <f>(2*Table13[[#This Row],[prob500-failure_rating4]]+Table13[[#This Row],[prob500-failure_rating6]])/3</f>
        <v>3.2666666666666667E-4</v>
      </c>
      <c r="GY13" s="1">
        <v>1.8000000000000001E-4</v>
      </c>
      <c r="GZ13" s="1">
        <v>1.8000000000000001E-4</v>
      </c>
      <c r="HA13" s="1">
        <v>3.9999999999999998E-6</v>
      </c>
      <c r="HB13" s="1">
        <v>2.5000000000000002E-6</v>
      </c>
      <c r="HC13" s="1">
        <f t="shared" si="1"/>
        <v>1.2500000000000001E-2</v>
      </c>
      <c r="HD13" s="1">
        <v>6.0000000000000001E-3</v>
      </c>
      <c r="HE13" s="1">
        <v>2.5000000000000001E-3</v>
      </c>
      <c r="HF13" s="1">
        <v>5.0000000000000001E-4</v>
      </c>
      <c r="HG13" s="1">
        <v>7.9999999999999996E-6</v>
      </c>
      <c r="HH13" s="1">
        <v>2.5000000000000001E-4</v>
      </c>
      <c r="HI13" s="1">
        <v>2.5000000000000001E-4</v>
      </c>
      <c r="HJ13" s="1">
        <v>5.0000000000000004E-6</v>
      </c>
      <c r="HK13" s="1">
        <v>3.0000000000000001E-6</v>
      </c>
      <c r="HL13" s="1">
        <v>0.01</v>
      </c>
      <c r="HM13" s="1">
        <v>6.0000000000000001E-3</v>
      </c>
      <c r="HN13" s="1">
        <v>1.2999999999999999E-3</v>
      </c>
      <c r="HO13" s="1">
        <v>5.0000000000000001E-4</v>
      </c>
      <c r="HP13" s="1">
        <v>7.9999999999999996E-6</v>
      </c>
      <c r="HQ13" s="1">
        <v>2.5000000000000001E-4</v>
      </c>
      <c r="HR13" s="1">
        <v>2.5000000000000001E-4</v>
      </c>
      <c r="HS13" s="1">
        <v>5.0000000000000004E-6</v>
      </c>
      <c r="HT13" s="1">
        <v>3.0000000000000001E-6</v>
      </c>
      <c r="HU13" s="1">
        <v>0.01</v>
      </c>
      <c r="HV13" s="1">
        <v>8.0000000000000002E-3</v>
      </c>
      <c r="HW13" s="1">
        <v>1.6000000000000001E-3</v>
      </c>
      <c r="HX13" s="1">
        <v>5.9999999999999995E-4</v>
      </c>
      <c r="HY13" s="1">
        <v>4.0000000000000003E-5</v>
      </c>
      <c r="HZ13" s="1">
        <v>4.0000000000000002E-4</v>
      </c>
      <c r="IA13" s="1">
        <v>4.0000000000000002E-4</v>
      </c>
      <c r="IB13" s="1">
        <v>2.0000000000000002E-5</v>
      </c>
      <c r="IC13" s="1">
        <v>3.9999999999999998E-6</v>
      </c>
      <c r="ID13" s="1">
        <f>Table13[[#This Row],[Total_Cost_MUSD]]*Table13[[#This Row],[prob500-failure_rating1]]*1000000/500</f>
        <v>1287.1651610000001</v>
      </c>
      <c r="IE13" s="1">
        <f>Table13[[#This Row],[Total_Cost_MUSD]]*Table13[[#This Row],[prob500-failure_rating2]]*1000000/500</f>
        <v>514.86606440000003</v>
      </c>
      <c r="IF13" s="1">
        <f>Table13[[#This Row],[Total_Cost_MUSD]]*Table13[[#This Row],[prob500-failure_rating3]]*1000000/500</f>
        <v>128.71651610000001</v>
      </c>
      <c r="IG13" s="1">
        <f>Table13[[#This Row],[Total_Cost_MUSD]]*Table13[[#This Row],[prob500-failure_rating4]]*1000000/500</f>
        <v>20.594642576000002</v>
      </c>
      <c r="IH13" s="1">
        <f>Table13[[#This Row],[Total_Cost_MUSD]]*Table13[[#This Row],[prob500-failure_rating5]]*1000000/500</f>
        <v>16.818958103733337</v>
      </c>
      <c r="II13" s="1">
        <f>Table13[[#This Row],[Total_Cost_MUSD]]*Table13[[#This Row],[prob500-failure_rating6]]*1000000/500</f>
        <v>9.2675891592000017</v>
      </c>
      <c r="IJ13" s="1">
        <f>Table13[[#This Row],[Total_Cost_MUSD]]*Table13[[#This Row],[prob500-failure_rating7]]*1000000/500</f>
        <v>9.2675891592000017</v>
      </c>
      <c r="IK13" s="1">
        <f>Table13[[#This Row],[Total_Cost_MUSD]]*Table13[[#This Row],[prob500-failure_rating8]]*1000000/500</f>
        <v>0.20594642576</v>
      </c>
      <c r="IL13" s="1">
        <f>Table13[[#This Row],[Total_Cost_MUSD]]*Table13[[#This Row],[prob500-failure_rating9]]*1000000/500</f>
        <v>0.12871651610000004</v>
      </c>
      <c r="IM13" s="1">
        <f>Table13[[#This Row],[Total_Cost_MUSD]]*Table13[[#This Row],[prob100-failure_rating1]]*1000000/100</f>
        <v>3217.9129025000002</v>
      </c>
      <c r="IN13" s="1">
        <f>Table13[[#This Row],[Total_Cost_MUSD]]*Table13[[#This Row],[prob100-failure_rating2]]*1000000/100</f>
        <v>1544.5981932000004</v>
      </c>
      <c r="IO13" s="1">
        <f>Table13[[#This Row],[Total_Cost_MUSD]]*Table13[[#This Row],[prob100-failure_rating3]]*1000000/100</f>
        <v>643.58258050000006</v>
      </c>
      <c r="IP13" s="1">
        <f>Table13[[#This Row],[Total_Cost_MUSD]]*Table13[[#This Row],[prob100-failure_rating4]]*1000000/100</f>
        <v>128.71651610000001</v>
      </c>
      <c r="IQ13" s="1">
        <f>Table13[[#This Row],[Total_Cost_MUSD]]*Table13[[#This Row],[prob100-failure_rating5]]*1000000/100</f>
        <v>2.0594642575999997</v>
      </c>
      <c r="IR13" s="1">
        <f>Table13[[#This Row],[Total_Cost_MUSD]]*Table13[[#This Row],[prob100-failure_rating6]]*1000000/100</f>
        <v>64.358258050000003</v>
      </c>
      <c r="IS13" s="1">
        <f>Table13[[#This Row],[Total_Cost_MUSD]]*Table13[[#This Row],[prob100-failure_rating7]]*1000000/100</f>
        <v>64.358258050000003</v>
      </c>
      <c r="IT13" s="1">
        <f>Table13[[#This Row],[Total_Cost_MUSD]]*Table13[[#This Row],[prob100-failure_rating8]]*1000000/100</f>
        <v>1.2871651610000003</v>
      </c>
      <c r="IU13" s="1">
        <f>Table13[[#This Row],[Total_Cost_MUSD]]*Table13[[#This Row],[prob100-failure_rating9]]*1000000/100</f>
        <v>0.77229909660000007</v>
      </c>
      <c r="IV13" s="1">
        <f>Table13[[#This Row],[Total_Cost_MUSD]]*Table13[[#This Row],[prob50-failure_rating1]]*1000000/50</f>
        <v>5148.6606440000005</v>
      </c>
      <c r="IW13" s="1">
        <f>Table13[[#This Row],[Total_Cost_MUSD]]*Table13[[#This Row],[prob50-failure_rating2]]*1000000/50</f>
        <v>3089.1963864000008</v>
      </c>
      <c r="IX13" s="1">
        <f>Table13[[#This Row],[Total_Cost_MUSD]]*Table13[[#This Row],[prob50-failure_rating3]]*1000000/50</f>
        <v>669.32588371999998</v>
      </c>
      <c r="IY13" s="1">
        <f>Table13[[#This Row],[Total_Cost_MUSD]]*Table13[[#This Row],[prob50-failure_rating4]]*1000000/50</f>
        <v>257.43303220000001</v>
      </c>
      <c r="IZ13" s="1">
        <f>Table13[[#This Row],[Total_Cost_MUSD]]*Table13[[#This Row],[prob50-failure_rating5]]*1000000/50</f>
        <v>4.1189285151999995</v>
      </c>
      <c r="JA13" s="1">
        <f>Table13[[#This Row],[Total_Cost_MUSD]]*Table13[[#This Row],[prob50-failure_rating6]]*1000000/50</f>
        <v>128.71651610000001</v>
      </c>
      <c r="JB13" s="1">
        <f>Table13[[#This Row],[Total_Cost_MUSD]]*Table13[[#This Row],[prob50-failure_rating7]]*1000000/50</f>
        <v>128.71651610000001</v>
      </c>
      <c r="JC13" s="1">
        <f>Table13[[#This Row],[Total_Cost_MUSD]]*Table13[[#This Row],[prob50-failure_rating8]]*1000000/50</f>
        <v>2.5743303220000007</v>
      </c>
      <c r="JD13" s="1">
        <f>Table13[[#This Row],[Total_Cost_MUSD]]*Table13[[#This Row],[prob50-failure_rating9]]*1000000/50</f>
        <v>1.5445981932000001</v>
      </c>
      <c r="JE13" s="1">
        <f>Table13[[#This Row],[Total_Cost_MUSD]]*Table13[[#This Row],[prob10-failure_rating1]]*1000000/10</f>
        <v>25743.303220000002</v>
      </c>
      <c r="JF13" s="1">
        <f>Table13[[#This Row],[Total_Cost_MUSD]]*Table13[[#This Row],[prob10-failure_rating2]]*1000000/10</f>
        <v>20594.642576000002</v>
      </c>
      <c r="JG13" s="1">
        <f>Table13[[#This Row],[Total_Cost_MUSD]]*Table13[[#This Row],[prob10-failure_rating3]]*1000000/10</f>
        <v>4118.9285152000002</v>
      </c>
      <c r="JH13" s="1">
        <f>Table13[[#This Row],[Total_Cost_MUSD]]*Table13[[#This Row],[prob10-failure_rating4]]*1000000/10</f>
        <v>1544.5981932</v>
      </c>
      <c r="JI13" s="1">
        <f>Table13[[#This Row],[Total_Cost_MUSD]]*Table13[[#This Row],[prob10-failure_rating5]]*1000000/10</f>
        <v>102.97321288000003</v>
      </c>
      <c r="JJ13" s="1">
        <f>Table13[[#This Row],[Total_Cost_MUSD]]*Table13[[#This Row],[prob10-failure_rating6]]*1000000/10</f>
        <v>1029.7321288000001</v>
      </c>
      <c r="JK13" s="1">
        <f>Table13[[#This Row],[Total_Cost_MUSD]]*Table13[[#This Row],[prob10-failure_rating7]]*1000000/10</f>
        <v>1029.7321288000001</v>
      </c>
      <c r="JL13" s="1">
        <f>Table13[[#This Row],[Total_Cost_MUSD]]*Table13[[#This Row],[prob10-failure_rating8]]*1000000/10</f>
        <v>51.486606440000017</v>
      </c>
      <c r="JM13" s="1">
        <f>Table13[[#This Row],[Total_Cost_MUSD]]*Table13[[#This Row],[prob10-failure_rating9]]*1000000/10</f>
        <v>10.297321287999999</v>
      </c>
      <c r="JN13" s="1">
        <f>45</f>
        <v>45</v>
      </c>
      <c r="JO13" s="1">
        <v>40</v>
      </c>
      <c r="JP13" s="1">
        <v>35</v>
      </c>
      <c r="JQ13" s="1">
        <v>30</v>
      </c>
      <c r="JR13" s="1">
        <v>25</v>
      </c>
      <c r="JS13" s="1">
        <v>20</v>
      </c>
      <c r="JT13" s="1">
        <v>15</v>
      </c>
      <c r="JU13" s="1">
        <v>10</v>
      </c>
      <c r="JV13" s="1">
        <v>5</v>
      </c>
      <c r="JW13" s="1">
        <v>3</v>
      </c>
    </row>
    <row r="14" spans="1:283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Table13[[#This Row],[Depth10_Soil_vol]]*(9.353+9.027)+(Table13[[#This Row],[Depth10_Soil_vol]]/2.5)*20*1.053+(PI()*Table13[[#This Row],[Depth10_Scour]])*Table13[[#This Row],[DECK_WIDTH_MT_052]]*1.062</f>
        <v>13653.389769605932</v>
      </c>
      <c r="AR14" s="1">
        <f>Table13[[#This Row],[Depth50_Soil_vol]]*(9.353+9.027)+(Table13[[#This Row],[Depth50_Soil_vol]]/2.5)*20*1.053+(PI()*Table13[[#This Row],[Depth50_Scour]])*Table13[[#This Row],[DECK_WIDTH_MT_052]]*1.062</f>
        <v>14501.430182908143</v>
      </c>
      <c r="AS14" s="1">
        <f>Table13[[#This Row],[Depth100_Soil_vol]]*(9.353+9.027)+(Table13[[#This Row],[Depth100_Soil_vol]]/2.5)*20*1.053+(PI()*Table13[[#This Row],[Depth100_Scour]])*Table13[[#This Row],[DECK_WIDTH_MT_052]]*1.062</f>
        <v>14880.875971506524</v>
      </c>
      <c r="AT14" s="1">
        <f>Table13[[#This Row],[Depth500_Soil_vol]]*(9.353+9.027)+(Table13[[#This Row],[Depth500_Soil_vol]]/2.5)*20*1.053+(PI()*Table13[[#This Row],[Depth500_Scour]])*Table13[[#This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>
        <v>83.517219859999997</v>
      </c>
      <c r="GE14" s="1">
        <v>0</v>
      </c>
      <c r="GF14" s="1">
        <v>0</v>
      </c>
      <c r="GG14" s="1">
        <v>0</v>
      </c>
      <c r="GH14" s="1">
        <v>0</v>
      </c>
      <c r="GI14" s="1">
        <v>9</v>
      </c>
      <c r="GJ14" s="1">
        <v>6</v>
      </c>
      <c r="GK14" s="1">
        <f>5</f>
        <v>5</v>
      </c>
      <c r="GL14" s="1">
        <f>Table13[[#This Row],[cost_repair_rating1]]/2</f>
        <v>2.5</v>
      </c>
      <c r="GM14" s="1">
        <f>Table13[[#This Row],[cost_repair_rating2]]/2</f>
        <v>1.25</v>
      </c>
      <c r="GN14" s="1">
        <f>Table13[[#This Row],[cost_repair_rating3]]/2</f>
        <v>0.625</v>
      </c>
      <c r="GO14" s="1">
        <f>Table13[[#This Row],[cost_repair_rating4]]/2</f>
        <v>0.3125</v>
      </c>
      <c r="GP14" s="1">
        <f>Table13[[#This Row],[cost_repair_rating5]]/2</f>
        <v>0.15625</v>
      </c>
      <c r="GQ14" s="1">
        <v>0</v>
      </c>
      <c r="GR14" s="1">
        <v>0</v>
      </c>
      <c r="GS14" s="1">
        <v>0</v>
      </c>
      <c r="GT14" s="1">
        <f t="shared" si="0"/>
        <v>2.5000000000000001E-2</v>
      </c>
      <c r="GU14" s="1">
        <v>0.01</v>
      </c>
      <c r="GV14" s="1">
        <v>2.5000000000000001E-3</v>
      </c>
      <c r="GW14" s="1">
        <v>4.0000000000000002E-4</v>
      </c>
      <c r="GX14" s="1">
        <f>(2*Table13[[#This Row],[prob500-failure_rating4]]+Table13[[#This Row],[prob500-failure_rating6]])/3</f>
        <v>3.2666666666666667E-4</v>
      </c>
      <c r="GY14" s="1">
        <v>1.8000000000000001E-4</v>
      </c>
      <c r="GZ14" s="1">
        <v>1.8000000000000001E-4</v>
      </c>
      <c r="HA14" s="1">
        <v>3.9999999999999998E-6</v>
      </c>
      <c r="HB14" s="1">
        <v>2.5000000000000002E-6</v>
      </c>
      <c r="HC14" s="1">
        <f t="shared" si="1"/>
        <v>1.2500000000000001E-2</v>
      </c>
      <c r="HD14" s="1">
        <v>6.0000000000000001E-3</v>
      </c>
      <c r="HE14" s="1">
        <v>2.5000000000000001E-3</v>
      </c>
      <c r="HF14" s="1">
        <v>5.0000000000000001E-4</v>
      </c>
      <c r="HG14" s="1">
        <v>7.9999999999999996E-6</v>
      </c>
      <c r="HH14" s="1">
        <v>2.5000000000000001E-4</v>
      </c>
      <c r="HI14" s="1">
        <v>2.5000000000000001E-4</v>
      </c>
      <c r="HJ14" s="1">
        <v>5.0000000000000004E-6</v>
      </c>
      <c r="HK14" s="1">
        <v>3.0000000000000001E-6</v>
      </c>
      <c r="HL14" s="1">
        <v>0.01</v>
      </c>
      <c r="HM14" s="1">
        <v>6.0000000000000001E-3</v>
      </c>
      <c r="HN14" s="1">
        <v>1.2999999999999999E-3</v>
      </c>
      <c r="HO14" s="1">
        <v>5.0000000000000001E-4</v>
      </c>
      <c r="HP14" s="1">
        <v>7.9999999999999996E-6</v>
      </c>
      <c r="HQ14" s="1">
        <v>2.5000000000000001E-4</v>
      </c>
      <c r="HR14" s="1">
        <v>2.5000000000000001E-4</v>
      </c>
      <c r="HS14" s="1">
        <v>5.0000000000000004E-6</v>
      </c>
      <c r="HT14" s="1">
        <v>3.0000000000000001E-6</v>
      </c>
      <c r="HU14" s="1">
        <v>0.01</v>
      </c>
      <c r="HV14" s="1">
        <v>8.0000000000000002E-3</v>
      </c>
      <c r="HW14" s="1">
        <v>1.6000000000000001E-3</v>
      </c>
      <c r="HX14" s="1">
        <v>5.9999999999999995E-4</v>
      </c>
      <c r="HY14" s="1">
        <v>4.0000000000000003E-5</v>
      </c>
      <c r="HZ14" s="1">
        <v>4.0000000000000002E-4</v>
      </c>
      <c r="IA14" s="1">
        <v>4.0000000000000002E-4</v>
      </c>
      <c r="IB14" s="1">
        <v>2.0000000000000002E-5</v>
      </c>
      <c r="IC14" s="1">
        <v>3.9999999999999998E-6</v>
      </c>
      <c r="ID14" s="1">
        <f>Table13[[#This Row],[Total_Cost_MUSD]]*Table13[[#This Row],[prob500-failure_rating1]]*1000000/500</f>
        <v>4175.8609930000002</v>
      </c>
      <c r="IE14" s="1">
        <f>Table13[[#This Row],[Total_Cost_MUSD]]*Table13[[#This Row],[prob500-failure_rating2]]*1000000/500</f>
        <v>1670.3443972</v>
      </c>
      <c r="IF14" s="1">
        <f>Table13[[#This Row],[Total_Cost_MUSD]]*Table13[[#This Row],[prob500-failure_rating3]]*1000000/500</f>
        <v>417.5860993</v>
      </c>
      <c r="IG14" s="1">
        <f>Table13[[#This Row],[Total_Cost_MUSD]]*Table13[[#This Row],[prob500-failure_rating4]]*1000000/500</f>
        <v>66.813775888000009</v>
      </c>
      <c r="IH14" s="1">
        <f>Table13[[#This Row],[Total_Cost_MUSD]]*Table13[[#This Row],[prob500-failure_rating5]]*1000000/500</f>
        <v>54.564583641866669</v>
      </c>
      <c r="II14" s="1">
        <f>Table13[[#This Row],[Total_Cost_MUSD]]*Table13[[#This Row],[prob500-failure_rating6]]*1000000/500</f>
        <v>30.066199149600003</v>
      </c>
      <c r="IJ14" s="1">
        <f>Table13[[#This Row],[Total_Cost_MUSD]]*Table13[[#This Row],[prob500-failure_rating7]]*1000000/500</f>
        <v>30.066199149600003</v>
      </c>
      <c r="IK14" s="1">
        <f>Table13[[#This Row],[Total_Cost_MUSD]]*Table13[[#This Row],[prob500-failure_rating8]]*1000000/500</f>
        <v>0.66813775887999993</v>
      </c>
      <c r="IL14" s="1">
        <f>Table13[[#This Row],[Total_Cost_MUSD]]*Table13[[#This Row],[prob500-failure_rating9]]*1000000/500</f>
        <v>0.41758609930000007</v>
      </c>
      <c r="IM14" s="1">
        <f>Table13[[#This Row],[Total_Cost_MUSD]]*Table13[[#This Row],[prob100-failure_rating1]]*1000000/100</f>
        <v>10439.6524825</v>
      </c>
      <c r="IN14" s="1">
        <f>Table13[[#This Row],[Total_Cost_MUSD]]*Table13[[#This Row],[prob100-failure_rating2]]*1000000/100</f>
        <v>5011.0331915999996</v>
      </c>
      <c r="IO14" s="1">
        <f>Table13[[#This Row],[Total_Cost_MUSD]]*Table13[[#This Row],[prob100-failure_rating3]]*1000000/100</f>
        <v>2087.9304965000001</v>
      </c>
      <c r="IP14" s="1">
        <f>Table13[[#This Row],[Total_Cost_MUSD]]*Table13[[#This Row],[prob100-failure_rating4]]*1000000/100</f>
        <v>417.58609930000006</v>
      </c>
      <c r="IQ14" s="1">
        <f>Table13[[#This Row],[Total_Cost_MUSD]]*Table13[[#This Row],[prob100-failure_rating5]]*1000000/100</f>
        <v>6.6813775888000002</v>
      </c>
      <c r="IR14" s="1">
        <f>Table13[[#This Row],[Total_Cost_MUSD]]*Table13[[#This Row],[prob100-failure_rating6]]*1000000/100</f>
        <v>208.79304965000003</v>
      </c>
      <c r="IS14" s="1">
        <f>Table13[[#This Row],[Total_Cost_MUSD]]*Table13[[#This Row],[prob100-failure_rating7]]*1000000/100</f>
        <v>208.79304965000003</v>
      </c>
      <c r="IT14" s="1">
        <f>Table13[[#This Row],[Total_Cost_MUSD]]*Table13[[#This Row],[prob100-failure_rating8]]*1000000/100</f>
        <v>4.1758609930000006</v>
      </c>
      <c r="IU14" s="1">
        <f>Table13[[#This Row],[Total_Cost_MUSD]]*Table13[[#This Row],[prob100-failure_rating9]]*1000000/100</f>
        <v>2.5055165958000001</v>
      </c>
      <c r="IV14" s="1">
        <f>Table13[[#This Row],[Total_Cost_MUSD]]*Table13[[#This Row],[prob50-failure_rating1]]*1000000/50</f>
        <v>16703.443972000001</v>
      </c>
      <c r="IW14" s="1">
        <f>Table13[[#This Row],[Total_Cost_MUSD]]*Table13[[#This Row],[prob50-failure_rating2]]*1000000/50</f>
        <v>10022.066383199999</v>
      </c>
      <c r="IX14" s="1">
        <f>Table13[[#This Row],[Total_Cost_MUSD]]*Table13[[#This Row],[prob50-failure_rating3]]*1000000/50</f>
        <v>2171.44771636</v>
      </c>
      <c r="IY14" s="1">
        <f>Table13[[#This Row],[Total_Cost_MUSD]]*Table13[[#This Row],[prob50-failure_rating4]]*1000000/50</f>
        <v>835.17219860000012</v>
      </c>
      <c r="IZ14" s="1">
        <f>Table13[[#This Row],[Total_Cost_MUSD]]*Table13[[#This Row],[prob50-failure_rating5]]*1000000/50</f>
        <v>13.3627551776</v>
      </c>
      <c r="JA14" s="1">
        <f>Table13[[#This Row],[Total_Cost_MUSD]]*Table13[[#This Row],[prob50-failure_rating6]]*1000000/50</f>
        <v>417.58609930000006</v>
      </c>
      <c r="JB14" s="1">
        <f>Table13[[#This Row],[Total_Cost_MUSD]]*Table13[[#This Row],[prob50-failure_rating7]]*1000000/50</f>
        <v>417.58609930000006</v>
      </c>
      <c r="JC14" s="1">
        <f>Table13[[#This Row],[Total_Cost_MUSD]]*Table13[[#This Row],[prob50-failure_rating8]]*1000000/50</f>
        <v>8.3517219860000012</v>
      </c>
      <c r="JD14" s="1">
        <f>Table13[[#This Row],[Total_Cost_MUSD]]*Table13[[#This Row],[prob50-failure_rating9]]*1000000/50</f>
        <v>5.0110331916000002</v>
      </c>
      <c r="JE14" s="1">
        <f>Table13[[#This Row],[Total_Cost_MUSD]]*Table13[[#This Row],[prob10-failure_rating1]]*1000000/10</f>
        <v>83517.219859999997</v>
      </c>
      <c r="JF14" s="1">
        <f>Table13[[#This Row],[Total_Cost_MUSD]]*Table13[[#This Row],[prob10-failure_rating2]]*1000000/10</f>
        <v>66813.775888000004</v>
      </c>
      <c r="JG14" s="1">
        <f>Table13[[#This Row],[Total_Cost_MUSD]]*Table13[[#This Row],[prob10-failure_rating3]]*1000000/10</f>
        <v>13362.7551776</v>
      </c>
      <c r="JH14" s="1">
        <f>Table13[[#This Row],[Total_Cost_MUSD]]*Table13[[#This Row],[prob10-failure_rating4]]*1000000/10</f>
        <v>5011.0331915999996</v>
      </c>
      <c r="JI14" s="1">
        <f>Table13[[#This Row],[Total_Cost_MUSD]]*Table13[[#This Row],[prob10-failure_rating5]]*1000000/10</f>
        <v>334.06887944000005</v>
      </c>
      <c r="JJ14" s="1">
        <f>Table13[[#This Row],[Total_Cost_MUSD]]*Table13[[#This Row],[prob10-failure_rating6]]*1000000/10</f>
        <v>3340.6887944</v>
      </c>
      <c r="JK14" s="1">
        <f>Table13[[#This Row],[Total_Cost_MUSD]]*Table13[[#This Row],[prob10-failure_rating7]]*1000000/10</f>
        <v>3340.6887944</v>
      </c>
      <c r="JL14" s="1">
        <f>Table13[[#This Row],[Total_Cost_MUSD]]*Table13[[#This Row],[prob10-failure_rating8]]*1000000/10</f>
        <v>167.03443972000002</v>
      </c>
      <c r="JM14" s="1">
        <f>Table13[[#This Row],[Total_Cost_MUSD]]*Table13[[#This Row],[prob10-failure_rating9]]*1000000/10</f>
        <v>33.406887943999998</v>
      </c>
      <c r="JN14" s="1">
        <f>45</f>
        <v>45</v>
      </c>
      <c r="JO14" s="1">
        <v>40</v>
      </c>
      <c r="JP14" s="1">
        <v>35</v>
      </c>
      <c r="JQ14" s="1">
        <v>30</v>
      </c>
      <c r="JR14" s="1">
        <v>25</v>
      </c>
      <c r="JS14" s="1">
        <v>20</v>
      </c>
      <c r="JT14" s="1">
        <v>15</v>
      </c>
      <c r="JU14" s="1">
        <v>10</v>
      </c>
      <c r="JV14" s="1">
        <v>5</v>
      </c>
      <c r="JW14" s="1">
        <v>3</v>
      </c>
    </row>
    <row r="15" spans="1:283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Table13[[#This Row],[Depth10_Soil_vol]]*(9.353+9.027)+(Table13[[#This Row],[Depth10_Soil_vol]]/2.5)*20*1.053+(PI()*Table13[[#This Row],[Depth10_Scour]])*Table13[[#This Row],[DECK_WIDTH_MT_052]]*1.062</f>
        <v>9589.4503766877388</v>
      </c>
      <c r="AR15" s="1">
        <f>Table13[[#This Row],[Depth50_Soil_vol]]*(9.353+9.027)+(Table13[[#This Row],[Depth50_Soil_vol]]/2.5)*20*1.053+(PI()*Table13[[#This Row],[Depth50_Scour]])*Table13[[#This Row],[DECK_WIDTH_MT_052]]*1.062</f>
        <v>10089.839206196759</v>
      </c>
      <c r="AS15" s="1">
        <f>Table13[[#This Row],[Depth100_Soil_vol]]*(9.353+9.027)+(Table13[[#This Row],[Depth100_Soil_vol]]/2.5)*20*1.053+(PI()*Table13[[#This Row],[Depth100_Scour]])*Table13[[#This Row],[DECK_WIDTH_MT_052]]*1.062</f>
        <v>10312.30726316059</v>
      </c>
      <c r="AT15" s="1">
        <f>Table13[[#This Row],[Depth500_Soil_vol]]*(9.353+9.027)+(Table13[[#This Row],[Depth500_Soil_vol]]/2.5)*20*1.053+(PI()*Table13[[#This Row],[Depth500_Scour]])*Table13[[#This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>
        <v>51.219814960000001</v>
      </c>
      <c r="GE15" s="1">
        <v>0</v>
      </c>
      <c r="GF15" s="1">
        <v>0.25</v>
      </c>
      <c r="GG15" s="1">
        <v>0.5</v>
      </c>
      <c r="GH15" s="1">
        <v>0.75</v>
      </c>
      <c r="GI15" s="1">
        <v>8</v>
      </c>
      <c r="GJ15" s="1">
        <v>6</v>
      </c>
      <c r="GK15" s="1">
        <f>5</f>
        <v>5</v>
      </c>
      <c r="GL15" s="1">
        <f>Table13[[#This Row],[cost_repair_rating1]]/2</f>
        <v>2.5</v>
      </c>
      <c r="GM15" s="1">
        <f>Table13[[#This Row],[cost_repair_rating2]]/2</f>
        <v>1.25</v>
      </c>
      <c r="GN15" s="1">
        <f>Table13[[#This Row],[cost_repair_rating3]]/2</f>
        <v>0.625</v>
      </c>
      <c r="GO15" s="1">
        <f>Table13[[#This Row],[cost_repair_rating4]]/2</f>
        <v>0.3125</v>
      </c>
      <c r="GP15" s="1">
        <f>Table13[[#This Row],[cost_repair_rating5]]/2</f>
        <v>0.15625</v>
      </c>
      <c r="GQ15" s="1">
        <v>0</v>
      </c>
      <c r="GR15" s="1">
        <v>0</v>
      </c>
      <c r="GS15" s="1">
        <v>0</v>
      </c>
      <c r="GT15" s="1">
        <f t="shared" si="0"/>
        <v>2.5000000000000001E-2</v>
      </c>
      <c r="GU15" s="1">
        <v>0.01</v>
      </c>
      <c r="GV15" s="1">
        <v>2.5000000000000001E-3</v>
      </c>
      <c r="GW15" s="1">
        <v>4.0000000000000002E-4</v>
      </c>
      <c r="GX15" s="1">
        <f>(2*Table13[[#This Row],[prob500-failure_rating4]]+Table13[[#This Row],[prob500-failure_rating6]])/3</f>
        <v>3.2666666666666667E-4</v>
      </c>
      <c r="GY15" s="1">
        <v>1.8000000000000001E-4</v>
      </c>
      <c r="GZ15" s="1">
        <v>1.8000000000000001E-4</v>
      </c>
      <c r="HA15" s="1">
        <v>3.9999999999999998E-6</v>
      </c>
      <c r="HB15" s="1">
        <v>2.5000000000000002E-6</v>
      </c>
      <c r="HC15" s="1">
        <f t="shared" si="1"/>
        <v>1.2500000000000001E-2</v>
      </c>
      <c r="HD15" s="1">
        <v>6.0000000000000001E-3</v>
      </c>
      <c r="HE15" s="1">
        <v>2.5000000000000001E-3</v>
      </c>
      <c r="HF15" s="1">
        <v>5.0000000000000001E-4</v>
      </c>
      <c r="HG15" s="1">
        <v>7.9999999999999996E-6</v>
      </c>
      <c r="HH15" s="1">
        <v>2.5000000000000001E-4</v>
      </c>
      <c r="HI15" s="1">
        <v>2.5000000000000001E-4</v>
      </c>
      <c r="HJ15" s="1">
        <v>5.0000000000000004E-6</v>
      </c>
      <c r="HK15" s="1">
        <v>3.0000000000000001E-6</v>
      </c>
      <c r="HL15" s="1">
        <v>0.01</v>
      </c>
      <c r="HM15" s="1">
        <v>6.0000000000000001E-3</v>
      </c>
      <c r="HN15" s="1">
        <v>1.2999999999999999E-3</v>
      </c>
      <c r="HO15" s="1">
        <v>5.0000000000000001E-4</v>
      </c>
      <c r="HP15" s="1">
        <v>7.9999999999999996E-6</v>
      </c>
      <c r="HQ15" s="1">
        <v>2.5000000000000001E-4</v>
      </c>
      <c r="HR15" s="1">
        <v>2.5000000000000001E-4</v>
      </c>
      <c r="HS15" s="1">
        <v>5.0000000000000004E-6</v>
      </c>
      <c r="HT15" s="1">
        <v>3.0000000000000001E-6</v>
      </c>
      <c r="HU15" s="1">
        <v>0.01</v>
      </c>
      <c r="HV15" s="1">
        <v>8.0000000000000002E-3</v>
      </c>
      <c r="HW15" s="1">
        <v>1.6000000000000001E-3</v>
      </c>
      <c r="HX15" s="1">
        <v>5.9999999999999995E-4</v>
      </c>
      <c r="HY15" s="1">
        <v>4.0000000000000003E-5</v>
      </c>
      <c r="HZ15" s="1">
        <v>4.0000000000000002E-4</v>
      </c>
      <c r="IA15" s="1">
        <v>4.0000000000000002E-4</v>
      </c>
      <c r="IB15" s="1">
        <v>2.0000000000000002E-5</v>
      </c>
      <c r="IC15" s="1">
        <v>3.9999999999999998E-6</v>
      </c>
      <c r="ID15" s="1">
        <f>Table13[[#This Row],[Total_Cost_MUSD]]*Table13[[#This Row],[prob500-failure_rating1]]*1000000/500</f>
        <v>2560.9907480000002</v>
      </c>
      <c r="IE15" s="1">
        <f>Table13[[#This Row],[Total_Cost_MUSD]]*Table13[[#This Row],[prob500-failure_rating2]]*1000000/500</f>
        <v>1024.3962991999999</v>
      </c>
      <c r="IF15" s="1">
        <f>Table13[[#This Row],[Total_Cost_MUSD]]*Table13[[#This Row],[prob500-failure_rating3]]*1000000/500</f>
        <v>256.09907479999998</v>
      </c>
      <c r="IG15" s="1">
        <f>Table13[[#This Row],[Total_Cost_MUSD]]*Table13[[#This Row],[prob500-failure_rating4]]*1000000/500</f>
        <v>40.975851968000001</v>
      </c>
      <c r="IH15" s="1">
        <f>Table13[[#This Row],[Total_Cost_MUSD]]*Table13[[#This Row],[prob500-failure_rating5]]*1000000/500</f>
        <v>33.463612440533332</v>
      </c>
      <c r="II15" s="1">
        <f>Table13[[#This Row],[Total_Cost_MUSD]]*Table13[[#This Row],[prob500-failure_rating6]]*1000000/500</f>
        <v>18.439133385599998</v>
      </c>
      <c r="IJ15" s="1">
        <f>Table13[[#This Row],[Total_Cost_MUSD]]*Table13[[#This Row],[prob500-failure_rating7]]*1000000/500</f>
        <v>18.439133385599998</v>
      </c>
      <c r="IK15" s="1">
        <f>Table13[[#This Row],[Total_Cost_MUSD]]*Table13[[#This Row],[prob500-failure_rating8]]*1000000/500</f>
        <v>0.40975851967999993</v>
      </c>
      <c r="IL15" s="1">
        <f>Table13[[#This Row],[Total_Cost_MUSD]]*Table13[[#This Row],[prob500-failure_rating9]]*1000000/500</f>
        <v>0.25609907480000005</v>
      </c>
      <c r="IM15" s="1">
        <f>Table13[[#This Row],[Total_Cost_MUSD]]*Table13[[#This Row],[prob100-failure_rating1]]*1000000/100</f>
        <v>6402.4768700000004</v>
      </c>
      <c r="IN15" s="1">
        <f>Table13[[#This Row],[Total_Cost_MUSD]]*Table13[[#This Row],[prob100-failure_rating2]]*1000000/100</f>
        <v>3073.1888976</v>
      </c>
      <c r="IO15" s="1">
        <f>Table13[[#This Row],[Total_Cost_MUSD]]*Table13[[#This Row],[prob100-failure_rating3]]*1000000/100</f>
        <v>1280.4953740000001</v>
      </c>
      <c r="IP15" s="1">
        <f>Table13[[#This Row],[Total_Cost_MUSD]]*Table13[[#This Row],[prob100-failure_rating4]]*1000000/100</f>
        <v>256.09907479999998</v>
      </c>
      <c r="IQ15" s="1">
        <f>Table13[[#This Row],[Total_Cost_MUSD]]*Table13[[#This Row],[prob100-failure_rating5]]*1000000/100</f>
        <v>4.0975851967999999</v>
      </c>
      <c r="IR15" s="1">
        <f>Table13[[#This Row],[Total_Cost_MUSD]]*Table13[[#This Row],[prob100-failure_rating6]]*1000000/100</f>
        <v>128.04953739999999</v>
      </c>
      <c r="IS15" s="1">
        <f>Table13[[#This Row],[Total_Cost_MUSD]]*Table13[[#This Row],[prob100-failure_rating7]]*1000000/100</f>
        <v>128.04953739999999</v>
      </c>
      <c r="IT15" s="1">
        <f>Table13[[#This Row],[Total_Cost_MUSD]]*Table13[[#This Row],[prob100-failure_rating8]]*1000000/100</f>
        <v>2.5609907480000005</v>
      </c>
      <c r="IU15" s="1">
        <f>Table13[[#This Row],[Total_Cost_MUSD]]*Table13[[#This Row],[prob100-failure_rating9]]*1000000/100</f>
        <v>1.5365944487999998</v>
      </c>
      <c r="IV15" s="1">
        <f>Table13[[#This Row],[Total_Cost_MUSD]]*Table13[[#This Row],[prob50-failure_rating1]]*1000000/50</f>
        <v>10243.962992000001</v>
      </c>
      <c r="IW15" s="1">
        <f>Table13[[#This Row],[Total_Cost_MUSD]]*Table13[[#This Row],[prob50-failure_rating2]]*1000000/50</f>
        <v>6146.3777952</v>
      </c>
      <c r="IX15" s="1">
        <f>Table13[[#This Row],[Total_Cost_MUSD]]*Table13[[#This Row],[prob50-failure_rating3]]*1000000/50</f>
        <v>1331.71518896</v>
      </c>
      <c r="IY15" s="1">
        <f>Table13[[#This Row],[Total_Cost_MUSD]]*Table13[[#This Row],[prob50-failure_rating4]]*1000000/50</f>
        <v>512.19814959999997</v>
      </c>
      <c r="IZ15" s="1">
        <f>Table13[[#This Row],[Total_Cost_MUSD]]*Table13[[#This Row],[prob50-failure_rating5]]*1000000/50</f>
        <v>8.1951703935999998</v>
      </c>
      <c r="JA15" s="1">
        <f>Table13[[#This Row],[Total_Cost_MUSD]]*Table13[[#This Row],[prob50-failure_rating6]]*1000000/50</f>
        <v>256.09907479999998</v>
      </c>
      <c r="JB15" s="1">
        <f>Table13[[#This Row],[Total_Cost_MUSD]]*Table13[[#This Row],[prob50-failure_rating7]]*1000000/50</f>
        <v>256.09907479999998</v>
      </c>
      <c r="JC15" s="1">
        <f>Table13[[#This Row],[Total_Cost_MUSD]]*Table13[[#This Row],[prob50-failure_rating8]]*1000000/50</f>
        <v>5.121981496000001</v>
      </c>
      <c r="JD15" s="1">
        <f>Table13[[#This Row],[Total_Cost_MUSD]]*Table13[[#This Row],[prob50-failure_rating9]]*1000000/50</f>
        <v>3.0731888975999997</v>
      </c>
      <c r="JE15" s="1">
        <f>Table13[[#This Row],[Total_Cost_MUSD]]*Table13[[#This Row],[prob10-failure_rating1]]*1000000/10</f>
        <v>51219.814960000003</v>
      </c>
      <c r="JF15" s="1">
        <f>Table13[[#This Row],[Total_Cost_MUSD]]*Table13[[#This Row],[prob10-failure_rating2]]*1000000/10</f>
        <v>40975.851967999995</v>
      </c>
      <c r="JG15" s="1">
        <f>Table13[[#This Row],[Total_Cost_MUSD]]*Table13[[#This Row],[prob10-failure_rating3]]*1000000/10</f>
        <v>8195.1703936000013</v>
      </c>
      <c r="JH15" s="1">
        <f>Table13[[#This Row],[Total_Cost_MUSD]]*Table13[[#This Row],[prob10-failure_rating4]]*1000000/10</f>
        <v>3073.1888976</v>
      </c>
      <c r="JI15" s="1">
        <f>Table13[[#This Row],[Total_Cost_MUSD]]*Table13[[#This Row],[prob10-failure_rating5]]*1000000/10</f>
        <v>204.87925984000003</v>
      </c>
      <c r="JJ15" s="1">
        <f>Table13[[#This Row],[Total_Cost_MUSD]]*Table13[[#This Row],[prob10-failure_rating6]]*1000000/10</f>
        <v>2048.7925984000003</v>
      </c>
      <c r="JK15" s="1">
        <f>Table13[[#This Row],[Total_Cost_MUSD]]*Table13[[#This Row],[prob10-failure_rating7]]*1000000/10</f>
        <v>2048.7925984000003</v>
      </c>
      <c r="JL15" s="1">
        <f>Table13[[#This Row],[Total_Cost_MUSD]]*Table13[[#This Row],[prob10-failure_rating8]]*1000000/10</f>
        <v>102.43962992000002</v>
      </c>
      <c r="JM15" s="1">
        <f>Table13[[#This Row],[Total_Cost_MUSD]]*Table13[[#This Row],[prob10-failure_rating9]]*1000000/10</f>
        <v>20.487925983999997</v>
      </c>
      <c r="JN15" s="1">
        <f>45</f>
        <v>45</v>
      </c>
      <c r="JO15" s="1">
        <v>40</v>
      </c>
      <c r="JP15" s="1">
        <v>35</v>
      </c>
      <c r="JQ15" s="1">
        <v>30</v>
      </c>
      <c r="JR15" s="1">
        <v>25</v>
      </c>
      <c r="JS15" s="1">
        <v>20</v>
      </c>
      <c r="JT15" s="1">
        <v>15</v>
      </c>
      <c r="JU15" s="1">
        <v>10</v>
      </c>
      <c r="JV15" s="1">
        <v>5</v>
      </c>
      <c r="JW15" s="1">
        <v>3</v>
      </c>
    </row>
    <row r="16" spans="1:283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Table13[[#This Row],[Depth10_Soil_vol]]*(9.353+9.027)+(Table13[[#This Row],[Depth10_Soil_vol]]/2.5)*20*1.053+(PI()*Table13[[#This Row],[Depth10_Scour]])*Table13[[#This Row],[DECK_WIDTH_MT_052]]*1.062</f>
        <v>6758.7093437956364</v>
      </c>
      <c r="AR16" s="1">
        <f>Table13[[#This Row],[Depth50_Soil_vol]]*(9.353+9.027)+(Table13[[#This Row],[Depth50_Soil_vol]]/2.5)*20*1.053+(PI()*Table13[[#This Row],[Depth50_Scour]])*Table13[[#This Row],[DECK_WIDTH_MT_052]]*1.062</f>
        <v>7157.860599196707</v>
      </c>
      <c r="AS16" s="1">
        <f>Table13[[#This Row],[Depth100_Soil_vol]]*(9.353+9.027)+(Table13[[#This Row],[Depth100_Soil_vol]]/2.5)*20*1.053+(PI()*Table13[[#This Row],[Depth100_Scour]])*Table13[[#This Row],[DECK_WIDTH_MT_052]]*1.062</f>
        <v>7335.7235370312192</v>
      </c>
      <c r="AT16" s="1">
        <f>Table13[[#This Row],[Depth500_Soil_vol]]*(9.353+9.027)+(Table13[[#This Row],[Depth500_Soil_vol]]/2.5)*20*1.053+(PI()*Table13[[#This Row],[Depth500_Scour]])*Table13[[#This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>
        <v>73.969602710000004</v>
      </c>
      <c r="GE16" s="1">
        <v>0</v>
      </c>
      <c r="GF16" s="1">
        <v>0.25</v>
      </c>
      <c r="GG16" s="1">
        <v>0.5</v>
      </c>
      <c r="GH16" s="1">
        <v>0.75</v>
      </c>
      <c r="GI16" s="1">
        <v>8</v>
      </c>
      <c r="GJ16" s="1">
        <v>6</v>
      </c>
      <c r="GK16" s="1">
        <f>5</f>
        <v>5</v>
      </c>
      <c r="GL16" s="1">
        <f>Table13[[#This Row],[cost_repair_rating1]]/2</f>
        <v>2.5</v>
      </c>
      <c r="GM16" s="1">
        <f>Table13[[#This Row],[cost_repair_rating2]]/2</f>
        <v>1.25</v>
      </c>
      <c r="GN16" s="1">
        <f>Table13[[#This Row],[cost_repair_rating3]]/2</f>
        <v>0.625</v>
      </c>
      <c r="GO16" s="1">
        <f>Table13[[#This Row],[cost_repair_rating4]]/2</f>
        <v>0.3125</v>
      </c>
      <c r="GP16" s="1">
        <f>Table13[[#This Row],[cost_repair_rating5]]/2</f>
        <v>0.15625</v>
      </c>
      <c r="GQ16" s="1">
        <v>0</v>
      </c>
      <c r="GR16" s="1">
        <v>0</v>
      </c>
      <c r="GS16" s="1">
        <v>0</v>
      </c>
      <c r="GT16" s="1">
        <f t="shared" si="0"/>
        <v>2.5000000000000001E-2</v>
      </c>
      <c r="GU16" s="1">
        <v>0.01</v>
      </c>
      <c r="GV16" s="1">
        <v>2.5000000000000001E-3</v>
      </c>
      <c r="GW16" s="1">
        <v>4.0000000000000002E-4</v>
      </c>
      <c r="GX16" s="1">
        <f>(2*Table13[[#This Row],[prob500-failure_rating4]]+Table13[[#This Row],[prob500-failure_rating6]])/3</f>
        <v>3.2666666666666667E-4</v>
      </c>
      <c r="GY16" s="1">
        <v>1.8000000000000001E-4</v>
      </c>
      <c r="GZ16" s="1">
        <v>1.8000000000000001E-4</v>
      </c>
      <c r="HA16" s="1">
        <v>3.9999999999999998E-6</v>
      </c>
      <c r="HB16" s="1">
        <v>2.5000000000000002E-6</v>
      </c>
      <c r="HC16" s="1">
        <f t="shared" si="1"/>
        <v>1.2500000000000001E-2</v>
      </c>
      <c r="HD16" s="1">
        <v>6.0000000000000001E-3</v>
      </c>
      <c r="HE16" s="1">
        <v>2.5000000000000001E-3</v>
      </c>
      <c r="HF16" s="1">
        <v>5.0000000000000001E-4</v>
      </c>
      <c r="HG16" s="1">
        <v>7.9999999999999996E-6</v>
      </c>
      <c r="HH16" s="1">
        <v>2.5000000000000001E-4</v>
      </c>
      <c r="HI16" s="1">
        <v>2.5000000000000001E-4</v>
      </c>
      <c r="HJ16" s="1">
        <v>5.0000000000000004E-6</v>
      </c>
      <c r="HK16" s="1">
        <v>3.0000000000000001E-6</v>
      </c>
      <c r="HL16" s="1">
        <v>0.01</v>
      </c>
      <c r="HM16" s="1">
        <v>6.0000000000000001E-3</v>
      </c>
      <c r="HN16" s="1">
        <v>1.2999999999999999E-3</v>
      </c>
      <c r="HO16" s="1">
        <v>5.0000000000000001E-4</v>
      </c>
      <c r="HP16" s="1">
        <v>7.9999999999999996E-6</v>
      </c>
      <c r="HQ16" s="1">
        <v>2.5000000000000001E-4</v>
      </c>
      <c r="HR16" s="1">
        <v>2.5000000000000001E-4</v>
      </c>
      <c r="HS16" s="1">
        <v>5.0000000000000004E-6</v>
      </c>
      <c r="HT16" s="1">
        <v>3.0000000000000001E-6</v>
      </c>
      <c r="HU16" s="1">
        <v>0.01</v>
      </c>
      <c r="HV16" s="1">
        <v>8.0000000000000002E-3</v>
      </c>
      <c r="HW16" s="1">
        <v>1.6000000000000001E-3</v>
      </c>
      <c r="HX16" s="1">
        <v>5.9999999999999995E-4</v>
      </c>
      <c r="HY16" s="1">
        <v>4.0000000000000003E-5</v>
      </c>
      <c r="HZ16" s="1">
        <v>4.0000000000000002E-4</v>
      </c>
      <c r="IA16" s="1">
        <v>4.0000000000000002E-4</v>
      </c>
      <c r="IB16" s="1">
        <v>2.0000000000000002E-5</v>
      </c>
      <c r="IC16" s="1">
        <v>3.9999999999999998E-6</v>
      </c>
      <c r="ID16" s="1">
        <f>Table13[[#This Row],[Total_Cost_MUSD]]*Table13[[#This Row],[prob500-failure_rating1]]*1000000/500</f>
        <v>3698.4801355000004</v>
      </c>
      <c r="IE16" s="1">
        <f>Table13[[#This Row],[Total_Cost_MUSD]]*Table13[[#This Row],[prob500-failure_rating2]]*1000000/500</f>
        <v>1479.3920542000001</v>
      </c>
      <c r="IF16" s="1">
        <f>Table13[[#This Row],[Total_Cost_MUSD]]*Table13[[#This Row],[prob500-failure_rating3]]*1000000/500</f>
        <v>369.84801355000002</v>
      </c>
      <c r="IG16" s="1">
        <f>Table13[[#This Row],[Total_Cost_MUSD]]*Table13[[#This Row],[prob500-failure_rating4]]*1000000/500</f>
        <v>59.175682168000009</v>
      </c>
      <c r="IH16" s="1">
        <f>Table13[[#This Row],[Total_Cost_MUSD]]*Table13[[#This Row],[prob500-failure_rating5]]*1000000/500</f>
        <v>48.326807103866678</v>
      </c>
      <c r="II16" s="1">
        <f>Table13[[#This Row],[Total_Cost_MUSD]]*Table13[[#This Row],[prob500-failure_rating6]]*1000000/500</f>
        <v>26.629056975600001</v>
      </c>
      <c r="IJ16" s="1">
        <f>Table13[[#This Row],[Total_Cost_MUSD]]*Table13[[#This Row],[prob500-failure_rating7]]*1000000/500</f>
        <v>26.629056975600001</v>
      </c>
      <c r="IK16" s="1">
        <f>Table13[[#This Row],[Total_Cost_MUSD]]*Table13[[#This Row],[prob500-failure_rating8]]*1000000/500</f>
        <v>0.59175682167999999</v>
      </c>
      <c r="IL16" s="1">
        <f>Table13[[#This Row],[Total_Cost_MUSD]]*Table13[[#This Row],[prob500-failure_rating9]]*1000000/500</f>
        <v>0.36984801355000002</v>
      </c>
      <c r="IM16" s="1">
        <f>Table13[[#This Row],[Total_Cost_MUSD]]*Table13[[#This Row],[prob100-failure_rating1]]*1000000/100</f>
        <v>9246.2003387500008</v>
      </c>
      <c r="IN16" s="1">
        <f>Table13[[#This Row],[Total_Cost_MUSD]]*Table13[[#This Row],[prob100-failure_rating2]]*1000000/100</f>
        <v>4438.1761626000007</v>
      </c>
      <c r="IO16" s="1">
        <f>Table13[[#This Row],[Total_Cost_MUSD]]*Table13[[#This Row],[prob100-failure_rating3]]*1000000/100</f>
        <v>1849.2400677500002</v>
      </c>
      <c r="IP16" s="1">
        <f>Table13[[#This Row],[Total_Cost_MUSD]]*Table13[[#This Row],[prob100-failure_rating4]]*1000000/100</f>
        <v>369.84801354999996</v>
      </c>
      <c r="IQ16" s="1">
        <f>Table13[[#This Row],[Total_Cost_MUSD]]*Table13[[#This Row],[prob100-failure_rating5]]*1000000/100</f>
        <v>5.9175682168000003</v>
      </c>
      <c r="IR16" s="1">
        <f>Table13[[#This Row],[Total_Cost_MUSD]]*Table13[[#This Row],[prob100-failure_rating6]]*1000000/100</f>
        <v>184.92400677499998</v>
      </c>
      <c r="IS16" s="1">
        <f>Table13[[#This Row],[Total_Cost_MUSD]]*Table13[[#This Row],[prob100-failure_rating7]]*1000000/100</f>
        <v>184.92400677499998</v>
      </c>
      <c r="IT16" s="1">
        <f>Table13[[#This Row],[Total_Cost_MUSD]]*Table13[[#This Row],[prob100-failure_rating8]]*1000000/100</f>
        <v>3.6984801355000001</v>
      </c>
      <c r="IU16" s="1">
        <f>Table13[[#This Row],[Total_Cost_MUSD]]*Table13[[#This Row],[prob100-failure_rating9]]*1000000/100</f>
        <v>2.2190880813000002</v>
      </c>
      <c r="IV16" s="1">
        <f>Table13[[#This Row],[Total_Cost_MUSD]]*Table13[[#This Row],[prob50-failure_rating1]]*1000000/50</f>
        <v>14793.920542000002</v>
      </c>
      <c r="IW16" s="1">
        <f>Table13[[#This Row],[Total_Cost_MUSD]]*Table13[[#This Row],[prob50-failure_rating2]]*1000000/50</f>
        <v>8876.3523252000014</v>
      </c>
      <c r="IX16" s="1">
        <f>Table13[[#This Row],[Total_Cost_MUSD]]*Table13[[#This Row],[prob50-failure_rating3]]*1000000/50</f>
        <v>1923.2096704600001</v>
      </c>
      <c r="IY16" s="1">
        <f>Table13[[#This Row],[Total_Cost_MUSD]]*Table13[[#This Row],[prob50-failure_rating4]]*1000000/50</f>
        <v>739.69602709999992</v>
      </c>
      <c r="IZ16" s="1">
        <f>Table13[[#This Row],[Total_Cost_MUSD]]*Table13[[#This Row],[prob50-failure_rating5]]*1000000/50</f>
        <v>11.835136433600001</v>
      </c>
      <c r="JA16" s="1">
        <f>Table13[[#This Row],[Total_Cost_MUSD]]*Table13[[#This Row],[prob50-failure_rating6]]*1000000/50</f>
        <v>369.84801354999996</v>
      </c>
      <c r="JB16" s="1">
        <f>Table13[[#This Row],[Total_Cost_MUSD]]*Table13[[#This Row],[prob50-failure_rating7]]*1000000/50</f>
        <v>369.84801354999996</v>
      </c>
      <c r="JC16" s="1">
        <f>Table13[[#This Row],[Total_Cost_MUSD]]*Table13[[#This Row],[prob50-failure_rating8]]*1000000/50</f>
        <v>7.3969602710000002</v>
      </c>
      <c r="JD16" s="1">
        <f>Table13[[#This Row],[Total_Cost_MUSD]]*Table13[[#This Row],[prob50-failure_rating9]]*1000000/50</f>
        <v>4.4381761626000005</v>
      </c>
      <c r="JE16" s="1">
        <f>Table13[[#This Row],[Total_Cost_MUSD]]*Table13[[#This Row],[prob10-failure_rating1]]*1000000/10</f>
        <v>73969.602710000006</v>
      </c>
      <c r="JF16" s="1">
        <f>Table13[[#This Row],[Total_Cost_MUSD]]*Table13[[#This Row],[prob10-failure_rating2]]*1000000/10</f>
        <v>59175.682167999992</v>
      </c>
      <c r="JG16" s="1">
        <f>Table13[[#This Row],[Total_Cost_MUSD]]*Table13[[#This Row],[prob10-failure_rating3]]*1000000/10</f>
        <v>11835.136433600001</v>
      </c>
      <c r="JH16" s="1">
        <f>Table13[[#This Row],[Total_Cost_MUSD]]*Table13[[#This Row],[prob10-failure_rating4]]*1000000/10</f>
        <v>4438.1761625999998</v>
      </c>
      <c r="JI16" s="1">
        <f>Table13[[#This Row],[Total_Cost_MUSD]]*Table13[[#This Row],[prob10-failure_rating5]]*1000000/10</f>
        <v>295.87841084000002</v>
      </c>
      <c r="JJ16" s="1">
        <f>Table13[[#This Row],[Total_Cost_MUSD]]*Table13[[#This Row],[prob10-failure_rating6]]*1000000/10</f>
        <v>2958.7841084000002</v>
      </c>
      <c r="JK16" s="1">
        <f>Table13[[#This Row],[Total_Cost_MUSD]]*Table13[[#This Row],[prob10-failure_rating7]]*1000000/10</f>
        <v>2958.7841084000002</v>
      </c>
      <c r="JL16" s="1">
        <f>Table13[[#This Row],[Total_Cost_MUSD]]*Table13[[#This Row],[prob10-failure_rating8]]*1000000/10</f>
        <v>147.93920542000001</v>
      </c>
      <c r="JM16" s="1">
        <f>Table13[[#This Row],[Total_Cost_MUSD]]*Table13[[#This Row],[prob10-failure_rating9]]*1000000/10</f>
        <v>29.587841084000001</v>
      </c>
      <c r="JN16" s="1">
        <f>45</f>
        <v>45</v>
      </c>
      <c r="JO16" s="1">
        <v>40</v>
      </c>
      <c r="JP16" s="1">
        <v>35</v>
      </c>
      <c r="JQ16" s="1">
        <v>30</v>
      </c>
      <c r="JR16" s="1">
        <v>25</v>
      </c>
      <c r="JS16" s="1">
        <v>20</v>
      </c>
      <c r="JT16" s="1">
        <v>15</v>
      </c>
      <c r="JU16" s="1">
        <v>10</v>
      </c>
      <c r="JV16" s="1">
        <v>5</v>
      </c>
      <c r="JW16" s="1">
        <v>3</v>
      </c>
    </row>
    <row r="17" spans="1:283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Table13[[#This Row],[Depth10_Soil_vol]]*(9.353+9.027)+(Table13[[#This Row],[Depth10_Soil_vol]]/2.5)*20*1.053+(PI()*Table13[[#This Row],[Depth10_Scour]])*Table13[[#This Row],[DECK_WIDTH_MT_052]]*1.062</f>
        <v>0</v>
      </c>
      <c r="AR17" s="1">
        <f>Table13[[#This Row],[Depth50_Soil_vol]]*(9.353+9.027)+(Table13[[#This Row],[Depth50_Soil_vol]]/2.5)*20*1.053+(PI()*Table13[[#This Row],[Depth50_Scour]])*Table13[[#This Row],[DECK_WIDTH_MT_052]]*1.062</f>
        <v>73.925295948361111</v>
      </c>
      <c r="AS17" s="1">
        <f>Table13[[#This Row],[Depth100_Soil_vol]]*(9.353+9.027)+(Table13[[#This Row],[Depth100_Soil_vol]]/2.5)*20*1.053+(PI()*Table13[[#This Row],[Depth100_Scour]])*Table13[[#This Row],[DECK_WIDTH_MT_052]]*1.062</f>
        <v>101.29876563204503</v>
      </c>
      <c r="AT17" s="1">
        <f>Table13[[#This Row],[Depth500_Soil_vol]]*(9.353+9.027)+(Table13[[#This Row],[Depth500_Soil_vol]]/2.5)*20*1.053+(PI()*Table13[[#This Row],[Depth500_Scour]])*Table13[[#This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>
        <v>8.343465471</v>
      </c>
      <c r="GE17" s="1">
        <v>0</v>
      </c>
      <c r="GF17" s="1">
        <v>0</v>
      </c>
      <c r="GG17" s="1">
        <v>0</v>
      </c>
      <c r="GH17" s="1">
        <v>0</v>
      </c>
      <c r="GI17" s="1">
        <v>9</v>
      </c>
      <c r="GJ17" s="1">
        <v>6</v>
      </c>
      <c r="GK17" s="1">
        <f>5</f>
        <v>5</v>
      </c>
      <c r="GL17" s="1">
        <f>Table13[[#This Row],[cost_repair_rating1]]/2</f>
        <v>2.5</v>
      </c>
      <c r="GM17" s="1">
        <f>Table13[[#This Row],[cost_repair_rating2]]/2</f>
        <v>1.25</v>
      </c>
      <c r="GN17" s="1">
        <f>Table13[[#This Row],[cost_repair_rating3]]/2</f>
        <v>0.625</v>
      </c>
      <c r="GO17" s="1">
        <f>Table13[[#This Row],[cost_repair_rating4]]/2</f>
        <v>0.3125</v>
      </c>
      <c r="GP17" s="1">
        <f>Table13[[#This Row],[cost_repair_rating5]]/2</f>
        <v>0.15625</v>
      </c>
      <c r="GQ17" s="1">
        <v>0</v>
      </c>
      <c r="GR17" s="1">
        <v>0</v>
      </c>
      <c r="GS17" s="1">
        <v>0</v>
      </c>
      <c r="GT17" s="1">
        <f t="shared" si="0"/>
        <v>2.5000000000000001E-2</v>
      </c>
      <c r="GU17" s="1">
        <v>0.01</v>
      </c>
      <c r="GV17" s="1">
        <v>2.5000000000000001E-3</v>
      </c>
      <c r="GW17" s="1">
        <v>4.0000000000000002E-4</v>
      </c>
      <c r="GX17" s="1">
        <f>(2*Table13[[#This Row],[prob500-failure_rating4]]+Table13[[#This Row],[prob500-failure_rating6]])/3</f>
        <v>3.2666666666666667E-4</v>
      </c>
      <c r="GY17" s="1">
        <v>1.8000000000000001E-4</v>
      </c>
      <c r="GZ17" s="1">
        <v>1.8000000000000001E-4</v>
      </c>
      <c r="HA17" s="1">
        <v>3.9999999999999998E-6</v>
      </c>
      <c r="HB17" s="1">
        <v>2.5000000000000002E-6</v>
      </c>
      <c r="HC17" s="1">
        <f t="shared" si="1"/>
        <v>1.2500000000000001E-2</v>
      </c>
      <c r="HD17" s="1">
        <v>6.0000000000000001E-3</v>
      </c>
      <c r="HE17" s="1">
        <v>2.5000000000000001E-3</v>
      </c>
      <c r="HF17" s="1">
        <v>5.0000000000000001E-4</v>
      </c>
      <c r="HG17" s="1">
        <v>7.9999999999999996E-6</v>
      </c>
      <c r="HH17" s="1">
        <v>2.5000000000000001E-4</v>
      </c>
      <c r="HI17" s="1">
        <v>2.5000000000000001E-4</v>
      </c>
      <c r="HJ17" s="1">
        <v>5.0000000000000004E-6</v>
      </c>
      <c r="HK17" s="1">
        <v>3.0000000000000001E-6</v>
      </c>
      <c r="HL17" s="1">
        <v>0.01</v>
      </c>
      <c r="HM17" s="1">
        <v>6.0000000000000001E-3</v>
      </c>
      <c r="HN17" s="1">
        <v>1.2999999999999999E-3</v>
      </c>
      <c r="HO17" s="1">
        <v>5.0000000000000001E-4</v>
      </c>
      <c r="HP17" s="1">
        <v>7.9999999999999996E-6</v>
      </c>
      <c r="HQ17" s="1">
        <v>2.5000000000000001E-4</v>
      </c>
      <c r="HR17" s="1">
        <v>2.5000000000000001E-4</v>
      </c>
      <c r="HS17" s="1">
        <v>5.0000000000000004E-6</v>
      </c>
      <c r="HT17" s="1">
        <v>3.0000000000000001E-6</v>
      </c>
      <c r="HU17" s="1">
        <v>0.01</v>
      </c>
      <c r="HV17" s="1">
        <v>8.0000000000000002E-3</v>
      </c>
      <c r="HW17" s="1">
        <v>1.6000000000000001E-3</v>
      </c>
      <c r="HX17" s="1">
        <v>5.9999999999999995E-4</v>
      </c>
      <c r="HY17" s="1">
        <v>4.0000000000000003E-5</v>
      </c>
      <c r="HZ17" s="1">
        <v>4.0000000000000002E-4</v>
      </c>
      <c r="IA17" s="1">
        <v>4.0000000000000002E-4</v>
      </c>
      <c r="IB17" s="1">
        <v>2.0000000000000002E-5</v>
      </c>
      <c r="IC17" s="1">
        <v>3.9999999999999998E-6</v>
      </c>
      <c r="ID17" s="1">
        <f>Table13[[#This Row],[Total_Cost_MUSD]]*Table13[[#This Row],[prob500-failure_rating1]]*1000000/500</f>
        <v>417.17327354999998</v>
      </c>
      <c r="IE17" s="1">
        <f>Table13[[#This Row],[Total_Cost_MUSD]]*Table13[[#This Row],[prob500-failure_rating2]]*1000000/500</f>
        <v>166.86930942000001</v>
      </c>
      <c r="IF17" s="1">
        <f>Table13[[#This Row],[Total_Cost_MUSD]]*Table13[[#This Row],[prob500-failure_rating3]]*1000000/500</f>
        <v>41.717327355000002</v>
      </c>
      <c r="IG17" s="1">
        <f>Table13[[#This Row],[Total_Cost_MUSD]]*Table13[[#This Row],[prob500-failure_rating4]]*1000000/500</f>
        <v>6.6747723768000009</v>
      </c>
      <c r="IH17" s="1">
        <f>Table13[[#This Row],[Total_Cost_MUSD]]*Table13[[#This Row],[prob500-failure_rating5]]*1000000/500</f>
        <v>5.4510641077199997</v>
      </c>
      <c r="II17" s="1">
        <f>Table13[[#This Row],[Total_Cost_MUSD]]*Table13[[#This Row],[prob500-failure_rating6]]*1000000/500</f>
        <v>3.00364756956</v>
      </c>
      <c r="IJ17" s="1">
        <f>Table13[[#This Row],[Total_Cost_MUSD]]*Table13[[#This Row],[prob500-failure_rating7]]*1000000/500</f>
        <v>3.00364756956</v>
      </c>
      <c r="IK17" s="1">
        <f>Table13[[#This Row],[Total_Cost_MUSD]]*Table13[[#This Row],[prob500-failure_rating8]]*1000000/500</f>
        <v>6.6747723768000006E-2</v>
      </c>
      <c r="IL17" s="1">
        <f>Table13[[#This Row],[Total_Cost_MUSD]]*Table13[[#This Row],[prob500-failure_rating9]]*1000000/500</f>
        <v>4.1717327355E-2</v>
      </c>
      <c r="IM17" s="1">
        <f>Table13[[#This Row],[Total_Cost_MUSD]]*Table13[[#This Row],[prob100-failure_rating1]]*1000000/100</f>
        <v>1042.9331838749999</v>
      </c>
      <c r="IN17" s="1">
        <f>Table13[[#This Row],[Total_Cost_MUSD]]*Table13[[#This Row],[prob100-failure_rating2]]*1000000/100</f>
        <v>500.60792826000005</v>
      </c>
      <c r="IO17" s="1">
        <f>Table13[[#This Row],[Total_Cost_MUSD]]*Table13[[#This Row],[prob100-failure_rating3]]*1000000/100</f>
        <v>208.58663677500002</v>
      </c>
      <c r="IP17" s="1">
        <f>Table13[[#This Row],[Total_Cost_MUSD]]*Table13[[#This Row],[prob100-failure_rating4]]*1000000/100</f>
        <v>41.717327355000009</v>
      </c>
      <c r="IQ17" s="1">
        <f>Table13[[#This Row],[Total_Cost_MUSD]]*Table13[[#This Row],[prob100-failure_rating5]]*1000000/100</f>
        <v>0.66747723768</v>
      </c>
      <c r="IR17" s="1">
        <f>Table13[[#This Row],[Total_Cost_MUSD]]*Table13[[#This Row],[prob100-failure_rating6]]*1000000/100</f>
        <v>20.858663677500004</v>
      </c>
      <c r="IS17" s="1">
        <f>Table13[[#This Row],[Total_Cost_MUSD]]*Table13[[#This Row],[prob100-failure_rating7]]*1000000/100</f>
        <v>20.858663677500004</v>
      </c>
      <c r="IT17" s="1">
        <f>Table13[[#This Row],[Total_Cost_MUSD]]*Table13[[#This Row],[prob100-failure_rating8]]*1000000/100</f>
        <v>0.41717327355</v>
      </c>
      <c r="IU17" s="1">
        <f>Table13[[#This Row],[Total_Cost_MUSD]]*Table13[[#This Row],[prob100-failure_rating9]]*1000000/100</f>
        <v>0.25030396413</v>
      </c>
      <c r="IV17" s="1">
        <f>Table13[[#This Row],[Total_Cost_MUSD]]*Table13[[#This Row],[prob50-failure_rating1]]*1000000/50</f>
        <v>1668.6930942000001</v>
      </c>
      <c r="IW17" s="1">
        <f>Table13[[#This Row],[Total_Cost_MUSD]]*Table13[[#This Row],[prob50-failure_rating2]]*1000000/50</f>
        <v>1001.2158565200001</v>
      </c>
      <c r="IX17" s="1">
        <f>Table13[[#This Row],[Total_Cost_MUSD]]*Table13[[#This Row],[prob50-failure_rating3]]*1000000/50</f>
        <v>216.93010224599999</v>
      </c>
      <c r="IY17" s="1">
        <f>Table13[[#This Row],[Total_Cost_MUSD]]*Table13[[#This Row],[prob50-failure_rating4]]*1000000/50</f>
        <v>83.434654710000018</v>
      </c>
      <c r="IZ17" s="1">
        <f>Table13[[#This Row],[Total_Cost_MUSD]]*Table13[[#This Row],[prob50-failure_rating5]]*1000000/50</f>
        <v>1.33495447536</v>
      </c>
      <c r="JA17" s="1">
        <f>Table13[[#This Row],[Total_Cost_MUSD]]*Table13[[#This Row],[prob50-failure_rating6]]*1000000/50</f>
        <v>41.717327355000009</v>
      </c>
      <c r="JB17" s="1">
        <f>Table13[[#This Row],[Total_Cost_MUSD]]*Table13[[#This Row],[prob50-failure_rating7]]*1000000/50</f>
        <v>41.717327355000009</v>
      </c>
      <c r="JC17" s="1">
        <f>Table13[[#This Row],[Total_Cost_MUSD]]*Table13[[#This Row],[prob50-failure_rating8]]*1000000/50</f>
        <v>0.8343465471</v>
      </c>
      <c r="JD17" s="1">
        <f>Table13[[#This Row],[Total_Cost_MUSD]]*Table13[[#This Row],[prob50-failure_rating9]]*1000000/50</f>
        <v>0.50060792826</v>
      </c>
      <c r="JE17" s="1">
        <f>Table13[[#This Row],[Total_Cost_MUSD]]*Table13[[#This Row],[prob10-failure_rating1]]*1000000/10</f>
        <v>8343.4654709999995</v>
      </c>
      <c r="JF17" s="1">
        <f>Table13[[#This Row],[Total_Cost_MUSD]]*Table13[[#This Row],[prob10-failure_rating2]]*1000000/10</f>
        <v>6674.7723768000014</v>
      </c>
      <c r="JG17" s="1">
        <f>Table13[[#This Row],[Total_Cost_MUSD]]*Table13[[#This Row],[prob10-failure_rating3]]*1000000/10</f>
        <v>1334.9544753600001</v>
      </c>
      <c r="JH17" s="1">
        <f>Table13[[#This Row],[Total_Cost_MUSD]]*Table13[[#This Row],[prob10-failure_rating4]]*1000000/10</f>
        <v>500.60792825999999</v>
      </c>
      <c r="JI17" s="1">
        <f>Table13[[#This Row],[Total_Cost_MUSD]]*Table13[[#This Row],[prob10-failure_rating5]]*1000000/10</f>
        <v>33.373861884</v>
      </c>
      <c r="JJ17" s="1">
        <f>Table13[[#This Row],[Total_Cost_MUSD]]*Table13[[#This Row],[prob10-failure_rating6]]*1000000/10</f>
        <v>333.73861884000002</v>
      </c>
      <c r="JK17" s="1">
        <f>Table13[[#This Row],[Total_Cost_MUSD]]*Table13[[#This Row],[prob10-failure_rating7]]*1000000/10</f>
        <v>333.73861884000002</v>
      </c>
      <c r="JL17" s="1">
        <f>Table13[[#This Row],[Total_Cost_MUSD]]*Table13[[#This Row],[prob10-failure_rating8]]*1000000/10</f>
        <v>16.686930942</v>
      </c>
      <c r="JM17" s="1">
        <f>Table13[[#This Row],[Total_Cost_MUSD]]*Table13[[#This Row],[prob10-failure_rating9]]*1000000/10</f>
        <v>3.3373861884</v>
      </c>
      <c r="JN17" s="1">
        <f>45</f>
        <v>45</v>
      </c>
      <c r="JO17" s="1">
        <v>40</v>
      </c>
      <c r="JP17" s="1">
        <v>35</v>
      </c>
      <c r="JQ17" s="1">
        <v>30</v>
      </c>
      <c r="JR17" s="1">
        <v>25</v>
      </c>
      <c r="JS17" s="1">
        <v>20</v>
      </c>
      <c r="JT17" s="1">
        <v>15</v>
      </c>
      <c r="JU17" s="1">
        <v>10</v>
      </c>
      <c r="JV17" s="1">
        <v>5</v>
      </c>
      <c r="JW17" s="1">
        <v>3</v>
      </c>
    </row>
    <row r="18" spans="1:283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Table13[[#This Row],[Depth10_Soil_vol]]*(9.353+9.027)+(Table13[[#This Row],[Depth10_Soil_vol]]/2.5)*20*1.053+(PI()*Table13[[#This Row],[Depth10_Scour]])*Table13[[#This Row],[DECK_WIDTH_MT_052]]*1.062</f>
        <v>15354.595084739485</v>
      </c>
      <c r="AR18" s="1">
        <f>Table13[[#This Row],[Depth50_Soil_vol]]*(9.353+9.027)+(Table13[[#This Row],[Depth50_Soil_vol]]/2.5)*20*1.053+(PI()*Table13[[#This Row],[Depth50_Scour]])*Table13[[#This Row],[DECK_WIDTH_MT_052]]*1.062</f>
        <v>13414.428771618834</v>
      </c>
      <c r="AS18" s="1">
        <f>Table13[[#This Row],[Depth100_Soil_vol]]*(9.353+9.027)+(Table13[[#This Row],[Depth100_Soil_vol]]/2.5)*20*1.053+(PI()*Table13[[#This Row],[Depth100_Scour]])*Table13[[#This Row],[DECK_WIDTH_MT_052]]*1.062</f>
        <v>13976.739331979787</v>
      </c>
      <c r="AT18" s="1">
        <f>Table13[[#This Row],[Depth500_Soil_vol]]*(9.353+9.027)+(Table13[[#This Row],[Depth500_Soil_vol]]/2.5)*20*1.053+(PI()*Table13[[#This Row],[Depth500_Scour]])*Table13[[#This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>
        <v>2.8449664000000001</v>
      </c>
      <c r="GE18" s="1">
        <v>0</v>
      </c>
      <c r="GF18" s="1">
        <v>0</v>
      </c>
      <c r="GG18" s="1">
        <v>0</v>
      </c>
      <c r="GH18" s="1">
        <v>0</v>
      </c>
      <c r="GI18" s="1">
        <v>9</v>
      </c>
      <c r="GJ18" s="1">
        <v>6</v>
      </c>
      <c r="GK18" s="1">
        <f>5</f>
        <v>5</v>
      </c>
      <c r="GL18" s="1">
        <f>Table13[[#This Row],[cost_repair_rating1]]/2</f>
        <v>2.5</v>
      </c>
      <c r="GM18" s="1">
        <f>Table13[[#This Row],[cost_repair_rating2]]/2</f>
        <v>1.25</v>
      </c>
      <c r="GN18" s="1">
        <f>Table13[[#This Row],[cost_repair_rating3]]/2</f>
        <v>0.625</v>
      </c>
      <c r="GO18" s="1">
        <f>Table13[[#This Row],[cost_repair_rating4]]/2</f>
        <v>0.3125</v>
      </c>
      <c r="GP18" s="1">
        <f>Table13[[#This Row],[cost_repair_rating5]]/2</f>
        <v>0.15625</v>
      </c>
      <c r="GQ18" s="1">
        <v>0</v>
      </c>
      <c r="GR18" s="1">
        <v>0</v>
      </c>
      <c r="GS18" s="1">
        <v>0</v>
      </c>
      <c r="GT18" s="1">
        <f t="shared" si="0"/>
        <v>2.5000000000000001E-2</v>
      </c>
      <c r="GU18" s="1">
        <v>0.01</v>
      </c>
      <c r="GV18" s="1">
        <v>2.5000000000000001E-3</v>
      </c>
      <c r="GW18" s="1">
        <v>4.0000000000000002E-4</v>
      </c>
      <c r="GX18" s="1">
        <f>(2*Table13[[#This Row],[prob500-failure_rating4]]+Table13[[#This Row],[prob500-failure_rating6]])/3</f>
        <v>3.2666666666666667E-4</v>
      </c>
      <c r="GY18" s="1">
        <v>1.8000000000000001E-4</v>
      </c>
      <c r="GZ18" s="1">
        <v>1.8000000000000001E-4</v>
      </c>
      <c r="HA18" s="1">
        <v>3.9999999999999998E-6</v>
      </c>
      <c r="HB18" s="1">
        <v>2.5000000000000002E-6</v>
      </c>
      <c r="HC18" s="1">
        <f t="shared" si="1"/>
        <v>1.2500000000000001E-2</v>
      </c>
      <c r="HD18" s="1">
        <v>6.0000000000000001E-3</v>
      </c>
      <c r="HE18" s="1">
        <v>2.5000000000000001E-3</v>
      </c>
      <c r="HF18" s="1">
        <v>5.0000000000000001E-4</v>
      </c>
      <c r="HG18" s="1">
        <v>7.9999999999999996E-6</v>
      </c>
      <c r="HH18" s="1">
        <v>2.5000000000000001E-4</v>
      </c>
      <c r="HI18" s="1">
        <v>2.5000000000000001E-4</v>
      </c>
      <c r="HJ18" s="1">
        <v>5.0000000000000004E-6</v>
      </c>
      <c r="HK18" s="1">
        <v>3.0000000000000001E-6</v>
      </c>
      <c r="HL18" s="1">
        <v>0.01</v>
      </c>
      <c r="HM18" s="1">
        <v>6.0000000000000001E-3</v>
      </c>
      <c r="HN18" s="1">
        <v>1.2999999999999999E-3</v>
      </c>
      <c r="HO18" s="1">
        <v>5.0000000000000001E-4</v>
      </c>
      <c r="HP18" s="1">
        <v>7.9999999999999996E-6</v>
      </c>
      <c r="HQ18" s="1">
        <v>2.5000000000000001E-4</v>
      </c>
      <c r="HR18" s="1">
        <v>2.5000000000000001E-4</v>
      </c>
      <c r="HS18" s="1">
        <v>5.0000000000000004E-6</v>
      </c>
      <c r="HT18" s="1">
        <v>3.0000000000000001E-6</v>
      </c>
      <c r="HU18" s="1">
        <v>0.01</v>
      </c>
      <c r="HV18" s="1">
        <v>8.0000000000000002E-3</v>
      </c>
      <c r="HW18" s="1">
        <v>1.6000000000000001E-3</v>
      </c>
      <c r="HX18" s="1">
        <v>5.9999999999999995E-4</v>
      </c>
      <c r="HY18" s="1">
        <v>4.0000000000000003E-5</v>
      </c>
      <c r="HZ18" s="1">
        <v>4.0000000000000002E-4</v>
      </c>
      <c r="IA18" s="1">
        <v>4.0000000000000002E-4</v>
      </c>
      <c r="IB18" s="1">
        <v>2.0000000000000002E-5</v>
      </c>
      <c r="IC18" s="1">
        <v>3.9999999999999998E-6</v>
      </c>
      <c r="ID18" s="1">
        <f>Table13[[#This Row],[Total_Cost_MUSD]]*Table13[[#This Row],[prob500-failure_rating1]]*1000000/500</f>
        <v>142.24832000000001</v>
      </c>
      <c r="IE18" s="1">
        <f>Table13[[#This Row],[Total_Cost_MUSD]]*Table13[[#This Row],[prob500-failure_rating2]]*1000000/500</f>
        <v>56.899328000000011</v>
      </c>
      <c r="IF18" s="1">
        <f>Table13[[#This Row],[Total_Cost_MUSD]]*Table13[[#This Row],[prob500-failure_rating3]]*1000000/500</f>
        <v>14.224832000000003</v>
      </c>
      <c r="IG18" s="1">
        <f>Table13[[#This Row],[Total_Cost_MUSD]]*Table13[[#This Row],[prob500-failure_rating4]]*1000000/500</f>
        <v>2.2759731200000002</v>
      </c>
      <c r="IH18" s="1">
        <f>Table13[[#This Row],[Total_Cost_MUSD]]*Table13[[#This Row],[prob500-failure_rating5]]*1000000/500</f>
        <v>1.8587113813333336</v>
      </c>
      <c r="II18" s="1">
        <f>Table13[[#This Row],[Total_Cost_MUSD]]*Table13[[#This Row],[prob500-failure_rating6]]*1000000/500</f>
        <v>1.0241879040000001</v>
      </c>
      <c r="IJ18" s="1">
        <f>Table13[[#This Row],[Total_Cost_MUSD]]*Table13[[#This Row],[prob500-failure_rating7]]*1000000/500</f>
        <v>1.0241879040000001</v>
      </c>
      <c r="IK18" s="1">
        <f>Table13[[#This Row],[Total_Cost_MUSD]]*Table13[[#This Row],[prob500-failure_rating8]]*1000000/500</f>
        <v>2.2759731200000001E-2</v>
      </c>
      <c r="IL18" s="1">
        <f>Table13[[#This Row],[Total_Cost_MUSD]]*Table13[[#This Row],[prob500-failure_rating9]]*1000000/500</f>
        <v>1.4224832000000003E-2</v>
      </c>
      <c r="IM18" s="1">
        <f>Table13[[#This Row],[Total_Cost_MUSD]]*Table13[[#This Row],[prob100-failure_rating1]]*1000000/100</f>
        <v>355.62080000000003</v>
      </c>
      <c r="IN18" s="1">
        <f>Table13[[#This Row],[Total_Cost_MUSD]]*Table13[[#This Row],[prob100-failure_rating2]]*1000000/100</f>
        <v>170.69798400000002</v>
      </c>
      <c r="IO18" s="1">
        <f>Table13[[#This Row],[Total_Cost_MUSD]]*Table13[[#This Row],[prob100-failure_rating3]]*1000000/100</f>
        <v>71.124160000000018</v>
      </c>
      <c r="IP18" s="1">
        <f>Table13[[#This Row],[Total_Cost_MUSD]]*Table13[[#This Row],[prob100-failure_rating4]]*1000000/100</f>
        <v>14.224832000000001</v>
      </c>
      <c r="IQ18" s="1">
        <f>Table13[[#This Row],[Total_Cost_MUSD]]*Table13[[#This Row],[prob100-failure_rating5]]*1000000/100</f>
        <v>0.227597312</v>
      </c>
      <c r="IR18" s="1">
        <f>Table13[[#This Row],[Total_Cost_MUSD]]*Table13[[#This Row],[prob100-failure_rating6]]*1000000/100</f>
        <v>7.1124160000000005</v>
      </c>
      <c r="IS18" s="1">
        <f>Table13[[#This Row],[Total_Cost_MUSD]]*Table13[[#This Row],[prob100-failure_rating7]]*1000000/100</f>
        <v>7.1124160000000005</v>
      </c>
      <c r="IT18" s="1">
        <f>Table13[[#This Row],[Total_Cost_MUSD]]*Table13[[#This Row],[prob100-failure_rating8]]*1000000/100</f>
        <v>0.14224832000000004</v>
      </c>
      <c r="IU18" s="1">
        <f>Table13[[#This Row],[Total_Cost_MUSD]]*Table13[[#This Row],[prob100-failure_rating9]]*1000000/100</f>
        <v>8.5348991999999999E-2</v>
      </c>
      <c r="IV18" s="1">
        <f>Table13[[#This Row],[Total_Cost_MUSD]]*Table13[[#This Row],[prob50-failure_rating1]]*1000000/50</f>
        <v>568.99328000000014</v>
      </c>
      <c r="IW18" s="1">
        <f>Table13[[#This Row],[Total_Cost_MUSD]]*Table13[[#This Row],[prob50-failure_rating2]]*1000000/50</f>
        <v>341.39596800000004</v>
      </c>
      <c r="IX18" s="1">
        <f>Table13[[#This Row],[Total_Cost_MUSD]]*Table13[[#This Row],[prob50-failure_rating3]]*1000000/50</f>
        <v>73.969126400000007</v>
      </c>
      <c r="IY18" s="1">
        <f>Table13[[#This Row],[Total_Cost_MUSD]]*Table13[[#This Row],[prob50-failure_rating4]]*1000000/50</f>
        <v>28.449664000000002</v>
      </c>
      <c r="IZ18" s="1">
        <f>Table13[[#This Row],[Total_Cost_MUSD]]*Table13[[#This Row],[prob50-failure_rating5]]*1000000/50</f>
        <v>0.45519462399999999</v>
      </c>
      <c r="JA18" s="1">
        <f>Table13[[#This Row],[Total_Cost_MUSD]]*Table13[[#This Row],[prob50-failure_rating6]]*1000000/50</f>
        <v>14.224832000000001</v>
      </c>
      <c r="JB18" s="1">
        <f>Table13[[#This Row],[Total_Cost_MUSD]]*Table13[[#This Row],[prob50-failure_rating7]]*1000000/50</f>
        <v>14.224832000000001</v>
      </c>
      <c r="JC18" s="1">
        <f>Table13[[#This Row],[Total_Cost_MUSD]]*Table13[[#This Row],[prob50-failure_rating8]]*1000000/50</f>
        <v>0.28449664000000008</v>
      </c>
      <c r="JD18" s="1">
        <f>Table13[[#This Row],[Total_Cost_MUSD]]*Table13[[#This Row],[prob50-failure_rating9]]*1000000/50</f>
        <v>0.170697984</v>
      </c>
      <c r="JE18" s="1">
        <f>Table13[[#This Row],[Total_Cost_MUSD]]*Table13[[#This Row],[prob10-failure_rating1]]*1000000/10</f>
        <v>2844.9664000000002</v>
      </c>
      <c r="JF18" s="1">
        <f>Table13[[#This Row],[Total_Cost_MUSD]]*Table13[[#This Row],[prob10-failure_rating2]]*1000000/10</f>
        <v>2275.9731200000001</v>
      </c>
      <c r="JG18" s="1">
        <f>Table13[[#This Row],[Total_Cost_MUSD]]*Table13[[#This Row],[prob10-failure_rating3]]*1000000/10</f>
        <v>455.19462400000003</v>
      </c>
      <c r="JH18" s="1">
        <f>Table13[[#This Row],[Total_Cost_MUSD]]*Table13[[#This Row],[prob10-failure_rating4]]*1000000/10</f>
        <v>170.69798399999999</v>
      </c>
      <c r="JI18" s="1">
        <f>Table13[[#This Row],[Total_Cost_MUSD]]*Table13[[#This Row],[prob10-failure_rating5]]*1000000/10</f>
        <v>11.379865600000002</v>
      </c>
      <c r="JJ18" s="1">
        <f>Table13[[#This Row],[Total_Cost_MUSD]]*Table13[[#This Row],[prob10-failure_rating6]]*1000000/10</f>
        <v>113.79865600000001</v>
      </c>
      <c r="JK18" s="1">
        <f>Table13[[#This Row],[Total_Cost_MUSD]]*Table13[[#This Row],[prob10-failure_rating7]]*1000000/10</f>
        <v>113.79865600000001</v>
      </c>
      <c r="JL18" s="1">
        <f>Table13[[#This Row],[Total_Cost_MUSD]]*Table13[[#This Row],[prob10-failure_rating8]]*1000000/10</f>
        <v>5.6899328000000011</v>
      </c>
      <c r="JM18" s="1">
        <f>Table13[[#This Row],[Total_Cost_MUSD]]*Table13[[#This Row],[prob10-failure_rating9]]*1000000/10</f>
        <v>1.1379865600000001</v>
      </c>
      <c r="JN18" s="1">
        <f>45</f>
        <v>45</v>
      </c>
      <c r="JO18" s="1">
        <v>40</v>
      </c>
      <c r="JP18" s="1">
        <v>35</v>
      </c>
      <c r="JQ18" s="1">
        <v>30</v>
      </c>
      <c r="JR18" s="1">
        <v>25</v>
      </c>
      <c r="JS18" s="1">
        <v>20</v>
      </c>
      <c r="JT18" s="1">
        <v>15</v>
      </c>
      <c r="JU18" s="1">
        <v>10</v>
      </c>
      <c r="JV18" s="1">
        <v>5</v>
      </c>
      <c r="JW18" s="1">
        <v>3</v>
      </c>
    </row>
    <row r="19" spans="1:283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Table13[[#This Row],[Depth10_Soil_vol]]*(9.353+9.027)+(Table13[[#This Row],[Depth10_Soil_vol]]/2.5)*20*1.053+(PI()*Table13[[#This Row],[Depth10_Scour]])*Table13[[#This Row],[DECK_WIDTH_MT_052]]*1.062</f>
        <v>10223.699035708925</v>
      </c>
      <c r="AR19" s="1">
        <f>Table13[[#This Row],[Depth50_Soil_vol]]*(9.353+9.027)+(Table13[[#This Row],[Depth50_Soil_vol]]/2.5)*20*1.053+(PI()*Table13[[#This Row],[Depth50_Scour]])*Table13[[#This Row],[DECK_WIDTH_MT_052]]*1.062</f>
        <v>11295.880242844603</v>
      </c>
      <c r="AS19" s="1">
        <f>Table13[[#This Row],[Depth100_Soil_vol]]*(9.353+9.027)+(Table13[[#This Row],[Depth100_Soil_vol]]/2.5)*20*1.053+(PI()*Table13[[#This Row],[Depth100_Scour]])*Table13[[#This Row],[DECK_WIDTH_MT_052]]*1.062</f>
        <v>11757.366155411924</v>
      </c>
      <c r="AT19" s="1">
        <f>Table13[[#This Row],[Depth500_Soil_vol]]*(9.353+9.027)+(Table13[[#This Row],[Depth500_Soil_vol]]/2.5)*20*1.053+(PI()*Table13[[#This Row],[Depth500_Scour]])*Table13[[#This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>
        <v>29.559959710000001</v>
      </c>
      <c r="GE19" s="1">
        <v>0</v>
      </c>
      <c r="GF19" s="1">
        <v>0.25</v>
      </c>
      <c r="GG19" s="1">
        <v>0.5</v>
      </c>
      <c r="GH19" s="1">
        <v>0.75</v>
      </c>
      <c r="GI19" s="1">
        <v>9</v>
      </c>
      <c r="GJ19" s="1">
        <v>6</v>
      </c>
      <c r="GK19" s="1">
        <f>5</f>
        <v>5</v>
      </c>
      <c r="GL19" s="1">
        <f>Table13[[#This Row],[cost_repair_rating1]]/2</f>
        <v>2.5</v>
      </c>
      <c r="GM19" s="1">
        <f>Table13[[#This Row],[cost_repair_rating2]]/2</f>
        <v>1.25</v>
      </c>
      <c r="GN19" s="1">
        <f>Table13[[#This Row],[cost_repair_rating3]]/2</f>
        <v>0.625</v>
      </c>
      <c r="GO19" s="1">
        <f>Table13[[#This Row],[cost_repair_rating4]]/2</f>
        <v>0.3125</v>
      </c>
      <c r="GP19" s="1">
        <f>Table13[[#This Row],[cost_repair_rating5]]/2</f>
        <v>0.15625</v>
      </c>
      <c r="GQ19" s="1">
        <v>0</v>
      </c>
      <c r="GR19" s="1">
        <v>0</v>
      </c>
      <c r="GS19" s="1">
        <v>0</v>
      </c>
      <c r="GT19" s="1">
        <f t="shared" si="0"/>
        <v>2.5000000000000001E-2</v>
      </c>
      <c r="GU19" s="1">
        <v>0.01</v>
      </c>
      <c r="GV19" s="1">
        <v>2.5000000000000001E-3</v>
      </c>
      <c r="GW19" s="1">
        <v>4.0000000000000002E-4</v>
      </c>
      <c r="GX19" s="1">
        <f>(2*Table13[[#This Row],[prob500-failure_rating4]]+Table13[[#This Row],[prob500-failure_rating6]])/3</f>
        <v>3.2666666666666667E-4</v>
      </c>
      <c r="GY19" s="1">
        <v>1.8000000000000001E-4</v>
      </c>
      <c r="GZ19" s="1">
        <v>1.8000000000000001E-4</v>
      </c>
      <c r="HA19" s="1">
        <v>3.9999999999999998E-6</v>
      </c>
      <c r="HB19" s="1">
        <v>2.5000000000000002E-6</v>
      </c>
      <c r="HC19" s="1">
        <f t="shared" si="1"/>
        <v>1.2500000000000001E-2</v>
      </c>
      <c r="HD19" s="1">
        <v>6.0000000000000001E-3</v>
      </c>
      <c r="HE19" s="1">
        <v>2.5000000000000001E-3</v>
      </c>
      <c r="HF19" s="1">
        <v>5.0000000000000001E-4</v>
      </c>
      <c r="HG19" s="1">
        <v>7.9999999999999996E-6</v>
      </c>
      <c r="HH19" s="1">
        <v>2.5000000000000001E-4</v>
      </c>
      <c r="HI19" s="1">
        <v>2.5000000000000001E-4</v>
      </c>
      <c r="HJ19" s="1">
        <v>5.0000000000000004E-6</v>
      </c>
      <c r="HK19" s="1">
        <v>3.0000000000000001E-6</v>
      </c>
      <c r="HL19" s="1">
        <v>0.01</v>
      </c>
      <c r="HM19" s="1">
        <v>6.0000000000000001E-3</v>
      </c>
      <c r="HN19" s="1">
        <v>1.2999999999999999E-3</v>
      </c>
      <c r="HO19" s="1">
        <v>5.0000000000000001E-4</v>
      </c>
      <c r="HP19" s="1">
        <v>7.9999999999999996E-6</v>
      </c>
      <c r="HQ19" s="1">
        <v>2.5000000000000001E-4</v>
      </c>
      <c r="HR19" s="1">
        <v>2.5000000000000001E-4</v>
      </c>
      <c r="HS19" s="1">
        <v>5.0000000000000004E-6</v>
      </c>
      <c r="HT19" s="1">
        <v>3.0000000000000001E-6</v>
      </c>
      <c r="HU19" s="1">
        <v>0.01</v>
      </c>
      <c r="HV19" s="1">
        <v>8.0000000000000002E-3</v>
      </c>
      <c r="HW19" s="1">
        <v>1.6000000000000001E-3</v>
      </c>
      <c r="HX19" s="1">
        <v>5.9999999999999995E-4</v>
      </c>
      <c r="HY19" s="1">
        <v>4.0000000000000003E-5</v>
      </c>
      <c r="HZ19" s="1">
        <v>4.0000000000000002E-4</v>
      </c>
      <c r="IA19" s="1">
        <v>4.0000000000000002E-4</v>
      </c>
      <c r="IB19" s="1">
        <v>2.0000000000000002E-5</v>
      </c>
      <c r="IC19" s="1">
        <v>3.9999999999999998E-6</v>
      </c>
      <c r="ID19" s="1">
        <f>Table13[[#This Row],[Total_Cost_MUSD]]*Table13[[#This Row],[prob500-failure_rating1]]*1000000/500</f>
        <v>1477.9979854999999</v>
      </c>
      <c r="IE19" s="1">
        <f>Table13[[#This Row],[Total_Cost_MUSD]]*Table13[[#This Row],[prob500-failure_rating2]]*1000000/500</f>
        <v>591.19919420000008</v>
      </c>
      <c r="IF19" s="1">
        <f>Table13[[#This Row],[Total_Cost_MUSD]]*Table13[[#This Row],[prob500-failure_rating3]]*1000000/500</f>
        <v>147.79979855000002</v>
      </c>
      <c r="IG19" s="1">
        <f>Table13[[#This Row],[Total_Cost_MUSD]]*Table13[[#This Row],[prob500-failure_rating4]]*1000000/500</f>
        <v>23.647967768000001</v>
      </c>
      <c r="IH19" s="1">
        <f>Table13[[#This Row],[Total_Cost_MUSD]]*Table13[[#This Row],[prob500-failure_rating5]]*1000000/500</f>
        <v>19.312507010533331</v>
      </c>
      <c r="II19" s="1">
        <f>Table13[[#This Row],[Total_Cost_MUSD]]*Table13[[#This Row],[prob500-failure_rating6]]*1000000/500</f>
        <v>10.641585495600001</v>
      </c>
      <c r="IJ19" s="1">
        <f>Table13[[#This Row],[Total_Cost_MUSD]]*Table13[[#This Row],[prob500-failure_rating7]]*1000000/500</f>
        <v>10.641585495600001</v>
      </c>
      <c r="IK19" s="1">
        <f>Table13[[#This Row],[Total_Cost_MUSD]]*Table13[[#This Row],[prob500-failure_rating8]]*1000000/500</f>
        <v>0.23647967768</v>
      </c>
      <c r="IL19" s="1">
        <f>Table13[[#This Row],[Total_Cost_MUSD]]*Table13[[#This Row],[prob500-failure_rating9]]*1000000/500</f>
        <v>0.14779979855000003</v>
      </c>
      <c r="IM19" s="1">
        <f>Table13[[#This Row],[Total_Cost_MUSD]]*Table13[[#This Row],[prob100-failure_rating1]]*1000000/100</f>
        <v>3694.9949637499999</v>
      </c>
      <c r="IN19" s="1">
        <f>Table13[[#This Row],[Total_Cost_MUSD]]*Table13[[#This Row],[prob100-failure_rating2]]*1000000/100</f>
        <v>1773.5975826000001</v>
      </c>
      <c r="IO19" s="1">
        <f>Table13[[#This Row],[Total_Cost_MUSD]]*Table13[[#This Row],[prob100-failure_rating3]]*1000000/100</f>
        <v>738.99899275000007</v>
      </c>
      <c r="IP19" s="1">
        <f>Table13[[#This Row],[Total_Cost_MUSD]]*Table13[[#This Row],[prob100-failure_rating4]]*1000000/100</f>
        <v>147.79979854999999</v>
      </c>
      <c r="IQ19" s="1">
        <f>Table13[[#This Row],[Total_Cost_MUSD]]*Table13[[#This Row],[prob100-failure_rating5]]*1000000/100</f>
        <v>2.3647967768</v>
      </c>
      <c r="IR19" s="1">
        <f>Table13[[#This Row],[Total_Cost_MUSD]]*Table13[[#This Row],[prob100-failure_rating6]]*1000000/100</f>
        <v>73.899899274999996</v>
      </c>
      <c r="IS19" s="1">
        <f>Table13[[#This Row],[Total_Cost_MUSD]]*Table13[[#This Row],[prob100-failure_rating7]]*1000000/100</f>
        <v>73.899899274999996</v>
      </c>
      <c r="IT19" s="1">
        <f>Table13[[#This Row],[Total_Cost_MUSD]]*Table13[[#This Row],[prob100-failure_rating8]]*1000000/100</f>
        <v>1.4779979855000003</v>
      </c>
      <c r="IU19" s="1">
        <f>Table13[[#This Row],[Total_Cost_MUSD]]*Table13[[#This Row],[prob100-failure_rating9]]*1000000/100</f>
        <v>0.88679879130000006</v>
      </c>
      <c r="IV19" s="1">
        <f>Table13[[#This Row],[Total_Cost_MUSD]]*Table13[[#This Row],[prob50-failure_rating1]]*1000000/50</f>
        <v>5911.9919420000006</v>
      </c>
      <c r="IW19" s="1">
        <f>Table13[[#This Row],[Total_Cost_MUSD]]*Table13[[#This Row],[prob50-failure_rating2]]*1000000/50</f>
        <v>3547.1951652000002</v>
      </c>
      <c r="IX19" s="1">
        <f>Table13[[#This Row],[Total_Cost_MUSD]]*Table13[[#This Row],[prob50-failure_rating3]]*1000000/50</f>
        <v>768.55895246</v>
      </c>
      <c r="IY19" s="1">
        <f>Table13[[#This Row],[Total_Cost_MUSD]]*Table13[[#This Row],[prob50-failure_rating4]]*1000000/50</f>
        <v>295.59959709999998</v>
      </c>
      <c r="IZ19" s="1">
        <f>Table13[[#This Row],[Total_Cost_MUSD]]*Table13[[#This Row],[prob50-failure_rating5]]*1000000/50</f>
        <v>4.7295935536</v>
      </c>
      <c r="JA19" s="1">
        <f>Table13[[#This Row],[Total_Cost_MUSD]]*Table13[[#This Row],[prob50-failure_rating6]]*1000000/50</f>
        <v>147.79979854999999</v>
      </c>
      <c r="JB19" s="1">
        <f>Table13[[#This Row],[Total_Cost_MUSD]]*Table13[[#This Row],[prob50-failure_rating7]]*1000000/50</f>
        <v>147.79979854999999</v>
      </c>
      <c r="JC19" s="1">
        <f>Table13[[#This Row],[Total_Cost_MUSD]]*Table13[[#This Row],[prob50-failure_rating8]]*1000000/50</f>
        <v>2.9559959710000006</v>
      </c>
      <c r="JD19" s="1">
        <f>Table13[[#This Row],[Total_Cost_MUSD]]*Table13[[#This Row],[prob50-failure_rating9]]*1000000/50</f>
        <v>1.7735975826000001</v>
      </c>
      <c r="JE19" s="1">
        <f>Table13[[#This Row],[Total_Cost_MUSD]]*Table13[[#This Row],[prob10-failure_rating1]]*1000000/10</f>
        <v>29559.959710000003</v>
      </c>
      <c r="JF19" s="1">
        <f>Table13[[#This Row],[Total_Cost_MUSD]]*Table13[[#This Row],[prob10-failure_rating2]]*1000000/10</f>
        <v>23647.967767999999</v>
      </c>
      <c r="JG19" s="1">
        <f>Table13[[#This Row],[Total_Cost_MUSD]]*Table13[[#This Row],[prob10-failure_rating3]]*1000000/10</f>
        <v>4729.5935536000006</v>
      </c>
      <c r="JH19" s="1">
        <f>Table13[[#This Row],[Total_Cost_MUSD]]*Table13[[#This Row],[prob10-failure_rating4]]*1000000/10</f>
        <v>1773.5975825999999</v>
      </c>
      <c r="JI19" s="1">
        <f>Table13[[#This Row],[Total_Cost_MUSD]]*Table13[[#This Row],[prob10-failure_rating5]]*1000000/10</f>
        <v>118.23983884000002</v>
      </c>
      <c r="JJ19" s="1">
        <f>Table13[[#This Row],[Total_Cost_MUSD]]*Table13[[#This Row],[prob10-failure_rating6]]*1000000/10</f>
        <v>1182.3983884000002</v>
      </c>
      <c r="JK19" s="1">
        <f>Table13[[#This Row],[Total_Cost_MUSD]]*Table13[[#This Row],[prob10-failure_rating7]]*1000000/10</f>
        <v>1182.3983884000002</v>
      </c>
      <c r="JL19" s="1">
        <f>Table13[[#This Row],[Total_Cost_MUSD]]*Table13[[#This Row],[prob10-failure_rating8]]*1000000/10</f>
        <v>59.119919420000009</v>
      </c>
      <c r="JM19" s="1">
        <f>Table13[[#This Row],[Total_Cost_MUSD]]*Table13[[#This Row],[prob10-failure_rating9]]*1000000/10</f>
        <v>11.823983884</v>
      </c>
      <c r="JN19" s="1">
        <f>45</f>
        <v>45</v>
      </c>
      <c r="JO19" s="1">
        <v>40</v>
      </c>
      <c r="JP19" s="1">
        <v>35</v>
      </c>
      <c r="JQ19" s="1">
        <v>30</v>
      </c>
      <c r="JR19" s="1">
        <v>25</v>
      </c>
      <c r="JS19" s="1">
        <v>20</v>
      </c>
      <c r="JT19" s="1">
        <v>15</v>
      </c>
      <c r="JU19" s="1">
        <v>10</v>
      </c>
      <c r="JV19" s="1">
        <v>5</v>
      </c>
      <c r="JW19" s="1">
        <v>3</v>
      </c>
    </row>
    <row r="20" spans="1:283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Table13[[#This Row],[Depth10_Soil_vol]]*(9.353+9.027)+(Table13[[#This Row],[Depth10_Soil_vol]]/2.5)*20*1.053+(PI()*Table13[[#This Row],[Depth10_Scour]])*Table13[[#This Row],[DECK_WIDTH_MT_052]]*1.062</f>
        <v>13853.451944603266</v>
      </c>
      <c r="AR20" s="1">
        <f>Table13[[#This Row],[Depth50_Soil_vol]]*(9.353+9.027)+(Table13[[#This Row],[Depth50_Soil_vol]]/2.5)*20*1.053+(PI()*Table13[[#This Row],[Depth50_Scour]])*Table13[[#This Row],[DECK_WIDTH_MT_052]]*1.062</f>
        <v>14885.488907843239</v>
      </c>
      <c r="AS20" s="1">
        <f>Table13[[#This Row],[Depth100_Soil_vol]]*(9.353+9.027)+(Table13[[#This Row],[Depth100_Soil_vol]]/2.5)*20*1.053+(PI()*Table13[[#This Row],[Depth100_Scour]])*Table13[[#This Row],[DECK_WIDTH_MT_052]]*1.062</f>
        <v>15342.083437730904</v>
      </c>
      <c r="AT20" s="1">
        <f>Table13[[#This Row],[Depth500_Soil_vol]]*(9.353+9.027)+(Table13[[#This Row],[Depth500_Soil_vol]]/2.5)*20*1.053+(PI()*Table13[[#This Row],[Depth500_Scour]])*Table13[[#This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>
        <v>38.312809770000001</v>
      </c>
      <c r="GE20" s="1">
        <v>0</v>
      </c>
      <c r="GF20" s="1">
        <v>0</v>
      </c>
      <c r="GG20" s="1">
        <v>0</v>
      </c>
      <c r="GH20" s="1">
        <v>0</v>
      </c>
      <c r="GI20" s="1">
        <v>7</v>
      </c>
      <c r="GJ20" s="1">
        <v>6</v>
      </c>
      <c r="GK20" s="1">
        <f>5</f>
        <v>5</v>
      </c>
      <c r="GL20" s="1">
        <f>Table13[[#This Row],[cost_repair_rating1]]/2</f>
        <v>2.5</v>
      </c>
      <c r="GM20" s="1">
        <f>Table13[[#This Row],[cost_repair_rating2]]/2</f>
        <v>1.25</v>
      </c>
      <c r="GN20" s="1">
        <f>Table13[[#This Row],[cost_repair_rating3]]/2</f>
        <v>0.625</v>
      </c>
      <c r="GO20" s="1">
        <f>Table13[[#This Row],[cost_repair_rating4]]/2</f>
        <v>0.3125</v>
      </c>
      <c r="GP20" s="1">
        <f>Table13[[#This Row],[cost_repair_rating5]]/2</f>
        <v>0.15625</v>
      </c>
      <c r="GQ20" s="1">
        <v>0</v>
      </c>
      <c r="GR20" s="1">
        <v>0</v>
      </c>
      <c r="GS20" s="1">
        <v>0</v>
      </c>
      <c r="GT20" s="1">
        <f t="shared" si="0"/>
        <v>2.5000000000000001E-2</v>
      </c>
      <c r="GU20" s="1">
        <v>0.01</v>
      </c>
      <c r="GV20" s="1">
        <v>2.5000000000000001E-3</v>
      </c>
      <c r="GW20" s="1">
        <v>4.0000000000000002E-4</v>
      </c>
      <c r="GX20" s="1">
        <f>(2*Table13[[#This Row],[prob500-failure_rating4]]+Table13[[#This Row],[prob500-failure_rating6]])/3</f>
        <v>3.2666666666666667E-4</v>
      </c>
      <c r="GY20" s="1">
        <v>1.8000000000000001E-4</v>
      </c>
      <c r="GZ20" s="1">
        <v>1.8000000000000001E-4</v>
      </c>
      <c r="HA20" s="1">
        <v>3.9999999999999998E-6</v>
      </c>
      <c r="HB20" s="1">
        <v>2.5000000000000002E-6</v>
      </c>
      <c r="HC20" s="1">
        <f t="shared" si="1"/>
        <v>1.2500000000000001E-2</v>
      </c>
      <c r="HD20" s="1">
        <v>6.0000000000000001E-3</v>
      </c>
      <c r="HE20" s="1">
        <v>2.5000000000000001E-3</v>
      </c>
      <c r="HF20" s="1">
        <v>5.0000000000000001E-4</v>
      </c>
      <c r="HG20" s="1">
        <v>7.9999999999999996E-6</v>
      </c>
      <c r="HH20" s="1">
        <v>2.5000000000000001E-4</v>
      </c>
      <c r="HI20" s="1">
        <v>2.5000000000000001E-4</v>
      </c>
      <c r="HJ20" s="1">
        <v>5.0000000000000004E-6</v>
      </c>
      <c r="HK20" s="1">
        <v>3.0000000000000001E-6</v>
      </c>
      <c r="HL20" s="1">
        <v>0.01</v>
      </c>
      <c r="HM20" s="1">
        <v>6.0000000000000001E-3</v>
      </c>
      <c r="HN20" s="1">
        <v>1.2999999999999999E-3</v>
      </c>
      <c r="HO20" s="1">
        <v>5.0000000000000001E-4</v>
      </c>
      <c r="HP20" s="1">
        <v>7.9999999999999996E-6</v>
      </c>
      <c r="HQ20" s="1">
        <v>2.5000000000000001E-4</v>
      </c>
      <c r="HR20" s="1">
        <v>2.5000000000000001E-4</v>
      </c>
      <c r="HS20" s="1">
        <v>5.0000000000000004E-6</v>
      </c>
      <c r="HT20" s="1">
        <v>3.0000000000000001E-6</v>
      </c>
      <c r="HU20" s="1">
        <v>0.01</v>
      </c>
      <c r="HV20" s="1">
        <v>8.0000000000000002E-3</v>
      </c>
      <c r="HW20" s="1">
        <v>1.6000000000000001E-3</v>
      </c>
      <c r="HX20" s="1">
        <v>5.9999999999999995E-4</v>
      </c>
      <c r="HY20" s="1">
        <v>4.0000000000000003E-5</v>
      </c>
      <c r="HZ20" s="1">
        <v>4.0000000000000002E-4</v>
      </c>
      <c r="IA20" s="1">
        <v>4.0000000000000002E-4</v>
      </c>
      <c r="IB20" s="1">
        <v>2.0000000000000002E-5</v>
      </c>
      <c r="IC20" s="1">
        <v>3.9999999999999998E-6</v>
      </c>
      <c r="ID20" s="1">
        <f>Table13[[#This Row],[Total_Cost_MUSD]]*Table13[[#This Row],[prob500-failure_rating1]]*1000000/500</f>
        <v>1915.6404885000002</v>
      </c>
      <c r="IE20" s="1">
        <f>Table13[[#This Row],[Total_Cost_MUSD]]*Table13[[#This Row],[prob500-failure_rating2]]*1000000/500</f>
        <v>766.25619540000002</v>
      </c>
      <c r="IF20" s="1">
        <f>Table13[[#This Row],[Total_Cost_MUSD]]*Table13[[#This Row],[prob500-failure_rating3]]*1000000/500</f>
        <v>191.56404885000001</v>
      </c>
      <c r="IG20" s="1">
        <f>Table13[[#This Row],[Total_Cost_MUSD]]*Table13[[#This Row],[prob500-failure_rating4]]*1000000/500</f>
        <v>30.650247816000004</v>
      </c>
      <c r="IH20" s="1">
        <f>Table13[[#This Row],[Total_Cost_MUSD]]*Table13[[#This Row],[prob500-failure_rating5]]*1000000/500</f>
        <v>25.031035716400002</v>
      </c>
      <c r="II20" s="1">
        <f>Table13[[#This Row],[Total_Cost_MUSD]]*Table13[[#This Row],[prob500-failure_rating6]]*1000000/500</f>
        <v>13.792611517200001</v>
      </c>
      <c r="IJ20" s="1">
        <f>Table13[[#This Row],[Total_Cost_MUSD]]*Table13[[#This Row],[prob500-failure_rating7]]*1000000/500</f>
        <v>13.792611517200001</v>
      </c>
      <c r="IK20" s="1">
        <f>Table13[[#This Row],[Total_Cost_MUSD]]*Table13[[#This Row],[prob500-failure_rating8]]*1000000/500</f>
        <v>0.30650247816000004</v>
      </c>
      <c r="IL20" s="1">
        <f>Table13[[#This Row],[Total_Cost_MUSD]]*Table13[[#This Row],[prob500-failure_rating9]]*1000000/500</f>
        <v>0.19156404885000003</v>
      </c>
      <c r="IM20" s="1">
        <f>Table13[[#This Row],[Total_Cost_MUSD]]*Table13[[#This Row],[prob100-failure_rating1]]*1000000/100</f>
        <v>4789.1012212500009</v>
      </c>
      <c r="IN20" s="1">
        <f>Table13[[#This Row],[Total_Cost_MUSD]]*Table13[[#This Row],[prob100-failure_rating2]]*1000000/100</f>
        <v>2298.7685862000003</v>
      </c>
      <c r="IO20" s="1">
        <f>Table13[[#This Row],[Total_Cost_MUSD]]*Table13[[#This Row],[prob100-failure_rating3]]*1000000/100</f>
        <v>957.82024424999997</v>
      </c>
      <c r="IP20" s="1">
        <f>Table13[[#This Row],[Total_Cost_MUSD]]*Table13[[#This Row],[prob100-failure_rating4]]*1000000/100</f>
        <v>191.56404885000003</v>
      </c>
      <c r="IQ20" s="1">
        <f>Table13[[#This Row],[Total_Cost_MUSD]]*Table13[[#This Row],[prob100-failure_rating5]]*1000000/100</f>
        <v>3.0650247816</v>
      </c>
      <c r="IR20" s="1">
        <f>Table13[[#This Row],[Total_Cost_MUSD]]*Table13[[#This Row],[prob100-failure_rating6]]*1000000/100</f>
        <v>95.782024425000017</v>
      </c>
      <c r="IS20" s="1">
        <f>Table13[[#This Row],[Total_Cost_MUSD]]*Table13[[#This Row],[prob100-failure_rating7]]*1000000/100</f>
        <v>95.782024425000017</v>
      </c>
      <c r="IT20" s="1">
        <f>Table13[[#This Row],[Total_Cost_MUSD]]*Table13[[#This Row],[prob100-failure_rating8]]*1000000/100</f>
        <v>1.9156404885000002</v>
      </c>
      <c r="IU20" s="1">
        <f>Table13[[#This Row],[Total_Cost_MUSD]]*Table13[[#This Row],[prob100-failure_rating9]]*1000000/100</f>
        <v>1.1493842931</v>
      </c>
      <c r="IV20" s="1">
        <f>Table13[[#This Row],[Total_Cost_MUSD]]*Table13[[#This Row],[prob50-failure_rating1]]*1000000/50</f>
        <v>7662.5619539999998</v>
      </c>
      <c r="IW20" s="1">
        <f>Table13[[#This Row],[Total_Cost_MUSD]]*Table13[[#This Row],[prob50-failure_rating2]]*1000000/50</f>
        <v>4597.5371724000006</v>
      </c>
      <c r="IX20" s="1">
        <f>Table13[[#This Row],[Total_Cost_MUSD]]*Table13[[#This Row],[prob50-failure_rating3]]*1000000/50</f>
        <v>996.13305402000003</v>
      </c>
      <c r="IY20" s="1">
        <f>Table13[[#This Row],[Total_Cost_MUSD]]*Table13[[#This Row],[prob50-failure_rating4]]*1000000/50</f>
        <v>383.12809770000007</v>
      </c>
      <c r="IZ20" s="1">
        <f>Table13[[#This Row],[Total_Cost_MUSD]]*Table13[[#This Row],[prob50-failure_rating5]]*1000000/50</f>
        <v>6.1300495632000001</v>
      </c>
      <c r="JA20" s="1">
        <f>Table13[[#This Row],[Total_Cost_MUSD]]*Table13[[#This Row],[prob50-failure_rating6]]*1000000/50</f>
        <v>191.56404885000003</v>
      </c>
      <c r="JB20" s="1">
        <f>Table13[[#This Row],[Total_Cost_MUSD]]*Table13[[#This Row],[prob50-failure_rating7]]*1000000/50</f>
        <v>191.56404885000003</v>
      </c>
      <c r="JC20" s="1">
        <f>Table13[[#This Row],[Total_Cost_MUSD]]*Table13[[#This Row],[prob50-failure_rating8]]*1000000/50</f>
        <v>3.8312809770000005</v>
      </c>
      <c r="JD20" s="1">
        <f>Table13[[#This Row],[Total_Cost_MUSD]]*Table13[[#This Row],[prob50-failure_rating9]]*1000000/50</f>
        <v>2.2987685862</v>
      </c>
      <c r="JE20" s="1">
        <f>Table13[[#This Row],[Total_Cost_MUSD]]*Table13[[#This Row],[prob10-failure_rating1]]*1000000/10</f>
        <v>38312.80977</v>
      </c>
      <c r="JF20" s="1">
        <f>Table13[[#This Row],[Total_Cost_MUSD]]*Table13[[#This Row],[prob10-failure_rating2]]*1000000/10</f>
        <v>30650.247816000006</v>
      </c>
      <c r="JG20" s="1">
        <f>Table13[[#This Row],[Total_Cost_MUSD]]*Table13[[#This Row],[prob10-failure_rating3]]*1000000/10</f>
        <v>6130.0495632000002</v>
      </c>
      <c r="JH20" s="1">
        <f>Table13[[#This Row],[Total_Cost_MUSD]]*Table13[[#This Row],[prob10-failure_rating4]]*1000000/10</f>
        <v>2298.7685861999998</v>
      </c>
      <c r="JI20" s="1">
        <f>Table13[[#This Row],[Total_Cost_MUSD]]*Table13[[#This Row],[prob10-failure_rating5]]*1000000/10</f>
        <v>153.25123908000003</v>
      </c>
      <c r="JJ20" s="1">
        <f>Table13[[#This Row],[Total_Cost_MUSD]]*Table13[[#This Row],[prob10-failure_rating6]]*1000000/10</f>
        <v>1532.5123908</v>
      </c>
      <c r="JK20" s="1">
        <f>Table13[[#This Row],[Total_Cost_MUSD]]*Table13[[#This Row],[prob10-failure_rating7]]*1000000/10</f>
        <v>1532.5123908</v>
      </c>
      <c r="JL20" s="1">
        <f>Table13[[#This Row],[Total_Cost_MUSD]]*Table13[[#This Row],[prob10-failure_rating8]]*1000000/10</f>
        <v>76.625619540000017</v>
      </c>
      <c r="JM20" s="1">
        <f>Table13[[#This Row],[Total_Cost_MUSD]]*Table13[[#This Row],[prob10-failure_rating9]]*1000000/10</f>
        <v>15.325123908</v>
      </c>
      <c r="JN20" s="1">
        <f>45</f>
        <v>45</v>
      </c>
      <c r="JO20" s="1">
        <v>40</v>
      </c>
      <c r="JP20" s="1">
        <v>35</v>
      </c>
      <c r="JQ20" s="1">
        <v>30</v>
      </c>
      <c r="JR20" s="1">
        <v>25</v>
      </c>
      <c r="JS20" s="1">
        <v>20</v>
      </c>
      <c r="JT20" s="1">
        <v>15</v>
      </c>
      <c r="JU20" s="1">
        <v>10</v>
      </c>
      <c r="JV20" s="1">
        <v>5</v>
      </c>
      <c r="JW20" s="1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13C0-C77A-469F-A110-A55ED26C9CD8}">
  <dimension ref="A1"/>
  <sheetViews>
    <sheetView workbookViewId="0">
      <selection activeCell="R17" sqref="R17"/>
    </sheetView>
  </sheetViews>
  <sheetFormatPr defaultColWidth="8.66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221E-4547-41B1-8676-3340378FE2D2}">
  <dimension ref="A1:L30"/>
  <sheetViews>
    <sheetView zoomScale="145" zoomScaleNormal="145" workbookViewId="0">
      <selection activeCell="F16" sqref="F16"/>
    </sheetView>
  </sheetViews>
  <sheetFormatPr defaultColWidth="8.6640625" defaultRowHeight="14.4" x14ac:dyDescent="0.3"/>
  <cols>
    <col min="1" max="1" width="16.33203125" bestFit="1" customWidth="1"/>
    <col min="2" max="2" width="12.88671875" bestFit="1" customWidth="1"/>
    <col min="3" max="3" width="17" customWidth="1"/>
    <col min="4" max="4" width="18.5546875" bestFit="1" customWidth="1"/>
    <col min="5" max="5" width="12.6640625" bestFit="1" customWidth="1"/>
    <col min="6" max="6" width="16.44140625" bestFit="1" customWidth="1"/>
    <col min="7" max="7" width="13.5546875" bestFit="1" customWidth="1"/>
  </cols>
  <sheetData>
    <row r="1" spans="1:7" x14ac:dyDescent="0.3">
      <c r="A1" t="s">
        <v>317</v>
      </c>
      <c r="B1">
        <v>500</v>
      </c>
      <c r="C1">
        <v>100</v>
      </c>
      <c r="D1">
        <v>50</v>
      </c>
      <c r="E1">
        <v>10</v>
      </c>
      <c r="F1" t="s">
        <v>413</v>
      </c>
      <c r="G1" t="s">
        <v>414</v>
      </c>
    </row>
    <row r="2" spans="1:7" x14ac:dyDescent="0.3">
      <c r="A2">
        <v>0</v>
      </c>
      <c r="B2">
        <v>1</v>
      </c>
      <c r="C2">
        <v>1</v>
      </c>
      <c r="D2">
        <v>1</v>
      </c>
      <c r="E2">
        <v>1</v>
      </c>
      <c r="F2">
        <f>B2/500+C2/100+D2/50+E2/10</f>
        <v>0.13200000000000001</v>
      </c>
      <c r="G2">
        <f>LOG(F2)</f>
        <v>-0.87942606879415008</v>
      </c>
    </row>
    <row r="3" spans="1:7" x14ac:dyDescent="0.3">
      <c r="A3">
        <v>1</v>
      </c>
      <c r="B3">
        <v>0.01</v>
      </c>
      <c r="C3">
        <v>0.01</v>
      </c>
      <c r="D3">
        <v>0.01</v>
      </c>
      <c r="E3">
        <v>0.01</v>
      </c>
      <c r="F3">
        <f t="shared" ref="F3:F11" si="0">B3/500+C3/100+D3/50+E3/10</f>
        <v>1.32E-3</v>
      </c>
      <c r="G3">
        <f t="shared" ref="G3:G11" si="1">LOG(F3)</f>
        <v>-2.87942606879415</v>
      </c>
    </row>
    <row r="4" spans="1:7" x14ac:dyDescent="0.3">
      <c r="A4">
        <v>2</v>
      </c>
      <c r="B4">
        <v>5.0000000000000001E-3</v>
      </c>
      <c r="C4">
        <f>B4/4</f>
        <v>1.25E-3</v>
      </c>
      <c r="D4" s="7">
        <f>B4/6</f>
        <v>8.3333333333333339E-4</v>
      </c>
      <c r="E4">
        <f>B4/10</f>
        <v>5.0000000000000001E-4</v>
      </c>
      <c r="F4">
        <f t="shared" si="0"/>
        <v>8.9166666666666675E-5</v>
      </c>
      <c r="G4">
        <f t="shared" si="1"/>
        <v>-4.0497974683624154</v>
      </c>
    </row>
    <row r="5" spans="1:7" x14ac:dyDescent="0.3">
      <c r="A5">
        <v>3</v>
      </c>
      <c r="B5">
        <v>1.1000000000000001E-3</v>
      </c>
      <c r="C5">
        <f t="shared" ref="C5:C11" si="2">B5/4</f>
        <v>2.7500000000000002E-4</v>
      </c>
      <c r="D5" s="7">
        <f t="shared" ref="D5:D11" si="3">B5/6</f>
        <v>1.8333333333333334E-4</v>
      </c>
      <c r="E5">
        <f t="shared" ref="E5:E11" si="4">B5/10</f>
        <v>1.1E-4</v>
      </c>
      <c r="F5">
        <f t="shared" si="0"/>
        <v>1.9616666666666665E-5</v>
      </c>
      <c r="G5">
        <f t="shared" si="1"/>
        <v>-4.7073747875402088</v>
      </c>
    </row>
    <row r="6" spans="1:7" x14ac:dyDescent="0.3">
      <c r="A6">
        <v>4</v>
      </c>
      <c r="B6">
        <v>4.0000000000000002E-4</v>
      </c>
      <c r="C6" s="8">
        <f t="shared" si="2"/>
        <v>1E-4</v>
      </c>
      <c r="D6" s="7">
        <f t="shared" si="3"/>
        <v>6.666666666666667E-5</v>
      </c>
      <c r="E6">
        <f t="shared" si="4"/>
        <v>4.0000000000000003E-5</v>
      </c>
      <c r="F6">
        <f t="shared" si="0"/>
        <v>7.1333333333333342E-6</v>
      </c>
      <c r="G6">
        <f t="shared" si="1"/>
        <v>-5.1467074813704716</v>
      </c>
    </row>
    <row r="7" spans="1:7" x14ac:dyDescent="0.3">
      <c r="A7">
        <v>5</v>
      </c>
      <c r="B7">
        <v>6.9999999999999994E-5</v>
      </c>
      <c r="C7">
        <f t="shared" si="2"/>
        <v>1.7499999999999998E-5</v>
      </c>
      <c r="D7" s="8">
        <f t="shared" si="3"/>
        <v>1.1666666666666666E-5</v>
      </c>
      <c r="E7">
        <f t="shared" si="4"/>
        <v>6.999999999999999E-6</v>
      </c>
      <c r="F7">
        <f t="shared" si="0"/>
        <v>1.2483333333333332E-6</v>
      </c>
      <c r="G7">
        <f t="shared" si="1"/>
        <v>-5.9036694326841772</v>
      </c>
    </row>
    <row r="8" spans="1:7" x14ac:dyDescent="0.3">
      <c r="A8">
        <v>6</v>
      </c>
      <c r="B8">
        <v>1.8E-5</v>
      </c>
      <c r="C8">
        <f t="shared" si="2"/>
        <v>4.5000000000000001E-6</v>
      </c>
      <c r="D8" s="9">
        <f t="shared" si="3"/>
        <v>3.0000000000000001E-6</v>
      </c>
      <c r="E8">
        <f t="shared" si="4"/>
        <v>1.8000000000000001E-6</v>
      </c>
      <c r="F8">
        <f t="shared" si="0"/>
        <v>3.2100000000000003E-7</v>
      </c>
      <c r="G8">
        <f t="shared" si="1"/>
        <v>-6.4934949675951277</v>
      </c>
    </row>
    <row r="9" spans="1:7" x14ac:dyDescent="0.3">
      <c r="A9">
        <v>7</v>
      </c>
      <c r="B9">
        <v>1.8E-5</v>
      </c>
      <c r="C9">
        <f t="shared" si="2"/>
        <v>4.5000000000000001E-6</v>
      </c>
      <c r="D9" s="9">
        <f t="shared" si="3"/>
        <v>3.0000000000000001E-6</v>
      </c>
      <c r="E9">
        <f t="shared" si="4"/>
        <v>1.8000000000000001E-6</v>
      </c>
      <c r="F9">
        <f t="shared" si="0"/>
        <v>3.2100000000000003E-7</v>
      </c>
      <c r="G9">
        <f t="shared" si="1"/>
        <v>-6.4934949675951277</v>
      </c>
    </row>
    <row r="10" spans="1:7" x14ac:dyDescent="0.3">
      <c r="A10">
        <v>8</v>
      </c>
      <c r="B10">
        <v>3.9999999999999998E-7</v>
      </c>
      <c r="C10" s="6">
        <f t="shared" si="2"/>
        <v>9.9999999999999995E-8</v>
      </c>
      <c r="D10" s="6">
        <f t="shared" si="3"/>
        <v>6.6666666666666668E-8</v>
      </c>
      <c r="E10">
        <f t="shared" si="4"/>
        <v>4.0000000000000001E-8</v>
      </c>
      <c r="F10">
        <f t="shared" si="0"/>
        <v>7.1333333333333335E-9</v>
      </c>
      <c r="G10">
        <f t="shared" si="1"/>
        <v>-8.1467074813704716</v>
      </c>
    </row>
    <row r="11" spans="1:7" x14ac:dyDescent="0.3">
      <c r="A11">
        <v>9</v>
      </c>
      <c r="B11">
        <v>2.4999999999999999E-7</v>
      </c>
      <c r="C11" s="6">
        <f t="shared" si="2"/>
        <v>6.2499999999999997E-8</v>
      </c>
      <c r="D11" s="6">
        <f t="shared" si="3"/>
        <v>4.1666666666666663E-8</v>
      </c>
      <c r="E11">
        <f t="shared" si="4"/>
        <v>2.4999999999999999E-8</v>
      </c>
      <c r="F11">
        <f t="shared" si="0"/>
        <v>4.4583333333333336E-9</v>
      </c>
      <c r="G11">
        <f t="shared" si="1"/>
        <v>-8.3508274640263966</v>
      </c>
    </row>
    <row r="22" spans="2:12" x14ac:dyDescent="0.3">
      <c r="B22">
        <v>0.01</v>
      </c>
      <c r="D22">
        <v>0.01</v>
      </c>
      <c r="E22">
        <v>5.0000000000000001E-4</v>
      </c>
      <c r="F22">
        <v>1.1E-4</v>
      </c>
      <c r="G22">
        <v>4.0000000000000003E-5</v>
      </c>
      <c r="H22">
        <v>6.999999999999999E-6</v>
      </c>
      <c r="I22">
        <v>1.8000000000000001E-6</v>
      </c>
      <c r="J22">
        <v>1.8000000000000001E-6</v>
      </c>
      <c r="K22">
        <v>4.0000000000000001E-8</v>
      </c>
      <c r="L22">
        <v>2.4999999999999999E-8</v>
      </c>
    </row>
    <row r="23" spans="2:12" x14ac:dyDescent="0.3">
      <c r="B23">
        <v>5.0000000000000001E-4</v>
      </c>
    </row>
    <row r="24" spans="2:12" x14ac:dyDescent="0.3">
      <c r="B24">
        <v>1.1E-4</v>
      </c>
    </row>
    <row r="25" spans="2:12" x14ac:dyDescent="0.3">
      <c r="B25">
        <v>4.0000000000000003E-5</v>
      </c>
    </row>
    <row r="26" spans="2:12" x14ac:dyDescent="0.3">
      <c r="B26">
        <v>6.999999999999999E-6</v>
      </c>
    </row>
    <row r="27" spans="2:12" x14ac:dyDescent="0.3">
      <c r="B27">
        <v>1.8000000000000001E-6</v>
      </c>
    </row>
    <row r="28" spans="2:12" x14ac:dyDescent="0.3">
      <c r="B28">
        <v>1.8000000000000001E-6</v>
      </c>
    </row>
    <row r="29" spans="2:12" x14ac:dyDescent="0.3">
      <c r="B29">
        <v>4.0000000000000001E-8</v>
      </c>
    </row>
    <row r="30" spans="2:12" x14ac:dyDescent="0.3">
      <c r="B30">
        <v>2.4999999999999999E-8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EF8B-AFDF-451B-92A0-2E637E329A80}">
  <dimension ref="A1:JY20"/>
  <sheetViews>
    <sheetView topLeftCell="JB1" workbookViewId="0">
      <selection activeCell="A2" activeCellId="1" sqref="GF2:GF20 A2:A20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Table15[[#This Row],[Depth10_Soil_vol]]*(9.353+9.027)+(Table15[[#This Row],[Depth10_Soil_vol]]/2.5)*20*1.053+(PI()*Table15[[#This Row],[Depth10_Scour]])*Table15[[#This Row],[DECK_WIDTH_MT_052]]*1.062</f>
        <v>11998.897701083155</v>
      </c>
      <c r="AR2" s="1">
        <f>Table15[[#This Row],[Depth50_Soil_vol]]*(9.353+9.027)+(Table15[[#This Row],[Depth50_Soil_vol]]/2.5)*20*1.053+(PI()*Table15[[#This Row],[Depth50_Scour]])*Table15[[#This Row],[DECK_WIDTH_MT_052]]*1.062</f>
        <v>12798.983727608316</v>
      </c>
      <c r="AS2" s="1">
        <f>Table15[[#This Row],[Depth100_Soil_vol]]*(9.353+9.027)+(Table15[[#This Row],[Depth100_Soil_vol]]/2.5)*20*1.053+(PI()*Table15[[#This Row],[Depth100_Scour]])*Table15[[#This Row],[DECK_WIDTH_MT_052]]*1.062</f>
        <v>13156.203147223239</v>
      </c>
      <c r="AT2" s="1">
        <f>Table15[[#This Row],[Depth500_Soil_vol]]*(9.353+9.027)+(Table15[[#This Row],[Depth500_Soil_vol]]/2.5)*20*1.053+(PI()*Table15[[#This Row],[Depth500_Scour]])*Table15[[#This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0.39600000000000002</v>
      </c>
      <c r="GF2" s="1">
        <v>28.990788219999999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f>0.1*Table15[[#This Row],[Total_Cost_MUSD]]*10000</f>
        <v>28990.788219999999</v>
      </c>
      <c r="GM2" s="1">
        <f>0.09*Table15[[#This Row],[Total_Cost_MUSD]]*10000</f>
        <v>26091.709397999999</v>
      </c>
      <c r="GN2" s="1">
        <f>0.08*Table15[[#This Row],[Total_Cost_MUSD]]*10000</f>
        <v>23192.630576000003</v>
      </c>
      <c r="GO2" s="1">
        <f>0.06*Table15[[#This Row],[Total_Cost_MUSD]]*10000</f>
        <v>17394.472931999997</v>
      </c>
      <c r="GP2" s="1">
        <f>0.04*Table15[[#This Row],[Total_Cost_MUSD]]*10000</f>
        <v>11596.315288000002</v>
      </c>
      <c r="GQ2" s="1">
        <f>0.02*Table15[[#This Row],[Total_Cost_MUSD]]*10000</f>
        <v>5798.1576440000008</v>
      </c>
      <c r="GR2" s="1">
        <f>Table15[[#This Row],[Total_Cost_MUSD]]*0.001*100000</f>
        <v>2899.0788219999999</v>
      </c>
      <c r="GS2" s="1">
        <v>0</v>
      </c>
      <c r="GT2" s="1">
        <v>0</v>
      </c>
      <c r="GU2" s="1">
        <v>0</v>
      </c>
      <c r="GV2" s="1">
        <f>2.5/100</f>
        <v>2.5000000000000001E-2</v>
      </c>
      <c r="GW2" s="1">
        <v>0.01</v>
      </c>
      <c r="GX2" s="1">
        <v>2.5000000000000001E-3</v>
      </c>
      <c r="GY2" s="1">
        <v>4.0000000000000002E-4</v>
      </c>
      <c r="GZ2" s="1">
        <v>6.9999999999999999E-6</v>
      </c>
      <c r="HA2" s="1">
        <v>1.8000000000000001E-4</v>
      </c>
      <c r="HB2" s="1">
        <v>1.8000000000000001E-4</v>
      </c>
      <c r="HC2" s="1">
        <v>3.9999999999999998E-6</v>
      </c>
      <c r="HD2" s="1">
        <v>2.5000000000000002E-6</v>
      </c>
      <c r="HE2" s="1">
        <f>1.25/100</f>
        <v>1.2500000000000001E-2</v>
      </c>
      <c r="HF2" s="1">
        <v>6.0000000000000001E-3</v>
      </c>
      <c r="HG2" s="1">
        <v>2.5000000000000001E-3</v>
      </c>
      <c r="HH2" s="1">
        <v>5.0000000000000001E-4</v>
      </c>
      <c r="HI2" s="1">
        <v>7.9999999999999996E-6</v>
      </c>
      <c r="HJ2" s="1">
        <v>2.5000000000000001E-4</v>
      </c>
      <c r="HK2" s="1">
        <v>2.5000000000000001E-4</v>
      </c>
      <c r="HL2" s="1">
        <v>5.0000000000000004E-6</v>
      </c>
      <c r="HM2" s="1">
        <v>3.0000000000000001E-6</v>
      </c>
      <c r="HN2" s="1">
        <v>0.01</v>
      </c>
      <c r="HO2" s="1">
        <v>6.0000000000000001E-3</v>
      </c>
      <c r="HP2" s="1">
        <v>1.2999999999999999E-3</v>
      </c>
      <c r="HQ2" s="1">
        <v>5.0000000000000001E-4</v>
      </c>
      <c r="HR2" s="1">
        <v>7.9999999999999996E-6</v>
      </c>
      <c r="HS2" s="1">
        <v>2.5000000000000001E-4</v>
      </c>
      <c r="HT2" s="1">
        <v>2.5000000000000001E-4</v>
      </c>
      <c r="HU2" s="1">
        <v>5.0000000000000004E-6</v>
      </c>
      <c r="HV2" s="1">
        <v>3.0000000000000001E-6</v>
      </c>
      <c r="HW2" s="1">
        <v>0.01</v>
      </c>
      <c r="HX2" s="1">
        <v>8.0000000000000002E-3</v>
      </c>
      <c r="HY2" s="1">
        <v>1.6000000000000001E-3</v>
      </c>
      <c r="HZ2" s="1">
        <v>5.9999999999999995E-4</v>
      </c>
      <c r="IA2" s="1">
        <v>4.0000000000000003E-5</v>
      </c>
      <c r="IB2" s="1">
        <v>4.0000000000000002E-4</v>
      </c>
      <c r="IC2" s="1">
        <v>4.0000000000000002E-4</v>
      </c>
      <c r="ID2" s="1">
        <v>2.0000000000000002E-5</v>
      </c>
      <c r="IE2" s="1">
        <v>3.9999999999999998E-6</v>
      </c>
      <c r="IF2" s="1">
        <f>Table15[[#This Row],[Total_Cost_MUSD]]*Table15[[#This Row],[prob500-failure_rating1]]/500</f>
        <v>1.449539411E-3</v>
      </c>
      <c r="IG2" s="1">
        <f>Table15[[#This Row],[Total_Cost_MUSD]]*Table15[[#This Row],[prob500-failure_rating2]]/500</f>
        <v>5.7981576440000002E-4</v>
      </c>
      <c r="IH2" s="1">
        <f>Table15[[#This Row],[Total_Cost_MUSD]]*Table15[[#This Row],[prob500-failure_rating3]]/500</f>
        <v>1.4495394110000001E-4</v>
      </c>
      <c r="II2" s="1">
        <f>Table15[[#This Row],[Total_Cost_MUSD]]*Table15[[#This Row],[prob500-failure_rating4]]/500</f>
        <v>2.3192630576E-5</v>
      </c>
      <c r="IJ2" s="1">
        <f>Table15[[#This Row],[Total_Cost_MUSD]]*Table15[[#This Row],[prob500-failure_rating5]]/500</f>
        <v>4.0587103507999995E-7</v>
      </c>
      <c r="IK2" s="1">
        <f>Table15[[#This Row],[Total_Cost_MUSD]]*Table15[[#This Row],[prob500-failure_rating6]]/500</f>
        <v>1.0436683759199999E-5</v>
      </c>
      <c r="IL2" s="1">
        <f>Table15[[#This Row],[Total_Cost_MUSD]]*Table15[[#This Row],[prob500-failure_rating7]]/500</f>
        <v>1.0436683759199999E-5</v>
      </c>
      <c r="IM2" s="1">
        <f>Table15[[#This Row],[Total_Cost_MUSD]]*Table15[[#This Row],[prob500-failure_rating8]]/500</f>
        <v>2.3192630575999997E-7</v>
      </c>
      <c r="IN2" s="1">
        <f>Table15[[#This Row],[Total_Cost_MUSD]]*Table15[[#This Row],[prob500-failure_rating9]]/500</f>
        <v>1.4495394110000001E-7</v>
      </c>
      <c r="IO2" s="1">
        <f>Table15[[#This Row],[Total_Cost_MUSD]]*Table15[[#This Row],[prob100-failure_rating1]]/100</f>
        <v>3.6238485274999997E-3</v>
      </c>
      <c r="IP2" s="1">
        <f>Table15[[#This Row],[Total_Cost_MUSD]]*Table15[[#This Row],[prob100-failure_rating2]]/100</f>
        <v>1.7394472932E-3</v>
      </c>
      <c r="IQ2" s="1">
        <f>Table15[[#This Row],[Total_Cost_MUSD]]*Table15[[#This Row],[prob100-failure_rating3]]/100</f>
        <v>7.2476970550000011E-4</v>
      </c>
      <c r="IR2" s="1">
        <f>Table15[[#This Row],[Total_Cost_MUSD]]*Table15[[#This Row],[prob100-failure_rating4]]/100</f>
        <v>1.4495394110000001E-4</v>
      </c>
      <c r="IS2" s="1">
        <f>Table15[[#This Row],[Total_Cost_MUSD]]*Table15[[#This Row],[prob100-failure_rating5]]/100</f>
        <v>2.3192630575999997E-6</v>
      </c>
      <c r="IT2" s="1">
        <f>Table15[[#This Row],[Total_Cost_MUSD]]*Table15[[#This Row],[prob100-failure_rating6]]/100</f>
        <v>7.2476970550000003E-5</v>
      </c>
      <c r="IU2" s="1">
        <f>Table15[[#This Row],[Total_Cost_MUSD]]*Table15[[#This Row],[prob100-failure_rating7]]/100</f>
        <v>7.2476970550000003E-5</v>
      </c>
      <c r="IV2" s="1">
        <f>Table15[[#This Row],[Total_Cost_MUSD]]*Table15[[#This Row],[prob100-failure_rating8]]/100</f>
        <v>1.449539411E-6</v>
      </c>
      <c r="IW2" s="1">
        <f>Table15[[#This Row],[Total_Cost_MUSD]]*Table15[[#This Row],[prob100-failure_rating9]]/100</f>
        <v>8.6972364659999994E-7</v>
      </c>
      <c r="IX2" s="1">
        <f>Table15[[#This Row],[Total_Cost_MUSD]]*Table15[[#This Row],[prob50-failure_rating1]]/50</f>
        <v>5.7981576440000009E-3</v>
      </c>
      <c r="IY2" s="1">
        <f>Table15[[#This Row],[Total_Cost_MUSD]]*Table15[[#This Row],[prob50-failure_rating2]]/50</f>
        <v>3.4788945863999999E-3</v>
      </c>
      <c r="IZ2" s="1">
        <f>Table15[[#This Row],[Total_Cost_MUSD]]*Table15[[#This Row],[prob50-failure_rating3]]/50</f>
        <v>7.5376049371999991E-4</v>
      </c>
      <c r="JA2" s="1">
        <f>Table15[[#This Row],[Total_Cost_MUSD]]*Table15[[#This Row],[prob50-failure_rating4]]/50</f>
        <v>2.8990788220000001E-4</v>
      </c>
      <c r="JB2" s="1">
        <f>Table15[[#This Row],[Total_Cost_MUSD]]*Table15[[#This Row],[prob50-failure_rating5]]/50</f>
        <v>4.6385261151999994E-6</v>
      </c>
      <c r="JC2" s="1">
        <f>Table15[[#This Row],[Total_Cost_MUSD]]*Table15[[#This Row],[prob50-failure_rating6]]/50</f>
        <v>1.4495394110000001E-4</v>
      </c>
      <c r="JD2" s="1">
        <f>Table15[[#This Row],[Total_Cost_MUSD]]*Table15[[#This Row],[prob50-failure_rating7]]/50</f>
        <v>1.4495394110000001E-4</v>
      </c>
      <c r="JE2" s="1">
        <f>Table15[[#This Row],[Total_Cost_MUSD]]*Table15[[#This Row],[prob50-failure_rating8]]/50</f>
        <v>2.899078822E-6</v>
      </c>
      <c r="JF2" s="1">
        <f>Table15[[#This Row],[Total_Cost_MUSD]]*Table15[[#This Row],[prob50-failure_rating9]]/50</f>
        <v>1.7394472931999999E-6</v>
      </c>
      <c r="JG2" s="1">
        <f>Table15[[#This Row],[Total_Cost_MUSD]]*Table15[[#This Row],[prob10-failure_rating1]]/10</f>
        <v>2.8990788220000001E-2</v>
      </c>
      <c r="JH2" s="1">
        <f>Table15[[#This Row],[Total_Cost_MUSD]]*Table15[[#This Row],[prob10-failure_rating2]]/10</f>
        <v>2.3192630576E-2</v>
      </c>
      <c r="JI2" s="1">
        <f>Table15[[#This Row],[Total_Cost_MUSD]]*Table15[[#This Row],[prob10-failure_rating3]]/10</f>
        <v>4.6385261152000002E-3</v>
      </c>
      <c r="JJ2" s="1">
        <f>Table15[[#This Row],[Total_Cost_MUSD]]*Table15[[#This Row],[prob10-failure_rating4]]/10</f>
        <v>1.7394472932E-3</v>
      </c>
      <c r="JK2" s="1">
        <f>Table15[[#This Row],[Total_Cost_MUSD]]*Table15[[#This Row],[prob10-failure_rating5]]/10</f>
        <v>1.1596315288E-4</v>
      </c>
      <c r="JL2" s="1">
        <f>Table15[[#This Row],[Total_Cost_MUSD]]*Table15[[#This Row],[prob10-failure_rating6]]/10</f>
        <v>1.1596315288E-3</v>
      </c>
      <c r="JM2" s="1">
        <f>Table15[[#This Row],[Total_Cost_MUSD]]*Table15[[#This Row],[prob10-failure_rating7]]/10</f>
        <v>1.1596315288E-3</v>
      </c>
      <c r="JN2" s="1">
        <f>Table15[[#This Row],[Total_Cost_MUSD]]*Table15[[#This Row],[prob10-failure_rating8]]/10</f>
        <v>5.7981576440000001E-5</v>
      </c>
      <c r="JO2" s="1">
        <f>Table15[[#This Row],[Total_Cost_MUSD]]*Table15[[#This Row],[prob10-failure_rating9]]/10</f>
        <v>1.1596315287999998E-5</v>
      </c>
      <c r="JP2" s="1">
        <f>Table15[[#This Row],[FailureCost_Rating1]]</f>
        <v>28990.788220000002</v>
      </c>
      <c r="JQ2" s="1">
        <f>Table15[[#This Row],[FailureCost_Rating2]]</f>
        <v>28990.788220000002</v>
      </c>
      <c r="JR2" s="1">
        <f>(Table15[[#This Row],[failurecost500_rating2]]+Table15[[#This Row],[failurecost100_rating2]]+Table15[[#This Row],[failurecost50_rating2]]+Table15[[#This Row],[failurecost10_rating2]])*1000000</f>
        <v>28990.788220000002</v>
      </c>
      <c r="JS2" s="1">
        <f>(Table15[[#This Row],[failurecost500_rating3]]+Table15[[#This Row],[failurecost100_rating3]]+Table15[[#This Row],[failurecost50_rating3]]+Table15[[#This Row],[failurecost10_rating3]])*1000000</f>
        <v>6262.0102555200001</v>
      </c>
      <c r="JT2" s="1">
        <f>(Table15[[#This Row],[failurecost500_rating4]]+Table15[[#This Row],[failurecost100_rating4]]+Table15[[#This Row],[failurecost50_rating4]]+Table15[[#This Row],[failurecost10_rating4]])*1000000</f>
        <v>2197.5017470760004</v>
      </c>
      <c r="JU2" s="1">
        <f>(Table15[[#This Row],[failurecost500_rating5]]+Table15[[#This Row],[failurecost100_rating5]]+Table15[[#This Row],[failurecost50_rating5]]+Table15[[#This Row],[failurecost10_rating5]])*1000000</f>
        <v>123.32681308788</v>
      </c>
      <c r="JV2" s="1">
        <f>(Table15[[#This Row],[failurecost500_rating6]]+Table15[[#This Row],[failurecost100_rating6]]+Table15[[#This Row],[failurecost50_rating6]]+Table15[[#This Row],[failurecost10_rating6]])*1000000</f>
        <v>1387.4991242092001</v>
      </c>
      <c r="JW2" s="1">
        <f>(Table15[[#This Row],[failurecost500_rating7]]+Table15[[#This Row],[failurecost100_rating7]]+Table15[[#This Row],[failurecost50_rating7]]+Table15[[#This Row],[failurecost10_rating7]])*1000000</f>
        <v>1387.4991242092001</v>
      </c>
      <c r="JX2" s="1">
        <f>(Table15[[#This Row],[failurecost500_rating8]]+Table15[[#This Row],[failurecost100_rating8]]+Table15[[#This Row],[failurecost50_rating8]]+Table15[[#This Row],[failurecost10_rating8]])*1000000</f>
        <v>62.562120978759999</v>
      </c>
      <c r="JY2" s="1">
        <f>(Table15[[#This Row],[failurecost500_rating9]]+Table15[[#This Row],[failurecost100_rating9]]+Table15[[#This Row],[failurecost50_rating9]]+Table15[[#This Row],[failurecost10_rating9]])*1000000</f>
        <v>14.350440168899997</v>
      </c>
    </row>
    <row r="3" spans="1:285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Table15[[#This Row],[Depth10_Soil_vol]]*(9.353+9.027)+(Table15[[#This Row],[Depth10_Soil_vol]]/2.5)*20*1.053+(PI()*Table15[[#This Row],[Depth10_Scour]])*Table15[[#This Row],[DECK_WIDTH_MT_052]]*1.062</f>
        <v>0</v>
      </c>
      <c r="AR3" s="1">
        <f>Table15[[#This Row],[Depth50_Soil_vol]]*(9.353+9.027)+(Table15[[#This Row],[Depth50_Soil_vol]]/2.5)*20*1.053+(PI()*Table15[[#This Row],[Depth50_Scour]])*Table15[[#This Row],[DECK_WIDTH_MT_052]]*1.062</f>
        <v>9520.728233804819</v>
      </c>
      <c r="AS3" s="1">
        <f>Table15[[#This Row],[Depth100_Soil_vol]]*(9.353+9.027)+(Table15[[#This Row],[Depth100_Soil_vol]]/2.5)*20*1.053+(PI()*Table15[[#This Row],[Depth100_Scour]])*Table15[[#This Row],[DECK_WIDTH_MT_052]]*1.062</f>
        <v>9985.7559384332872</v>
      </c>
      <c r="AT3" s="1">
        <f>Table15[[#This Row],[Depth500_Soil_vol]]*(9.353+9.027)+(Table15[[#This Row],[Depth500_Soil_vol]]/2.5)*20*1.053+(PI()*Table15[[#This Row],[Depth500_Scour]])*Table15[[#This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3" s="1">
        <v>18.95289927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f>0.1*Table15[[#This Row],[Total_Cost_MUSD]]*10000</f>
        <v>18952.899270000002</v>
      </c>
      <c r="GM3" s="1">
        <f>0.09*Table15[[#This Row],[Total_Cost_MUSD]]*10000</f>
        <v>17057.609343</v>
      </c>
      <c r="GN3" s="1">
        <f>0.08*Table15[[#This Row],[Total_Cost_MUSD]]*10000</f>
        <v>15162.319416</v>
      </c>
      <c r="GO3" s="1">
        <f>0.06*Table15[[#This Row],[Total_Cost_MUSD]]*10000</f>
        <v>11371.739561999999</v>
      </c>
      <c r="GP3" s="1">
        <f>0.04*Table15[[#This Row],[Total_Cost_MUSD]]*10000</f>
        <v>7581.1597080000001</v>
      </c>
      <c r="GQ3" s="1">
        <f>0.02*Table15[[#This Row],[Total_Cost_MUSD]]*10000</f>
        <v>3790.5798540000001</v>
      </c>
      <c r="GR3" s="1">
        <f>Table15[[#This Row],[Total_Cost_MUSD]]*0.001*100000</f>
        <v>1895.289927</v>
      </c>
      <c r="GS3" s="1">
        <v>0</v>
      </c>
      <c r="GT3" s="1">
        <v>0</v>
      </c>
      <c r="GU3" s="1">
        <v>0</v>
      </c>
      <c r="GV3" s="1">
        <f t="shared" ref="GV3:GV20" si="0">2.5/100</f>
        <v>2.5000000000000001E-2</v>
      </c>
      <c r="GW3" s="1">
        <v>0.01</v>
      </c>
      <c r="GX3" s="1">
        <v>2.5000000000000001E-3</v>
      </c>
      <c r="GY3" s="1">
        <v>4.0000000000000002E-4</v>
      </c>
      <c r="GZ3" s="1">
        <v>6.9999999999999999E-6</v>
      </c>
      <c r="HA3" s="1">
        <v>1.8000000000000001E-4</v>
      </c>
      <c r="HB3" s="1">
        <v>1.8000000000000001E-4</v>
      </c>
      <c r="HC3" s="1">
        <v>3.9999999999999998E-6</v>
      </c>
      <c r="HD3" s="1">
        <v>2.5000000000000002E-6</v>
      </c>
      <c r="HE3" s="1">
        <f t="shared" ref="HE3:HE20" si="1">1.25/100</f>
        <v>1.2500000000000001E-2</v>
      </c>
      <c r="HF3" s="1">
        <v>6.0000000000000001E-3</v>
      </c>
      <c r="HG3" s="1">
        <v>2.5000000000000001E-3</v>
      </c>
      <c r="HH3" s="1">
        <v>5.0000000000000001E-4</v>
      </c>
      <c r="HI3" s="1">
        <v>7.9999999999999996E-6</v>
      </c>
      <c r="HJ3" s="1">
        <v>2.5000000000000001E-4</v>
      </c>
      <c r="HK3" s="1">
        <v>2.5000000000000001E-4</v>
      </c>
      <c r="HL3" s="1">
        <v>5.0000000000000004E-6</v>
      </c>
      <c r="HM3" s="1">
        <v>3.0000000000000001E-6</v>
      </c>
      <c r="HN3" s="1">
        <v>0.01</v>
      </c>
      <c r="HO3" s="1">
        <v>6.0000000000000001E-3</v>
      </c>
      <c r="HP3" s="1">
        <v>1.2999999999999999E-3</v>
      </c>
      <c r="HQ3" s="1">
        <v>5.0000000000000001E-4</v>
      </c>
      <c r="HR3" s="1">
        <v>7.9999999999999996E-6</v>
      </c>
      <c r="HS3" s="1">
        <v>2.5000000000000001E-4</v>
      </c>
      <c r="HT3" s="1">
        <v>2.5000000000000001E-4</v>
      </c>
      <c r="HU3" s="1">
        <v>5.0000000000000004E-6</v>
      </c>
      <c r="HV3" s="1">
        <v>3.0000000000000001E-6</v>
      </c>
      <c r="HW3" s="1">
        <v>0.01</v>
      </c>
      <c r="HX3" s="1">
        <v>8.0000000000000002E-3</v>
      </c>
      <c r="HY3" s="1">
        <v>1.6000000000000001E-3</v>
      </c>
      <c r="HZ3" s="1">
        <v>5.9999999999999995E-4</v>
      </c>
      <c r="IA3" s="1">
        <v>4.0000000000000003E-5</v>
      </c>
      <c r="IB3" s="1">
        <v>4.0000000000000002E-4</v>
      </c>
      <c r="IC3" s="1">
        <v>4.0000000000000002E-4</v>
      </c>
      <c r="ID3" s="1">
        <v>2.0000000000000002E-5</v>
      </c>
      <c r="IE3" s="1">
        <v>3.9999999999999998E-6</v>
      </c>
      <c r="IF3" s="1">
        <f>Table15[[#This Row],[Total_Cost_MUSD]]*Table15[[#This Row],[prob500-failure_rating1]]/500</f>
        <v>9.4764496350000004E-4</v>
      </c>
      <c r="IG3" s="1">
        <f>Table15[[#This Row],[Total_Cost_MUSD]]*Table15[[#This Row],[prob500-failure_rating2]]/500</f>
        <v>3.7905798540000001E-4</v>
      </c>
      <c r="IH3" s="1">
        <f>Table15[[#This Row],[Total_Cost_MUSD]]*Table15[[#This Row],[prob500-failure_rating3]]/500</f>
        <v>9.4764496350000004E-5</v>
      </c>
      <c r="II3" s="1">
        <f>Table15[[#This Row],[Total_Cost_MUSD]]*Table15[[#This Row],[prob500-failure_rating4]]/500</f>
        <v>1.5162319416000001E-5</v>
      </c>
      <c r="IJ3" s="1">
        <f>Table15[[#This Row],[Total_Cost_MUSD]]*Table15[[#This Row],[prob500-failure_rating5]]/500</f>
        <v>2.6534058977999996E-7</v>
      </c>
      <c r="IK3" s="1">
        <f>Table15[[#This Row],[Total_Cost_MUSD]]*Table15[[#This Row],[prob500-failure_rating6]]/500</f>
        <v>6.8230437372000009E-6</v>
      </c>
      <c r="IL3" s="1">
        <f>Table15[[#This Row],[Total_Cost_MUSD]]*Table15[[#This Row],[prob500-failure_rating7]]/500</f>
        <v>6.8230437372000009E-6</v>
      </c>
      <c r="IM3" s="1">
        <f>Table15[[#This Row],[Total_Cost_MUSD]]*Table15[[#This Row],[prob500-failure_rating8]]/500</f>
        <v>1.5162319415999999E-7</v>
      </c>
      <c r="IN3" s="1">
        <f>Table15[[#This Row],[Total_Cost_MUSD]]*Table15[[#This Row],[prob500-failure_rating9]]/500</f>
        <v>9.4764496350000009E-8</v>
      </c>
      <c r="IO3" s="1">
        <f>Table15[[#This Row],[Total_Cost_MUSD]]*Table15[[#This Row],[prob100-failure_rating1]]/100</f>
        <v>2.36911240875E-3</v>
      </c>
      <c r="IP3" s="1">
        <f>Table15[[#This Row],[Total_Cost_MUSD]]*Table15[[#This Row],[prob100-failure_rating2]]/100</f>
        <v>1.1371739562E-3</v>
      </c>
      <c r="IQ3" s="1">
        <f>Table15[[#This Row],[Total_Cost_MUSD]]*Table15[[#This Row],[prob100-failure_rating3]]/100</f>
        <v>4.7382248175000002E-4</v>
      </c>
      <c r="IR3" s="1">
        <f>Table15[[#This Row],[Total_Cost_MUSD]]*Table15[[#This Row],[prob100-failure_rating4]]/100</f>
        <v>9.4764496350000004E-5</v>
      </c>
      <c r="IS3" s="1">
        <f>Table15[[#This Row],[Total_Cost_MUSD]]*Table15[[#This Row],[prob100-failure_rating5]]/100</f>
        <v>1.5162319415999999E-6</v>
      </c>
      <c r="IT3" s="1">
        <f>Table15[[#This Row],[Total_Cost_MUSD]]*Table15[[#This Row],[prob100-failure_rating6]]/100</f>
        <v>4.7382248175000002E-5</v>
      </c>
      <c r="IU3" s="1">
        <f>Table15[[#This Row],[Total_Cost_MUSD]]*Table15[[#This Row],[prob100-failure_rating7]]/100</f>
        <v>4.7382248175000002E-5</v>
      </c>
      <c r="IV3" s="1">
        <f>Table15[[#This Row],[Total_Cost_MUSD]]*Table15[[#This Row],[prob100-failure_rating8]]/100</f>
        <v>9.4764496350000004E-7</v>
      </c>
      <c r="IW3" s="1">
        <f>Table15[[#This Row],[Total_Cost_MUSD]]*Table15[[#This Row],[prob100-failure_rating9]]/100</f>
        <v>5.685869781E-7</v>
      </c>
      <c r="IX3" s="1">
        <f>Table15[[#This Row],[Total_Cost_MUSD]]*Table15[[#This Row],[prob50-failure_rating1]]/50</f>
        <v>3.7905798540000001E-3</v>
      </c>
      <c r="IY3" s="1">
        <f>Table15[[#This Row],[Total_Cost_MUSD]]*Table15[[#This Row],[prob50-failure_rating2]]/50</f>
        <v>2.2743479124000001E-3</v>
      </c>
      <c r="IZ3" s="1">
        <f>Table15[[#This Row],[Total_Cost_MUSD]]*Table15[[#This Row],[prob50-failure_rating3]]/50</f>
        <v>4.9277538101999993E-4</v>
      </c>
      <c r="JA3" s="1">
        <f>Table15[[#This Row],[Total_Cost_MUSD]]*Table15[[#This Row],[prob50-failure_rating4]]/50</f>
        <v>1.8952899270000001E-4</v>
      </c>
      <c r="JB3" s="1">
        <f>Table15[[#This Row],[Total_Cost_MUSD]]*Table15[[#This Row],[prob50-failure_rating5]]/50</f>
        <v>3.0324638831999999E-6</v>
      </c>
      <c r="JC3" s="1">
        <f>Table15[[#This Row],[Total_Cost_MUSD]]*Table15[[#This Row],[prob50-failure_rating6]]/50</f>
        <v>9.4764496350000004E-5</v>
      </c>
      <c r="JD3" s="1">
        <f>Table15[[#This Row],[Total_Cost_MUSD]]*Table15[[#This Row],[prob50-failure_rating7]]/50</f>
        <v>9.4764496350000004E-5</v>
      </c>
      <c r="JE3" s="1">
        <f>Table15[[#This Row],[Total_Cost_MUSD]]*Table15[[#This Row],[prob50-failure_rating8]]/50</f>
        <v>1.8952899270000001E-6</v>
      </c>
      <c r="JF3" s="1">
        <f>Table15[[#This Row],[Total_Cost_MUSD]]*Table15[[#This Row],[prob50-failure_rating9]]/50</f>
        <v>1.1371739562E-6</v>
      </c>
      <c r="JG3" s="1">
        <f>Table15[[#This Row],[Total_Cost_MUSD]]*Table15[[#This Row],[prob10-failure_rating1]]/10</f>
        <v>1.895289927E-2</v>
      </c>
      <c r="JH3" s="1">
        <f>Table15[[#This Row],[Total_Cost_MUSD]]*Table15[[#This Row],[prob10-failure_rating2]]/10</f>
        <v>1.5162319416000001E-2</v>
      </c>
      <c r="JI3" s="1">
        <f>Table15[[#This Row],[Total_Cost_MUSD]]*Table15[[#This Row],[prob10-failure_rating3]]/10</f>
        <v>3.0324638832000001E-3</v>
      </c>
      <c r="JJ3" s="1">
        <f>Table15[[#This Row],[Total_Cost_MUSD]]*Table15[[#This Row],[prob10-failure_rating4]]/10</f>
        <v>1.1371739561999998E-3</v>
      </c>
      <c r="JK3" s="1">
        <f>Table15[[#This Row],[Total_Cost_MUSD]]*Table15[[#This Row],[prob10-failure_rating5]]/10</f>
        <v>7.5811597080000008E-5</v>
      </c>
      <c r="JL3" s="1">
        <f>Table15[[#This Row],[Total_Cost_MUSD]]*Table15[[#This Row],[prob10-failure_rating6]]/10</f>
        <v>7.5811597080000003E-4</v>
      </c>
      <c r="JM3" s="1">
        <f>Table15[[#This Row],[Total_Cost_MUSD]]*Table15[[#This Row],[prob10-failure_rating7]]/10</f>
        <v>7.5811597080000003E-4</v>
      </c>
      <c r="JN3" s="1">
        <f>Table15[[#This Row],[Total_Cost_MUSD]]*Table15[[#This Row],[prob10-failure_rating8]]/10</f>
        <v>3.7905798540000004E-5</v>
      </c>
      <c r="JO3" s="1">
        <f>Table15[[#This Row],[Total_Cost_MUSD]]*Table15[[#This Row],[prob10-failure_rating9]]/10</f>
        <v>7.5811597079999995E-6</v>
      </c>
      <c r="JP3" s="1">
        <f>Table15[[#This Row],[FailureCost_Rating1]]</f>
        <v>18952.899270000002</v>
      </c>
      <c r="JQ3" s="1">
        <f>Table15[[#This Row],[FailureCost_Rating2]]</f>
        <v>18952.899270000002</v>
      </c>
      <c r="JR3" s="1">
        <f>(Table15[[#This Row],[failurecost500_rating2]]+Table15[[#This Row],[failurecost100_rating2]]+Table15[[#This Row],[failurecost50_rating2]]+Table15[[#This Row],[failurecost10_rating2]])*1000000</f>
        <v>18952.899270000002</v>
      </c>
      <c r="JS3" s="1">
        <f>(Table15[[#This Row],[failurecost500_rating3]]+Table15[[#This Row],[failurecost100_rating3]]+Table15[[#This Row],[failurecost50_rating3]]+Table15[[#This Row],[failurecost10_rating3]])*1000000</f>
        <v>4093.8262423199999</v>
      </c>
      <c r="JT3" s="1">
        <f>(Table15[[#This Row],[failurecost500_rating4]]+Table15[[#This Row],[failurecost100_rating4]]+Table15[[#This Row],[failurecost50_rating4]]+Table15[[#This Row],[failurecost10_rating4]])*1000000</f>
        <v>1436.6297646659998</v>
      </c>
      <c r="JU3" s="1">
        <f>(Table15[[#This Row],[failurecost500_rating5]]+Table15[[#This Row],[failurecost100_rating5]]+Table15[[#This Row],[failurecost50_rating5]]+Table15[[#This Row],[failurecost10_rating5]])*1000000</f>
        <v>80.625633494580001</v>
      </c>
      <c r="JV3" s="1">
        <f>(Table15[[#This Row],[failurecost500_rating6]]+Table15[[#This Row],[failurecost100_rating6]]+Table15[[#This Row],[failurecost50_rating6]]+Table15[[#This Row],[failurecost10_rating6]])*1000000</f>
        <v>907.08575906219994</v>
      </c>
      <c r="JW3" s="1">
        <f>(Table15[[#This Row],[failurecost500_rating7]]+Table15[[#This Row],[failurecost100_rating7]]+Table15[[#This Row],[failurecost50_rating7]]+Table15[[#This Row],[failurecost10_rating7]])*1000000</f>
        <v>907.08575906219994</v>
      </c>
      <c r="JX3" s="1">
        <f>(Table15[[#This Row],[failurecost500_rating8]]+Table15[[#This Row],[failurecost100_rating8]]+Table15[[#This Row],[failurecost50_rating8]]+Table15[[#This Row],[failurecost10_rating8]])*1000000</f>
        <v>40.900356624660006</v>
      </c>
      <c r="JY3" s="1">
        <f>(Table15[[#This Row],[failurecost500_rating9]]+Table15[[#This Row],[failurecost100_rating9]]+Table15[[#This Row],[failurecost50_rating9]]+Table15[[#This Row],[failurecost10_rating9]])*1000000</f>
        <v>9.3816851386499991</v>
      </c>
    </row>
    <row r="4" spans="1:285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Table15[[#This Row],[Depth10_Soil_vol]]*(9.353+9.027)+(Table15[[#This Row],[Depth10_Soil_vol]]/2.5)*20*1.053+(PI()*Table15[[#This Row],[Depth10_Scour]])*Table15[[#This Row],[DECK_WIDTH_MT_052]]*1.062</f>
        <v>0</v>
      </c>
      <c r="AR4" s="1">
        <f>Table15[[#This Row],[Depth50_Soil_vol]]*(9.353+9.027)+(Table15[[#This Row],[Depth50_Soil_vol]]/2.5)*20*1.053+(PI()*Table15[[#This Row],[Depth50_Scour]])*Table15[[#This Row],[DECK_WIDTH_MT_052]]*1.062</f>
        <v>5183.5345730170238</v>
      </c>
      <c r="AS4" s="1">
        <f>Table15[[#This Row],[Depth100_Soil_vol]]*(9.353+9.027)+(Table15[[#This Row],[Depth100_Soil_vol]]/2.5)*20*1.053+(PI()*Table15[[#This Row],[Depth100_Scour]])*Table15[[#This Row],[DECK_WIDTH_MT_052]]*1.062</f>
        <v>5452.2219529566692</v>
      </c>
      <c r="AT4" s="1">
        <f>Table15[[#This Row],[Depth500_Soil_vol]]*(9.353+9.027)+(Table15[[#This Row],[Depth500_Soil_vol]]/2.5)*20*1.053+(PI()*Table15[[#This Row],[Depth500_Scour]])*Table15[[#This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9.6000000000000002E-2</v>
      </c>
      <c r="GF4" s="1">
        <v>36.37292137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f>0.1*Table15[[#This Row],[Total_Cost_MUSD]]*10000</f>
        <v>36372.921370000004</v>
      </c>
      <c r="GM4" s="1">
        <f>0.09*Table15[[#This Row],[Total_Cost_MUSD]]*10000</f>
        <v>32735.629233</v>
      </c>
      <c r="GN4" s="1">
        <f>0.08*Table15[[#This Row],[Total_Cost_MUSD]]*10000</f>
        <v>29098.337095999999</v>
      </c>
      <c r="GO4" s="1">
        <f>0.06*Table15[[#This Row],[Total_Cost_MUSD]]*10000</f>
        <v>21823.752821999999</v>
      </c>
      <c r="GP4" s="1">
        <f>0.04*Table15[[#This Row],[Total_Cost_MUSD]]*10000</f>
        <v>14549.168548</v>
      </c>
      <c r="GQ4" s="1">
        <f>0.02*Table15[[#This Row],[Total_Cost_MUSD]]*10000</f>
        <v>7274.5842739999998</v>
      </c>
      <c r="GR4" s="1">
        <f>Table15[[#This Row],[Total_Cost_MUSD]]*0.001*100000</f>
        <v>3637.2921369999999</v>
      </c>
      <c r="GS4" s="1">
        <v>0</v>
      </c>
      <c r="GT4" s="1">
        <v>0</v>
      </c>
      <c r="GU4" s="1">
        <v>0</v>
      </c>
      <c r="GV4" s="1">
        <f t="shared" si="0"/>
        <v>2.5000000000000001E-2</v>
      </c>
      <c r="GW4" s="1">
        <v>0.01</v>
      </c>
      <c r="GX4" s="1">
        <v>2.5000000000000001E-3</v>
      </c>
      <c r="GY4" s="1">
        <v>4.0000000000000002E-4</v>
      </c>
      <c r="GZ4" s="1">
        <v>6.9999999999999999E-6</v>
      </c>
      <c r="HA4" s="1">
        <v>1.8000000000000001E-4</v>
      </c>
      <c r="HB4" s="1">
        <v>1.8000000000000001E-4</v>
      </c>
      <c r="HC4" s="1">
        <v>3.9999999999999998E-6</v>
      </c>
      <c r="HD4" s="1">
        <v>2.5000000000000002E-6</v>
      </c>
      <c r="HE4" s="1">
        <f t="shared" si="1"/>
        <v>1.2500000000000001E-2</v>
      </c>
      <c r="HF4" s="1">
        <v>6.0000000000000001E-3</v>
      </c>
      <c r="HG4" s="1">
        <v>2.5000000000000001E-3</v>
      </c>
      <c r="HH4" s="1">
        <v>5.0000000000000001E-4</v>
      </c>
      <c r="HI4" s="1">
        <v>7.9999999999999996E-6</v>
      </c>
      <c r="HJ4" s="1">
        <v>2.5000000000000001E-4</v>
      </c>
      <c r="HK4" s="1">
        <v>2.5000000000000001E-4</v>
      </c>
      <c r="HL4" s="1">
        <v>5.0000000000000004E-6</v>
      </c>
      <c r="HM4" s="1">
        <v>3.0000000000000001E-6</v>
      </c>
      <c r="HN4" s="1">
        <v>0.01</v>
      </c>
      <c r="HO4" s="1">
        <v>6.0000000000000001E-3</v>
      </c>
      <c r="HP4" s="1">
        <v>1.2999999999999999E-3</v>
      </c>
      <c r="HQ4" s="1">
        <v>5.0000000000000001E-4</v>
      </c>
      <c r="HR4" s="1">
        <v>7.9999999999999996E-6</v>
      </c>
      <c r="HS4" s="1">
        <v>2.5000000000000001E-4</v>
      </c>
      <c r="HT4" s="1">
        <v>2.5000000000000001E-4</v>
      </c>
      <c r="HU4" s="1">
        <v>5.0000000000000004E-6</v>
      </c>
      <c r="HV4" s="1">
        <v>3.0000000000000001E-6</v>
      </c>
      <c r="HW4" s="1">
        <v>0.01</v>
      </c>
      <c r="HX4" s="1">
        <v>8.0000000000000002E-3</v>
      </c>
      <c r="HY4" s="1">
        <v>1.6000000000000001E-3</v>
      </c>
      <c r="HZ4" s="1">
        <v>5.9999999999999995E-4</v>
      </c>
      <c r="IA4" s="1">
        <v>4.0000000000000003E-5</v>
      </c>
      <c r="IB4" s="1">
        <v>4.0000000000000002E-4</v>
      </c>
      <c r="IC4" s="1">
        <v>4.0000000000000002E-4</v>
      </c>
      <c r="ID4" s="1">
        <v>2.0000000000000002E-5</v>
      </c>
      <c r="IE4" s="1">
        <v>3.9999999999999998E-6</v>
      </c>
      <c r="IF4" s="1">
        <f>Table15[[#This Row],[Total_Cost_MUSD]]*Table15[[#This Row],[prob500-failure_rating1]]/500</f>
        <v>1.8186460685000001E-3</v>
      </c>
      <c r="IG4" s="1">
        <f>Table15[[#This Row],[Total_Cost_MUSD]]*Table15[[#This Row],[prob500-failure_rating2]]/500</f>
        <v>7.2745842739999999E-4</v>
      </c>
      <c r="IH4" s="1">
        <f>Table15[[#This Row],[Total_Cost_MUSD]]*Table15[[#This Row],[prob500-failure_rating3]]/500</f>
        <v>1.8186460685E-4</v>
      </c>
      <c r="II4" s="1">
        <f>Table15[[#This Row],[Total_Cost_MUSD]]*Table15[[#This Row],[prob500-failure_rating4]]/500</f>
        <v>2.9098337096E-5</v>
      </c>
      <c r="IJ4" s="1">
        <f>Table15[[#This Row],[Total_Cost_MUSD]]*Table15[[#This Row],[prob500-failure_rating5]]/500</f>
        <v>5.0922089918000004E-7</v>
      </c>
      <c r="IK4" s="1">
        <f>Table15[[#This Row],[Total_Cost_MUSD]]*Table15[[#This Row],[prob500-failure_rating6]]/500</f>
        <v>1.3094251693200001E-5</v>
      </c>
      <c r="IL4" s="1">
        <f>Table15[[#This Row],[Total_Cost_MUSD]]*Table15[[#This Row],[prob500-failure_rating7]]/500</f>
        <v>1.3094251693200001E-5</v>
      </c>
      <c r="IM4" s="1">
        <f>Table15[[#This Row],[Total_Cost_MUSD]]*Table15[[#This Row],[prob500-failure_rating8]]/500</f>
        <v>2.9098337096000001E-7</v>
      </c>
      <c r="IN4" s="1">
        <f>Table15[[#This Row],[Total_Cost_MUSD]]*Table15[[#This Row],[prob500-failure_rating9]]/500</f>
        <v>1.8186460685000002E-7</v>
      </c>
      <c r="IO4" s="1">
        <f>Table15[[#This Row],[Total_Cost_MUSD]]*Table15[[#This Row],[prob100-failure_rating1]]/100</f>
        <v>4.5466151712500007E-3</v>
      </c>
      <c r="IP4" s="1">
        <f>Table15[[#This Row],[Total_Cost_MUSD]]*Table15[[#This Row],[prob100-failure_rating2]]/100</f>
        <v>2.1823752822000002E-3</v>
      </c>
      <c r="IQ4" s="1">
        <f>Table15[[#This Row],[Total_Cost_MUSD]]*Table15[[#This Row],[prob100-failure_rating3]]/100</f>
        <v>9.0932303425000005E-4</v>
      </c>
      <c r="IR4" s="1">
        <f>Table15[[#This Row],[Total_Cost_MUSD]]*Table15[[#This Row],[prob100-failure_rating4]]/100</f>
        <v>1.8186460685E-4</v>
      </c>
      <c r="IS4" s="1">
        <f>Table15[[#This Row],[Total_Cost_MUSD]]*Table15[[#This Row],[prob100-failure_rating5]]/100</f>
        <v>2.9098337095999999E-6</v>
      </c>
      <c r="IT4" s="1">
        <f>Table15[[#This Row],[Total_Cost_MUSD]]*Table15[[#This Row],[prob100-failure_rating6]]/100</f>
        <v>9.0932303424999999E-5</v>
      </c>
      <c r="IU4" s="1">
        <f>Table15[[#This Row],[Total_Cost_MUSD]]*Table15[[#This Row],[prob100-failure_rating7]]/100</f>
        <v>9.0932303424999999E-5</v>
      </c>
      <c r="IV4" s="1">
        <f>Table15[[#This Row],[Total_Cost_MUSD]]*Table15[[#This Row],[prob100-failure_rating8]]/100</f>
        <v>1.8186460685000002E-6</v>
      </c>
      <c r="IW4" s="1">
        <f>Table15[[#This Row],[Total_Cost_MUSD]]*Table15[[#This Row],[prob100-failure_rating9]]/100</f>
        <v>1.0911876411000001E-6</v>
      </c>
      <c r="IX4" s="1">
        <f>Table15[[#This Row],[Total_Cost_MUSD]]*Table15[[#This Row],[prob50-failure_rating1]]/50</f>
        <v>7.2745842740000004E-3</v>
      </c>
      <c r="IY4" s="1">
        <f>Table15[[#This Row],[Total_Cost_MUSD]]*Table15[[#This Row],[prob50-failure_rating2]]/50</f>
        <v>4.3647505644000004E-3</v>
      </c>
      <c r="IZ4" s="1">
        <f>Table15[[#This Row],[Total_Cost_MUSD]]*Table15[[#This Row],[prob50-failure_rating3]]/50</f>
        <v>9.4569595561999999E-4</v>
      </c>
      <c r="JA4" s="1">
        <f>Table15[[#This Row],[Total_Cost_MUSD]]*Table15[[#This Row],[prob50-failure_rating4]]/50</f>
        <v>3.637292137E-4</v>
      </c>
      <c r="JB4" s="1">
        <f>Table15[[#This Row],[Total_Cost_MUSD]]*Table15[[#This Row],[prob50-failure_rating5]]/50</f>
        <v>5.8196674191999998E-6</v>
      </c>
      <c r="JC4" s="1">
        <f>Table15[[#This Row],[Total_Cost_MUSD]]*Table15[[#This Row],[prob50-failure_rating6]]/50</f>
        <v>1.8186460685E-4</v>
      </c>
      <c r="JD4" s="1">
        <f>Table15[[#This Row],[Total_Cost_MUSD]]*Table15[[#This Row],[prob50-failure_rating7]]/50</f>
        <v>1.8186460685E-4</v>
      </c>
      <c r="JE4" s="1">
        <f>Table15[[#This Row],[Total_Cost_MUSD]]*Table15[[#This Row],[prob50-failure_rating8]]/50</f>
        <v>3.6372921370000005E-6</v>
      </c>
      <c r="JF4" s="1">
        <f>Table15[[#This Row],[Total_Cost_MUSD]]*Table15[[#This Row],[prob50-failure_rating9]]/50</f>
        <v>2.1823752822000001E-6</v>
      </c>
      <c r="JG4" s="1">
        <f>Table15[[#This Row],[Total_Cost_MUSD]]*Table15[[#This Row],[prob10-failure_rating1]]/10</f>
        <v>3.6372921369999998E-2</v>
      </c>
      <c r="JH4" s="1">
        <f>Table15[[#This Row],[Total_Cost_MUSD]]*Table15[[#This Row],[prob10-failure_rating2]]/10</f>
        <v>2.9098337095999998E-2</v>
      </c>
      <c r="JI4" s="1">
        <f>Table15[[#This Row],[Total_Cost_MUSD]]*Table15[[#This Row],[prob10-failure_rating3]]/10</f>
        <v>5.8196674192E-3</v>
      </c>
      <c r="JJ4" s="1">
        <f>Table15[[#This Row],[Total_Cost_MUSD]]*Table15[[#This Row],[prob10-failure_rating4]]/10</f>
        <v>2.1823752821999998E-3</v>
      </c>
      <c r="JK4" s="1">
        <f>Table15[[#This Row],[Total_Cost_MUSD]]*Table15[[#This Row],[prob10-failure_rating5]]/10</f>
        <v>1.4549168548000003E-4</v>
      </c>
      <c r="JL4" s="1">
        <f>Table15[[#This Row],[Total_Cost_MUSD]]*Table15[[#This Row],[prob10-failure_rating6]]/10</f>
        <v>1.4549168548E-3</v>
      </c>
      <c r="JM4" s="1">
        <f>Table15[[#This Row],[Total_Cost_MUSD]]*Table15[[#This Row],[prob10-failure_rating7]]/10</f>
        <v>1.4549168548E-3</v>
      </c>
      <c r="JN4" s="1">
        <f>Table15[[#This Row],[Total_Cost_MUSD]]*Table15[[#This Row],[prob10-failure_rating8]]/10</f>
        <v>7.2745842740000013E-5</v>
      </c>
      <c r="JO4" s="1">
        <f>Table15[[#This Row],[Total_Cost_MUSD]]*Table15[[#This Row],[prob10-failure_rating9]]/10</f>
        <v>1.4549168548E-5</v>
      </c>
      <c r="JP4" s="1">
        <f>Table15[[#This Row],[FailureCost_Rating1]]</f>
        <v>36372.921369999996</v>
      </c>
      <c r="JQ4" s="1">
        <f>Table15[[#This Row],[FailureCost_Rating2]]</f>
        <v>36372.921369999996</v>
      </c>
      <c r="JR4" s="1">
        <f>(Table15[[#This Row],[failurecost500_rating2]]+Table15[[#This Row],[failurecost100_rating2]]+Table15[[#This Row],[failurecost50_rating2]]+Table15[[#This Row],[failurecost10_rating2]])*1000000</f>
        <v>36372.921369999996</v>
      </c>
      <c r="JS4" s="1">
        <f>(Table15[[#This Row],[failurecost500_rating3]]+Table15[[#This Row],[failurecost100_rating3]]+Table15[[#This Row],[failurecost50_rating3]]+Table15[[#This Row],[failurecost10_rating3]])*1000000</f>
        <v>7856.5510159199994</v>
      </c>
      <c r="JT4" s="1">
        <f>(Table15[[#This Row],[failurecost500_rating4]]+Table15[[#This Row],[failurecost100_rating4]]+Table15[[#This Row],[failurecost50_rating4]]+Table15[[#This Row],[failurecost10_rating4]])*1000000</f>
        <v>2757.0674398459996</v>
      </c>
      <c r="JU4" s="1">
        <f>(Table15[[#This Row],[failurecost500_rating5]]+Table15[[#This Row],[failurecost100_rating5]]+Table15[[#This Row],[failurecost50_rating5]]+Table15[[#This Row],[failurecost10_rating5]])*1000000</f>
        <v>154.73040750798003</v>
      </c>
      <c r="JV4" s="1">
        <f>(Table15[[#This Row],[failurecost500_rating6]]+Table15[[#This Row],[failurecost100_rating6]]+Table15[[#This Row],[failurecost50_rating6]]+Table15[[#This Row],[failurecost10_rating6]])*1000000</f>
        <v>1740.8080167682001</v>
      </c>
      <c r="JW4" s="1">
        <f>(Table15[[#This Row],[failurecost500_rating7]]+Table15[[#This Row],[failurecost100_rating7]]+Table15[[#This Row],[failurecost50_rating7]]+Table15[[#This Row],[failurecost10_rating7]])*1000000</f>
        <v>1740.8080167682001</v>
      </c>
      <c r="JX4" s="1">
        <f>(Table15[[#This Row],[failurecost500_rating8]]+Table15[[#This Row],[failurecost100_rating8]]+Table15[[#This Row],[failurecost50_rating8]]+Table15[[#This Row],[failurecost10_rating8]])*1000000</f>
        <v>78.492764316460011</v>
      </c>
      <c r="JY4" s="1">
        <f>(Table15[[#This Row],[failurecost500_rating9]]+Table15[[#This Row],[failurecost100_rating9]]+Table15[[#This Row],[failurecost50_rating9]]+Table15[[#This Row],[failurecost10_rating9]])*1000000</f>
        <v>18.004596078150001</v>
      </c>
    </row>
    <row r="5" spans="1:285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Table15[[#This Row],[Depth10_Soil_vol]]*(9.353+9.027)+(Table15[[#This Row],[Depth10_Soil_vol]]/2.5)*20*1.053+(PI()*Table15[[#This Row],[Depth10_Scour]])*Table15[[#This Row],[DECK_WIDTH_MT_052]]*1.062</f>
        <v>0</v>
      </c>
      <c r="AR5" s="1">
        <f>Table15[[#This Row],[Depth50_Soil_vol]]*(9.353+9.027)+(Table15[[#This Row],[Depth50_Soil_vol]]/2.5)*20*1.053+(PI()*Table15[[#This Row],[Depth50_Scour]])*Table15[[#This Row],[DECK_WIDTH_MT_052]]*1.062</f>
        <v>8698.4034732067958</v>
      </c>
      <c r="AS5" s="1">
        <f>Table15[[#This Row],[Depth100_Soil_vol]]*(9.353+9.027)+(Table15[[#This Row],[Depth100_Soil_vol]]/2.5)*20*1.053+(PI()*Table15[[#This Row],[Depth100_Scour]])*Table15[[#This Row],[DECK_WIDTH_MT_052]]*1.062</f>
        <v>10436.848001870483</v>
      </c>
      <c r="AT5" s="1">
        <f>Table15[[#This Row],[Depth500_Soil_vol]]*(9.353+9.027)+(Table15[[#This Row],[Depth500_Soil_vol]]/2.5)*20*1.053+(PI()*Table15[[#This Row],[Depth500_Scour]])*Table15[[#This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9.6000000000000002E-2</v>
      </c>
      <c r="GF5" s="1">
        <v>16.12521495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f>0.1*Table15[[#This Row],[Total_Cost_MUSD]]*10000</f>
        <v>16125.214950000001</v>
      </c>
      <c r="GM5" s="1">
        <f>0.09*Table15[[#This Row],[Total_Cost_MUSD]]*10000</f>
        <v>14512.693454999999</v>
      </c>
      <c r="GN5" s="1">
        <f>0.08*Table15[[#This Row],[Total_Cost_MUSD]]*10000</f>
        <v>12900.17196</v>
      </c>
      <c r="GO5" s="1">
        <f>0.06*Table15[[#This Row],[Total_Cost_MUSD]]*10000</f>
        <v>9675.1289699999998</v>
      </c>
      <c r="GP5" s="1">
        <f>0.04*Table15[[#This Row],[Total_Cost_MUSD]]*10000</f>
        <v>6450.0859799999998</v>
      </c>
      <c r="GQ5" s="1">
        <f>0.02*Table15[[#This Row],[Total_Cost_MUSD]]*10000</f>
        <v>3225.0429899999999</v>
      </c>
      <c r="GR5" s="1">
        <f>Table15[[#This Row],[Total_Cost_MUSD]]*0.001*100000</f>
        <v>1612.5214950000002</v>
      </c>
      <c r="GS5" s="1">
        <v>0</v>
      </c>
      <c r="GT5" s="1">
        <v>0</v>
      </c>
      <c r="GU5" s="1">
        <v>0</v>
      </c>
      <c r="GV5" s="1">
        <f t="shared" si="0"/>
        <v>2.5000000000000001E-2</v>
      </c>
      <c r="GW5" s="1">
        <v>0.01</v>
      </c>
      <c r="GX5" s="1">
        <v>2.5000000000000001E-3</v>
      </c>
      <c r="GY5" s="1">
        <v>4.0000000000000002E-4</v>
      </c>
      <c r="GZ5" s="1">
        <v>6.9999999999999999E-6</v>
      </c>
      <c r="HA5" s="1">
        <v>1.8000000000000001E-4</v>
      </c>
      <c r="HB5" s="1">
        <v>1.8000000000000001E-4</v>
      </c>
      <c r="HC5" s="1">
        <v>3.9999999999999998E-6</v>
      </c>
      <c r="HD5" s="1">
        <v>2.5000000000000002E-6</v>
      </c>
      <c r="HE5" s="1">
        <f t="shared" si="1"/>
        <v>1.2500000000000001E-2</v>
      </c>
      <c r="HF5" s="1">
        <v>6.0000000000000001E-3</v>
      </c>
      <c r="HG5" s="1">
        <v>2.5000000000000001E-3</v>
      </c>
      <c r="HH5" s="1">
        <v>5.0000000000000001E-4</v>
      </c>
      <c r="HI5" s="1">
        <v>7.9999999999999996E-6</v>
      </c>
      <c r="HJ5" s="1">
        <v>2.5000000000000001E-4</v>
      </c>
      <c r="HK5" s="1">
        <v>2.5000000000000001E-4</v>
      </c>
      <c r="HL5" s="1">
        <v>5.0000000000000004E-6</v>
      </c>
      <c r="HM5" s="1">
        <v>3.0000000000000001E-6</v>
      </c>
      <c r="HN5" s="1">
        <v>0.01</v>
      </c>
      <c r="HO5" s="1">
        <v>6.0000000000000001E-3</v>
      </c>
      <c r="HP5" s="1">
        <v>1.2999999999999999E-3</v>
      </c>
      <c r="HQ5" s="1">
        <v>5.0000000000000001E-4</v>
      </c>
      <c r="HR5" s="1">
        <v>7.9999999999999996E-6</v>
      </c>
      <c r="HS5" s="1">
        <v>2.5000000000000001E-4</v>
      </c>
      <c r="HT5" s="1">
        <v>2.5000000000000001E-4</v>
      </c>
      <c r="HU5" s="1">
        <v>5.0000000000000004E-6</v>
      </c>
      <c r="HV5" s="1">
        <v>3.0000000000000001E-6</v>
      </c>
      <c r="HW5" s="1">
        <v>0.01</v>
      </c>
      <c r="HX5" s="1">
        <v>8.0000000000000002E-3</v>
      </c>
      <c r="HY5" s="1">
        <v>1.6000000000000001E-3</v>
      </c>
      <c r="HZ5" s="1">
        <v>5.9999999999999995E-4</v>
      </c>
      <c r="IA5" s="1">
        <v>4.0000000000000003E-5</v>
      </c>
      <c r="IB5" s="1">
        <v>4.0000000000000002E-4</v>
      </c>
      <c r="IC5" s="1">
        <v>4.0000000000000002E-4</v>
      </c>
      <c r="ID5" s="1">
        <v>2.0000000000000002E-5</v>
      </c>
      <c r="IE5" s="1">
        <v>3.9999999999999998E-6</v>
      </c>
      <c r="IF5" s="1">
        <f>Table15[[#This Row],[Total_Cost_MUSD]]*Table15[[#This Row],[prob500-failure_rating1]]/500</f>
        <v>8.062607475000001E-4</v>
      </c>
      <c r="IG5" s="1">
        <f>Table15[[#This Row],[Total_Cost_MUSD]]*Table15[[#This Row],[prob500-failure_rating2]]/500</f>
        <v>3.2250429899999999E-4</v>
      </c>
      <c r="IH5" s="1">
        <f>Table15[[#This Row],[Total_Cost_MUSD]]*Table15[[#This Row],[prob500-failure_rating3]]/500</f>
        <v>8.0626074749999996E-5</v>
      </c>
      <c r="II5" s="1">
        <f>Table15[[#This Row],[Total_Cost_MUSD]]*Table15[[#This Row],[prob500-failure_rating4]]/500</f>
        <v>1.2900171960000001E-5</v>
      </c>
      <c r="IJ5" s="1">
        <f>Table15[[#This Row],[Total_Cost_MUSD]]*Table15[[#This Row],[prob500-failure_rating5]]/500</f>
        <v>2.2575300930000001E-7</v>
      </c>
      <c r="IK5" s="1">
        <f>Table15[[#This Row],[Total_Cost_MUSD]]*Table15[[#This Row],[prob500-failure_rating6]]/500</f>
        <v>5.8050773820000009E-6</v>
      </c>
      <c r="IL5" s="1">
        <f>Table15[[#This Row],[Total_Cost_MUSD]]*Table15[[#This Row],[prob500-failure_rating7]]/500</f>
        <v>5.8050773820000009E-6</v>
      </c>
      <c r="IM5" s="1">
        <f>Table15[[#This Row],[Total_Cost_MUSD]]*Table15[[#This Row],[prob500-failure_rating8]]/500</f>
        <v>1.2900171959999999E-7</v>
      </c>
      <c r="IN5" s="1">
        <f>Table15[[#This Row],[Total_Cost_MUSD]]*Table15[[#This Row],[prob500-failure_rating9]]/500</f>
        <v>8.0626074750000003E-8</v>
      </c>
      <c r="IO5" s="1">
        <f>Table15[[#This Row],[Total_Cost_MUSD]]*Table15[[#This Row],[prob100-failure_rating1]]/100</f>
        <v>2.0156518687500001E-3</v>
      </c>
      <c r="IP5" s="1">
        <f>Table15[[#This Row],[Total_Cost_MUSD]]*Table15[[#This Row],[prob100-failure_rating2]]/100</f>
        <v>9.6751289700000012E-4</v>
      </c>
      <c r="IQ5" s="1">
        <f>Table15[[#This Row],[Total_Cost_MUSD]]*Table15[[#This Row],[prob100-failure_rating3]]/100</f>
        <v>4.0313037375E-4</v>
      </c>
      <c r="IR5" s="1">
        <f>Table15[[#This Row],[Total_Cost_MUSD]]*Table15[[#This Row],[prob100-failure_rating4]]/100</f>
        <v>8.062607475000001E-5</v>
      </c>
      <c r="IS5" s="1">
        <f>Table15[[#This Row],[Total_Cost_MUSD]]*Table15[[#This Row],[prob100-failure_rating5]]/100</f>
        <v>1.2900171959999998E-6</v>
      </c>
      <c r="IT5" s="1">
        <f>Table15[[#This Row],[Total_Cost_MUSD]]*Table15[[#This Row],[prob100-failure_rating6]]/100</f>
        <v>4.0313037375000005E-5</v>
      </c>
      <c r="IU5" s="1">
        <f>Table15[[#This Row],[Total_Cost_MUSD]]*Table15[[#This Row],[prob100-failure_rating7]]/100</f>
        <v>4.0313037375000005E-5</v>
      </c>
      <c r="IV5" s="1">
        <f>Table15[[#This Row],[Total_Cost_MUSD]]*Table15[[#This Row],[prob100-failure_rating8]]/100</f>
        <v>8.0626074750000009E-7</v>
      </c>
      <c r="IW5" s="1">
        <f>Table15[[#This Row],[Total_Cost_MUSD]]*Table15[[#This Row],[prob100-failure_rating9]]/100</f>
        <v>4.8375644849999997E-7</v>
      </c>
      <c r="IX5" s="1">
        <f>Table15[[#This Row],[Total_Cost_MUSD]]*Table15[[#This Row],[prob50-failure_rating1]]/50</f>
        <v>3.22504299E-3</v>
      </c>
      <c r="IY5" s="1">
        <f>Table15[[#This Row],[Total_Cost_MUSD]]*Table15[[#This Row],[prob50-failure_rating2]]/50</f>
        <v>1.9350257940000002E-3</v>
      </c>
      <c r="IZ5" s="1">
        <f>Table15[[#This Row],[Total_Cost_MUSD]]*Table15[[#This Row],[prob50-failure_rating3]]/50</f>
        <v>4.1925558869999999E-4</v>
      </c>
      <c r="JA5" s="1">
        <f>Table15[[#This Row],[Total_Cost_MUSD]]*Table15[[#This Row],[prob50-failure_rating4]]/50</f>
        <v>1.6125214950000002E-4</v>
      </c>
      <c r="JB5" s="1">
        <f>Table15[[#This Row],[Total_Cost_MUSD]]*Table15[[#This Row],[prob50-failure_rating5]]/50</f>
        <v>2.5800343919999997E-6</v>
      </c>
      <c r="JC5" s="1">
        <f>Table15[[#This Row],[Total_Cost_MUSD]]*Table15[[#This Row],[prob50-failure_rating6]]/50</f>
        <v>8.062607475000001E-5</v>
      </c>
      <c r="JD5" s="1">
        <f>Table15[[#This Row],[Total_Cost_MUSD]]*Table15[[#This Row],[prob50-failure_rating7]]/50</f>
        <v>8.062607475000001E-5</v>
      </c>
      <c r="JE5" s="1">
        <f>Table15[[#This Row],[Total_Cost_MUSD]]*Table15[[#This Row],[prob50-failure_rating8]]/50</f>
        <v>1.6125214950000002E-6</v>
      </c>
      <c r="JF5" s="1">
        <f>Table15[[#This Row],[Total_Cost_MUSD]]*Table15[[#This Row],[prob50-failure_rating9]]/50</f>
        <v>9.6751289699999993E-7</v>
      </c>
      <c r="JG5" s="1">
        <f>Table15[[#This Row],[Total_Cost_MUSD]]*Table15[[#This Row],[prob10-failure_rating1]]/10</f>
        <v>1.6125214950000001E-2</v>
      </c>
      <c r="JH5" s="1">
        <f>Table15[[#This Row],[Total_Cost_MUSD]]*Table15[[#This Row],[prob10-failure_rating2]]/10</f>
        <v>1.2900171960000002E-2</v>
      </c>
      <c r="JI5" s="1">
        <f>Table15[[#This Row],[Total_Cost_MUSD]]*Table15[[#This Row],[prob10-failure_rating3]]/10</f>
        <v>2.5800343920000003E-3</v>
      </c>
      <c r="JJ5" s="1">
        <f>Table15[[#This Row],[Total_Cost_MUSD]]*Table15[[#This Row],[prob10-failure_rating4]]/10</f>
        <v>9.675128969999999E-4</v>
      </c>
      <c r="JK5" s="1">
        <f>Table15[[#This Row],[Total_Cost_MUSD]]*Table15[[#This Row],[prob10-failure_rating5]]/10</f>
        <v>6.4500859800000005E-5</v>
      </c>
      <c r="JL5" s="1">
        <f>Table15[[#This Row],[Total_Cost_MUSD]]*Table15[[#This Row],[prob10-failure_rating6]]/10</f>
        <v>6.4500859800000008E-4</v>
      </c>
      <c r="JM5" s="1">
        <f>Table15[[#This Row],[Total_Cost_MUSD]]*Table15[[#This Row],[prob10-failure_rating7]]/10</f>
        <v>6.4500859800000008E-4</v>
      </c>
      <c r="JN5" s="1">
        <f>Table15[[#This Row],[Total_Cost_MUSD]]*Table15[[#This Row],[prob10-failure_rating8]]/10</f>
        <v>3.2250429900000003E-5</v>
      </c>
      <c r="JO5" s="1">
        <f>Table15[[#This Row],[Total_Cost_MUSD]]*Table15[[#This Row],[prob10-failure_rating9]]/10</f>
        <v>6.450085979999999E-6</v>
      </c>
      <c r="JP5" s="1">
        <f>Table15[[#This Row],[FailureCost_Rating1]]</f>
        <v>16125.214950000001</v>
      </c>
      <c r="JQ5" s="1">
        <f>Table15[[#This Row],[FailureCost_Rating2]]</f>
        <v>16125.214950000001</v>
      </c>
      <c r="JR5" s="1">
        <f>(Table15[[#This Row],[failurecost500_rating2]]+Table15[[#This Row],[failurecost100_rating2]]+Table15[[#This Row],[failurecost50_rating2]]+Table15[[#This Row],[failurecost10_rating2]])*1000000</f>
        <v>16125.214950000001</v>
      </c>
      <c r="JS5" s="1">
        <f>(Table15[[#This Row],[failurecost500_rating3]]+Table15[[#This Row],[failurecost100_rating3]]+Table15[[#This Row],[failurecost50_rating3]]+Table15[[#This Row],[failurecost10_rating3]])*1000000</f>
        <v>3483.0464292000001</v>
      </c>
      <c r="JT5" s="1">
        <f>(Table15[[#This Row],[failurecost500_rating4]]+Table15[[#This Row],[failurecost100_rating4]]+Table15[[#This Row],[failurecost50_rating4]]+Table15[[#This Row],[failurecost10_rating4]])*1000000</f>
        <v>1222.29129321</v>
      </c>
      <c r="JU5" s="1">
        <f>(Table15[[#This Row],[failurecost500_rating5]]+Table15[[#This Row],[failurecost100_rating5]]+Table15[[#This Row],[failurecost50_rating5]]+Table15[[#This Row],[failurecost10_rating5]])*1000000</f>
        <v>68.596664397300003</v>
      </c>
      <c r="JV5" s="1">
        <f>(Table15[[#This Row],[failurecost500_rating6]]+Table15[[#This Row],[failurecost100_rating6]]+Table15[[#This Row],[failurecost50_rating6]]+Table15[[#This Row],[failurecost10_rating6]])*1000000</f>
        <v>771.75278750699999</v>
      </c>
      <c r="JW5" s="1">
        <f>(Table15[[#This Row],[failurecost500_rating7]]+Table15[[#This Row],[failurecost100_rating7]]+Table15[[#This Row],[failurecost50_rating7]]+Table15[[#This Row],[failurecost10_rating7]])*1000000</f>
        <v>771.75278750699999</v>
      </c>
      <c r="JX5" s="1">
        <f>(Table15[[#This Row],[failurecost500_rating8]]+Table15[[#This Row],[failurecost100_rating8]]+Table15[[#This Row],[failurecost50_rating8]]+Table15[[#This Row],[failurecost10_rating8]])*1000000</f>
        <v>34.798213862099999</v>
      </c>
      <c r="JY5" s="1">
        <f>(Table15[[#This Row],[failurecost500_rating9]]+Table15[[#This Row],[failurecost100_rating9]]+Table15[[#This Row],[failurecost50_rating9]]+Table15[[#This Row],[failurecost10_rating9]])*1000000</f>
        <v>7.9819814002499987</v>
      </c>
    </row>
    <row r="6" spans="1:285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Table15[[#This Row],[Depth10_Soil_vol]]*(9.353+9.027)+(Table15[[#This Row],[Depth10_Soil_vol]]/2.5)*20*1.053+(PI()*Table15[[#This Row],[Depth10_Scour]])*Table15[[#This Row],[DECK_WIDTH_MT_052]]*1.062</f>
        <v>16919.4190908581</v>
      </c>
      <c r="AR6" s="1">
        <f>Table15[[#This Row],[Depth50_Soil_vol]]*(9.353+9.027)+(Table15[[#This Row],[Depth50_Soil_vol]]/2.5)*20*1.053+(PI()*Table15[[#This Row],[Depth50_Scour]])*Table15[[#This Row],[DECK_WIDTH_MT_052]]*1.062</f>
        <v>18202.748839783562</v>
      </c>
      <c r="AS6" s="1">
        <f>Table15[[#This Row],[Depth100_Soil_vol]]*(9.353+9.027)+(Table15[[#This Row],[Depth100_Soil_vol]]/2.5)*20*1.053+(PI()*Table15[[#This Row],[Depth100_Scour]])*Table15[[#This Row],[DECK_WIDTH_MT_052]]*1.062</f>
        <v>18769.361851972091</v>
      </c>
      <c r="AT6" s="1">
        <f>Table15[[#This Row],[Depth500_Soil_vol]]*(9.353+9.027)+(Table15[[#This Row],[Depth500_Soil_vol]]/2.5)*20*1.053+(PI()*Table15[[#This Row],[Depth500_Scour]])*Table15[[#This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6" s="1">
        <v>24.57844167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f>0.1*Table15[[#This Row],[Total_Cost_MUSD]]*10000</f>
        <v>24578.44167</v>
      </c>
      <c r="GM6" s="1">
        <f>0.09*Table15[[#This Row],[Total_Cost_MUSD]]*10000</f>
        <v>22120.597502999997</v>
      </c>
      <c r="GN6" s="1">
        <f>0.08*Table15[[#This Row],[Total_Cost_MUSD]]*10000</f>
        <v>19662.753336000002</v>
      </c>
      <c r="GO6" s="1">
        <f>0.06*Table15[[#This Row],[Total_Cost_MUSD]]*10000</f>
        <v>14747.065001999999</v>
      </c>
      <c r="GP6" s="1">
        <f>0.04*Table15[[#This Row],[Total_Cost_MUSD]]*10000</f>
        <v>9831.3766680000008</v>
      </c>
      <c r="GQ6" s="1">
        <f>0.02*Table15[[#This Row],[Total_Cost_MUSD]]*10000</f>
        <v>4915.6883340000004</v>
      </c>
      <c r="GR6" s="1">
        <f>Table15[[#This Row],[Total_Cost_MUSD]]*0.001*100000</f>
        <v>2457.8441669999997</v>
      </c>
      <c r="GS6" s="1">
        <v>0</v>
      </c>
      <c r="GT6" s="1">
        <v>0</v>
      </c>
      <c r="GU6" s="1">
        <v>0</v>
      </c>
      <c r="GV6" s="1">
        <f t="shared" si="0"/>
        <v>2.5000000000000001E-2</v>
      </c>
      <c r="GW6" s="1">
        <v>0.01</v>
      </c>
      <c r="GX6" s="1">
        <v>2.5000000000000001E-3</v>
      </c>
      <c r="GY6" s="1">
        <v>4.0000000000000002E-4</v>
      </c>
      <c r="GZ6" s="1">
        <v>6.9999999999999999E-6</v>
      </c>
      <c r="HA6" s="1">
        <v>1.8000000000000001E-4</v>
      </c>
      <c r="HB6" s="1">
        <v>1.8000000000000001E-4</v>
      </c>
      <c r="HC6" s="1">
        <v>3.9999999999999998E-6</v>
      </c>
      <c r="HD6" s="1">
        <v>2.5000000000000002E-6</v>
      </c>
      <c r="HE6" s="1">
        <f t="shared" si="1"/>
        <v>1.2500000000000001E-2</v>
      </c>
      <c r="HF6" s="1">
        <v>6.0000000000000001E-3</v>
      </c>
      <c r="HG6" s="1">
        <v>2.5000000000000001E-3</v>
      </c>
      <c r="HH6" s="1">
        <v>5.0000000000000001E-4</v>
      </c>
      <c r="HI6" s="1">
        <v>7.9999999999999996E-6</v>
      </c>
      <c r="HJ6" s="1">
        <v>2.5000000000000001E-4</v>
      </c>
      <c r="HK6" s="1">
        <v>2.5000000000000001E-4</v>
      </c>
      <c r="HL6" s="1">
        <v>5.0000000000000004E-6</v>
      </c>
      <c r="HM6" s="1">
        <v>3.0000000000000001E-6</v>
      </c>
      <c r="HN6" s="1">
        <v>0.01</v>
      </c>
      <c r="HO6" s="1">
        <v>6.0000000000000001E-3</v>
      </c>
      <c r="HP6" s="1">
        <v>1.2999999999999999E-3</v>
      </c>
      <c r="HQ6" s="1">
        <v>5.0000000000000001E-4</v>
      </c>
      <c r="HR6" s="1">
        <v>7.9999999999999996E-6</v>
      </c>
      <c r="HS6" s="1">
        <v>2.5000000000000001E-4</v>
      </c>
      <c r="HT6" s="1">
        <v>2.5000000000000001E-4</v>
      </c>
      <c r="HU6" s="1">
        <v>5.0000000000000004E-6</v>
      </c>
      <c r="HV6" s="1">
        <v>3.0000000000000001E-6</v>
      </c>
      <c r="HW6" s="1">
        <v>0.01</v>
      </c>
      <c r="HX6" s="1">
        <v>8.0000000000000002E-3</v>
      </c>
      <c r="HY6" s="1">
        <v>1.6000000000000001E-3</v>
      </c>
      <c r="HZ6" s="1">
        <v>5.9999999999999995E-4</v>
      </c>
      <c r="IA6" s="1">
        <v>4.0000000000000003E-5</v>
      </c>
      <c r="IB6" s="1">
        <v>4.0000000000000002E-4</v>
      </c>
      <c r="IC6" s="1">
        <v>4.0000000000000002E-4</v>
      </c>
      <c r="ID6" s="1">
        <v>2.0000000000000002E-5</v>
      </c>
      <c r="IE6" s="1">
        <v>3.9999999999999998E-6</v>
      </c>
      <c r="IF6" s="1">
        <f>Table15[[#This Row],[Total_Cost_MUSD]]*Table15[[#This Row],[prob500-failure_rating1]]/500</f>
        <v>1.2289220835E-3</v>
      </c>
      <c r="IG6" s="1">
        <f>Table15[[#This Row],[Total_Cost_MUSD]]*Table15[[#This Row],[prob500-failure_rating2]]/500</f>
        <v>4.9156883340000001E-4</v>
      </c>
      <c r="IH6" s="1">
        <f>Table15[[#This Row],[Total_Cost_MUSD]]*Table15[[#This Row],[prob500-failure_rating3]]/500</f>
        <v>1.2289220835E-4</v>
      </c>
      <c r="II6" s="1">
        <f>Table15[[#This Row],[Total_Cost_MUSD]]*Table15[[#This Row],[prob500-failure_rating4]]/500</f>
        <v>1.9662753336000002E-5</v>
      </c>
      <c r="IJ6" s="1">
        <f>Table15[[#This Row],[Total_Cost_MUSD]]*Table15[[#This Row],[prob500-failure_rating5]]/500</f>
        <v>3.4409818337999999E-7</v>
      </c>
      <c r="IK6" s="1">
        <f>Table15[[#This Row],[Total_Cost_MUSD]]*Table15[[#This Row],[prob500-failure_rating6]]/500</f>
        <v>8.8482390012000012E-6</v>
      </c>
      <c r="IL6" s="1">
        <f>Table15[[#This Row],[Total_Cost_MUSD]]*Table15[[#This Row],[prob500-failure_rating7]]/500</f>
        <v>8.8482390012000012E-6</v>
      </c>
      <c r="IM6" s="1">
        <f>Table15[[#This Row],[Total_Cost_MUSD]]*Table15[[#This Row],[prob500-failure_rating8]]/500</f>
        <v>1.9662753335999999E-7</v>
      </c>
      <c r="IN6" s="1">
        <f>Table15[[#This Row],[Total_Cost_MUSD]]*Table15[[#This Row],[prob500-failure_rating9]]/500</f>
        <v>1.2289220835E-7</v>
      </c>
      <c r="IO6" s="1">
        <f>Table15[[#This Row],[Total_Cost_MUSD]]*Table15[[#This Row],[prob100-failure_rating1]]/100</f>
        <v>3.0723052087500004E-3</v>
      </c>
      <c r="IP6" s="1">
        <f>Table15[[#This Row],[Total_Cost_MUSD]]*Table15[[#This Row],[prob100-failure_rating2]]/100</f>
        <v>1.4747065002E-3</v>
      </c>
      <c r="IQ6" s="1">
        <f>Table15[[#This Row],[Total_Cost_MUSD]]*Table15[[#This Row],[prob100-failure_rating3]]/100</f>
        <v>6.1446104175000001E-4</v>
      </c>
      <c r="IR6" s="1">
        <f>Table15[[#This Row],[Total_Cost_MUSD]]*Table15[[#This Row],[prob100-failure_rating4]]/100</f>
        <v>1.2289220835E-4</v>
      </c>
      <c r="IS6" s="1">
        <f>Table15[[#This Row],[Total_Cost_MUSD]]*Table15[[#This Row],[prob100-failure_rating5]]/100</f>
        <v>1.9662753335999999E-6</v>
      </c>
      <c r="IT6" s="1">
        <f>Table15[[#This Row],[Total_Cost_MUSD]]*Table15[[#This Row],[prob100-failure_rating6]]/100</f>
        <v>6.1446104175000001E-5</v>
      </c>
      <c r="IU6" s="1">
        <f>Table15[[#This Row],[Total_Cost_MUSD]]*Table15[[#This Row],[prob100-failure_rating7]]/100</f>
        <v>6.1446104175000001E-5</v>
      </c>
      <c r="IV6" s="1">
        <f>Table15[[#This Row],[Total_Cost_MUSD]]*Table15[[#This Row],[prob100-failure_rating8]]/100</f>
        <v>1.2289220835000001E-6</v>
      </c>
      <c r="IW6" s="1">
        <f>Table15[[#This Row],[Total_Cost_MUSD]]*Table15[[#This Row],[prob100-failure_rating9]]/100</f>
        <v>7.3735325010000003E-7</v>
      </c>
      <c r="IX6" s="1">
        <f>Table15[[#This Row],[Total_Cost_MUSD]]*Table15[[#This Row],[prob50-failure_rating1]]/50</f>
        <v>4.9156883340000001E-3</v>
      </c>
      <c r="IY6" s="1">
        <f>Table15[[#This Row],[Total_Cost_MUSD]]*Table15[[#This Row],[prob50-failure_rating2]]/50</f>
        <v>2.9494130004E-3</v>
      </c>
      <c r="IZ6" s="1">
        <f>Table15[[#This Row],[Total_Cost_MUSD]]*Table15[[#This Row],[prob50-failure_rating3]]/50</f>
        <v>6.3903948341999999E-4</v>
      </c>
      <c r="JA6" s="1">
        <f>Table15[[#This Row],[Total_Cost_MUSD]]*Table15[[#This Row],[prob50-failure_rating4]]/50</f>
        <v>2.457844167E-4</v>
      </c>
      <c r="JB6" s="1">
        <f>Table15[[#This Row],[Total_Cost_MUSD]]*Table15[[#This Row],[prob50-failure_rating5]]/50</f>
        <v>3.9325506671999999E-6</v>
      </c>
      <c r="JC6" s="1">
        <f>Table15[[#This Row],[Total_Cost_MUSD]]*Table15[[#This Row],[prob50-failure_rating6]]/50</f>
        <v>1.2289220835E-4</v>
      </c>
      <c r="JD6" s="1">
        <f>Table15[[#This Row],[Total_Cost_MUSD]]*Table15[[#This Row],[prob50-failure_rating7]]/50</f>
        <v>1.2289220835E-4</v>
      </c>
      <c r="JE6" s="1">
        <f>Table15[[#This Row],[Total_Cost_MUSD]]*Table15[[#This Row],[prob50-failure_rating8]]/50</f>
        <v>2.4578441670000002E-6</v>
      </c>
      <c r="JF6" s="1">
        <f>Table15[[#This Row],[Total_Cost_MUSD]]*Table15[[#This Row],[prob50-failure_rating9]]/50</f>
        <v>1.4747065002000001E-6</v>
      </c>
      <c r="JG6" s="1">
        <f>Table15[[#This Row],[Total_Cost_MUSD]]*Table15[[#This Row],[prob10-failure_rating1]]/10</f>
        <v>2.4578441669999999E-2</v>
      </c>
      <c r="JH6" s="1">
        <f>Table15[[#This Row],[Total_Cost_MUSD]]*Table15[[#This Row],[prob10-failure_rating2]]/10</f>
        <v>1.9662753336E-2</v>
      </c>
      <c r="JI6" s="1">
        <f>Table15[[#This Row],[Total_Cost_MUSD]]*Table15[[#This Row],[prob10-failure_rating3]]/10</f>
        <v>3.9325506672E-3</v>
      </c>
      <c r="JJ6" s="1">
        <f>Table15[[#This Row],[Total_Cost_MUSD]]*Table15[[#This Row],[prob10-failure_rating4]]/10</f>
        <v>1.4747065002E-3</v>
      </c>
      <c r="JK6" s="1">
        <f>Table15[[#This Row],[Total_Cost_MUSD]]*Table15[[#This Row],[prob10-failure_rating5]]/10</f>
        <v>9.8313766679999996E-5</v>
      </c>
      <c r="JL6" s="1">
        <f>Table15[[#This Row],[Total_Cost_MUSD]]*Table15[[#This Row],[prob10-failure_rating6]]/10</f>
        <v>9.8313766680000001E-4</v>
      </c>
      <c r="JM6" s="1">
        <f>Table15[[#This Row],[Total_Cost_MUSD]]*Table15[[#This Row],[prob10-failure_rating7]]/10</f>
        <v>9.8313766680000001E-4</v>
      </c>
      <c r="JN6" s="1">
        <f>Table15[[#This Row],[Total_Cost_MUSD]]*Table15[[#This Row],[prob10-failure_rating8]]/10</f>
        <v>4.9156883339999998E-5</v>
      </c>
      <c r="JO6" s="1">
        <f>Table15[[#This Row],[Total_Cost_MUSD]]*Table15[[#This Row],[prob10-failure_rating9]]/10</f>
        <v>9.8313766679999992E-6</v>
      </c>
      <c r="JP6" s="1">
        <f>Table15[[#This Row],[FailureCost_Rating1]]</f>
        <v>24578.44167</v>
      </c>
      <c r="JQ6" s="1">
        <f>Table15[[#This Row],[FailureCost_Rating2]]</f>
        <v>24578.44167</v>
      </c>
      <c r="JR6" s="1">
        <f>(Table15[[#This Row],[failurecost500_rating2]]+Table15[[#This Row],[failurecost100_rating2]]+Table15[[#This Row],[failurecost50_rating2]]+Table15[[#This Row],[failurecost10_rating2]])*1000000</f>
        <v>24578.44167</v>
      </c>
      <c r="JS6" s="1">
        <f>(Table15[[#This Row],[failurecost500_rating3]]+Table15[[#This Row],[failurecost100_rating3]]+Table15[[#This Row],[failurecost50_rating3]]+Table15[[#This Row],[failurecost10_rating3]])*1000000</f>
        <v>5308.9434007200007</v>
      </c>
      <c r="JT6" s="1">
        <f>(Table15[[#This Row],[failurecost500_rating4]]+Table15[[#This Row],[failurecost100_rating4]]+Table15[[#This Row],[failurecost50_rating4]]+Table15[[#This Row],[failurecost10_rating4]])*1000000</f>
        <v>1863.0458785860001</v>
      </c>
      <c r="JU6" s="1">
        <f>(Table15[[#This Row],[failurecost500_rating5]]+Table15[[#This Row],[failurecost100_rating5]]+Table15[[#This Row],[failurecost50_rating5]]+Table15[[#This Row],[failurecost10_rating5]])*1000000</f>
        <v>104.55669086418</v>
      </c>
      <c r="JV6" s="1">
        <f>(Table15[[#This Row],[failurecost500_rating6]]+Table15[[#This Row],[failurecost100_rating6]]+Table15[[#This Row],[failurecost50_rating6]]+Table15[[#This Row],[failurecost10_rating6]])*1000000</f>
        <v>1176.3242183262</v>
      </c>
      <c r="JW6" s="1">
        <f>(Table15[[#This Row],[failurecost500_rating7]]+Table15[[#This Row],[failurecost100_rating7]]+Table15[[#This Row],[failurecost50_rating7]]+Table15[[#This Row],[failurecost10_rating7]])*1000000</f>
        <v>1176.3242183262</v>
      </c>
      <c r="JX6" s="1">
        <f>(Table15[[#This Row],[failurecost500_rating8]]+Table15[[#This Row],[failurecost100_rating8]]+Table15[[#This Row],[failurecost50_rating8]]+Table15[[#This Row],[failurecost10_rating8]])*1000000</f>
        <v>53.040277123860001</v>
      </c>
      <c r="JY6" s="1">
        <f>(Table15[[#This Row],[failurecost500_rating9]]+Table15[[#This Row],[failurecost100_rating9]]+Table15[[#This Row],[failurecost50_rating9]]+Table15[[#This Row],[failurecost10_rating9]])*1000000</f>
        <v>12.166328626649999</v>
      </c>
    </row>
    <row r="7" spans="1:285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Table15[[#This Row],[Depth10_Soil_vol]]*(9.353+9.027)+(Table15[[#This Row],[Depth10_Soil_vol]]/2.5)*20*1.053+(PI()*Table15[[#This Row],[Depth10_Scour]])*Table15[[#This Row],[DECK_WIDTH_MT_052]]*1.062</f>
        <v>11407.250817613454</v>
      </c>
      <c r="AR7" s="1">
        <f>Table15[[#This Row],[Depth50_Soil_vol]]*(9.353+9.027)+(Table15[[#This Row],[Depth50_Soil_vol]]/2.5)*20*1.053+(PI()*Table15[[#This Row],[Depth50_Scour]])*Table15[[#This Row],[DECK_WIDTH_MT_052]]*1.062</f>
        <v>12369.739122689782</v>
      </c>
      <c r="AS7" s="1">
        <f>Table15[[#This Row],[Depth100_Soil_vol]]*(9.353+9.027)+(Table15[[#This Row],[Depth100_Soil_vol]]/2.5)*20*1.053+(PI()*Table15[[#This Row],[Depth100_Scour]])*Table15[[#This Row],[DECK_WIDTH_MT_052]]*1.062</f>
        <v>14750.148906789464</v>
      </c>
      <c r="AT7" s="1">
        <f>Table15[[#This Row],[Depth500_Soil_vol]]*(9.353+9.027)+(Table15[[#This Row],[Depth500_Soil_vol]]/2.5)*20*1.053+(PI()*Table15[[#This Row],[Depth500_Scour]])*Table15[[#This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0.39600000000000002</v>
      </c>
      <c r="GF7" s="1">
        <v>9.2416624370000005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f>0.1*Table15[[#This Row],[Total_Cost_MUSD]]*10000</f>
        <v>9241.6624370000009</v>
      </c>
      <c r="GM7" s="1">
        <f>0.09*Table15[[#This Row],[Total_Cost_MUSD]]*10000</f>
        <v>8317.4961932999995</v>
      </c>
      <c r="GN7" s="1">
        <f>0.08*Table15[[#This Row],[Total_Cost_MUSD]]*10000</f>
        <v>7393.3299496000009</v>
      </c>
      <c r="GO7" s="1">
        <f>0.06*Table15[[#This Row],[Total_Cost_MUSD]]*10000</f>
        <v>5544.9974622</v>
      </c>
      <c r="GP7" s="1">
        <f>0.04*Table15[[#This Row],[Total_Cost_MUSD]]*10000</f>
        <v>3696.6649748000004</v>
      </c>
      <c r="GQ7" s="1">
        <f>0.02*Table15[[#This Row],[Total_Cost_MUSD]]*10000</f>
        <v>1848.3324874000002</v>
      </c>
      <c r="GR7" s="1">
        <f>Table15[[#This Row],[Total_Cost_MUSD]]*0.001*100000</f>
        <v>924.1662437</v>
      </c>
      <c r="GS7" s="1">
        <v>0</v>
      </c>
      <c r="GT7" s="1">
        <v>0</v>
      </c>
      <c r="GU7" s="1">
        <v>0</v>
      </c>
      <c r="GV7" s="1">
        <f t="shared" si="0"/>
        <v>2.5000000000000001E-2</v>
      </c>
      <c r="GW7" s="1">
        <v>0.01</v>
      </c>
      <c r="GX7" s="1">
        <v>2.5000000000000001E-3</v>
      </c>
      <c r="GY7" s="1">
        <v>4.0000000000000002E-4</v>
      </c>
      <c r="GZ7" s="1">
        <v>6.9999999999999999E-6</v>
      </c>
      <c r="HA7" s="1">
        <v>1.8000000000000001E-4</v>
      </c>
      <c r="HB7" s="1">
        <v>1.8000000000000001E-4</v>
      </c>
      <c r="HC7" s="1">
        <v>3.9999999999999998E-6</v>
      </c>
      <c r="HD7" s="1">
        <v>2.5000000000000002E-6</v>
      </c>
      <c r="HE7" s="1">
        <f t="shared" si="1"/>
        <v>1.2500000000000001E-2</v>
      </c>
      <c r="HF7" s="1">
        <v>6.0000000000000001E-3</v>
      </c>
      <c r="HG7" s="1">
        <v>2.5000000000000001E-3</v>
      </c>
      <c r="HH7" s="1">
        <v>5.0000000000000001E-4</v>
      </c>
      <c r="HI7" s="1">
        <v>7.9999999999999996E-6</v>
      </c>
      <c r="HJ7" s="1">
        <v>2.5000000000000001E-4</v>
      </c>
      <c r="HK7" s="1">
        <v>2.5000000000000001E-4</v>
      </c>
      <c r="HL7" s="1">
        <v>5.0000000000000004E-6</v>
      </c>
      <c r="HM7" s="1">
        <v>3.0000000000000001E-6</v>
      </c>
      <c r="HN7" s="1">
        <v>0.01</v>
      </c>
      <c r="HO7" s="1">
        <v>6.0000000000000001E-3</v>
      </c>
      <c r="HP7" s="1">
        <v>1.2999999999999999E-3</v>
      </c>
      <c r="HQ7" s="1">
        <v>5.0000000000000001E-4</v>
      </c>
      <c r="HR7" s="1">
        <v>7.9999999999999996E-6</v>
      </c>
      <c r="HS7" s="1">
        <v>2.5000000000000001E-4</v>
      </c>
      <c r="HT7" s="1">
        <v>2.5000000000000001E-4</v>
      </c>
      <c r="HU7" s="1">
        <v>5.0000000000000004E-6</v>
      </c>
      <c r="HV7" s="1">
        <v>3.0000000000000001E-6</v>
      </c>
      <c r="HW7" s="1">
        <v>0.01</v>
      </c>
      <c r="HX7" s="1">
        <v>8.0000000000000002E-3</v>
      </c>
      <c r="HY7" s="1">
        <v>1.6000000000000001E-3</v>
      </c>
      <c r="HZ7" s="1">
        <v>5.9999999999999995E-4</v>
      </c>
      <c r="IA7" s="1">
        <v>4.0000000000000003E-5</v>
      </c>
      <c r="IB7" s="1">
        <v>4.0000000000000002E-4</v>
      </c>
      <c r="IC7" s="1">
        <v>4.0000000000000002E-4</v>
      </c>
      <c r="ID7" s="1">
        <v>2.0000000000000002E-5</v>
      </c>
      <c r="IE7" s="1">
        <v>3.9999999999999998E-6</v>
      </c>
      <c r="IF7" s="1">
        <f>Table15[[#This Row],[Total_Cost_MUSD]]*Table15[[#This Row],[prob500-failure_rating1]]/500</f>
        <v>4.6208312185000005E-4</v>
      </c>
      <c r="IG7" s="1">
        <f>Table15[[#This Row],[Total_Cost_MUSD]]*Table15[[#This Row],[prob500-failure_rating2]]/500</f>
        <v>1.8483324874E-4</v>
      </c>
      <c r="IH7" s="1">
        <f>Table15[[#This Row],[Total_Cost_MUSD]]*Table15[[#This Row],[prob500-failure_rating3]]/500</f>
        <v>4.6208312185000001E-5</v>
      </c>
      <c r="II7" s="1">
        <f>Table15[[#This Row],[Total_Cost_MUSD]]*Table15[[#This Row],[prob500-failure_rating4]]/500</f>
        <v>7.393329949600001E-6</v>
      </c>
      <c r="IJ7" s="1">
        <f>Table15[[#This Row],[Total_Cost_MUSD]]*Table15[[#This Row],[prob500-failure_rating5]]/500</f>
        <v>1.29383274118E-7</v>
      </c>
      <c r="IK7" s="1">
        <f>Table15[[#This Row],[Total_Cost_MUSD]]*Table15[[#This Row],[prob500-failure_rating6]]/500</f>
        <v>3.3269984773200001E-6</v>
      </c>
      <c r="IL7" s="1">
        <f>Table15[[#This Row],[Total_Cost_MUSD]]*Table15[[#This Row],[prob500-failure_rating7]]/500</f>
        <v>3.3269984773200001E-6</v>
      </c>
      <c r="IM7" s="1">
        <f>Table15[[#This Row],[Total_Cost_MUSD]]*Table15[[#This Row],[prob500-failure_rating8]]/500</f>
        <v>7.3933299496000012E-8</v>
      </c>
      <c r="IN7" s="1">
        <f>Table15[[#This Row],[Total_Cost_MUSD]]*Table15[[#This Row],[prob500-failure_rating9]]/500</f>
        <v>4.6208312185000009E-8</v>
      </c>
      <c r="IO7" s="1">
        <f>Table15[[#This Row],[Total_Cost_MUSD]]*Table15[[#This Row],[prob100-failure_rating1]]/100</f>
        <v>1.1552078046250002E-3</v>
      </c>
      <c r="IP7" s="1">
        <f>Table15[[#This Row],[Total_Cost_MUSD]]*Table15[[#This Row],[prob100-failure_rating2]]/100</f>
        <v>5.5449974622000004E-4</v>
      </c>
      <c r="IQ7" s="1">
        <f>Table15[[#This Row],[Total_Cost_MUSD]]*Table15[[#This Row],[prob100-failure_rating3]]/100</f>
        <v>2.3104156092500002E-4</v>
      </c>
      <c r="IR7" s="1">
        <f>Table15[[#This Row],[Total_Cost_MUSD]]*Table15[[#This Row],[prob100-failure_rating4]]/100</f>
        <v>4.6208312185000001E-5</v>
      </c>
      <c r="IS7" s="1">
        <f>Table15[[#This Row],[Total_Cost_MUSD]]*Table15[[#This Row],[prob100-failure_rating5]]/100</f>
        <v>7.3933299496000004E-7</v>
      </c>
      <c r="IT7" s="1">
        <f>Table15[[#This Row],[Total_Cost_MUSD]]*Table15[[#This Row],[prob100-failure_rating6]]/100</f>
        <v>2.31041560925E-5</v>
      </c>
      <c r="IU7" s="1">
        <f>Table15[[#This Row],[Total_Cost_MUSD]]*Table15[[#This Row],[prob100-failure_rating7]]/100</f>
        <v>2.31041560925E-5</v>
      </c>
      <c r="IV7" s="1">
        <f>Table15[[#This Row],[Total_Cost_MUSD]]*Table15[[#This Row],[prob100-failure_rating8]]/100</f>
        <v>4.6208312185000006E-7</v>
      </c>
      <c r="IW7" s="1">
        <f>Table15[[#This Row],[Total_Cost_MUSD]]*Table15[[#This Row],[prob100-failure_rating9]]/100</f>
        <v>2.7724987311000003E-7</v>
      </c>
      <c r="IX7" s="1">
        <f>Table15[[#This Row],[Total_Cost_MUSD]]*Table15[[#This Row],[prob50-failure_rating1]]/50</f>
        <v>1.8483324874000002E-3</v>
      </c>
      <c r="IY7" s="1">
        <f>Table15[[#This Row],[Total_Cost_MUSD]]*Table15[[#This Row],[prob50-failure_rating2]]/50</f>
        <v>1.1089994924400001E-3</v>
      </c>
      <c r="IZ7" s="1">
        <f>Table15[[#This Row],[Total_Cost_MUSD]]*Table15[[#This Row],[prob50-failure_rating3]]/50</f>
        <v>2.40283223362E-4</v>
      </c>
      <c r="JA7" s="1">
        <f>Table15[[#This Row],[Total_Cost_MUSD]]*Table15[[#This Row],[prob50-failure_rating4]]/50</f>
        <v>9.2416624370000001E-5</v>
      </c>
      <c r="JB7" s="1">
        <f>Table15[[#This Row],[Total_Cost_MUSD]]*Table15[[#This Row],[prob50-failure_rating5]]/50</f>
        <v>1.4786659899200001E-6</v>
      </c>
      <c r="JC7" s="1">
        <f>Table15[[#This Row],[Total_Cost_MUSD]]*Table15[[#This Row],[prob50-failure_rating6]]/50</f>
        <v>4.6208312185000001E-5</v>
      </c>
      <c r="JD7" s="1">
        <f>Table15[[#This Row],[Total_Cost_MUSD]]*Table15[[#This Row],[prob50-failure_rating7]]/50</f>
        <v>4.6208312185000001E-5</v>
      </c>
      <c r="JE7" s="1">
        <f>Table15[[#This Row],[Total_Cost_MUSD]]*Table15[[#This Row],[prob50-failure_rating8]]/50</f>
        <v>9.2416624370000012E-7</v>
      </c>
      <c r="JF7" s="1">
        <f>Table15[[#This Row],[Total_Cost_MUSD]]*Table15[[#This Row],[prob50-failure_rating9]]/50</f>
        <v>5.5449974622000005E-7</v>
      </c>
      <c r="JG7" s="1">
        <f>Table15[[#This Row],[Total_Cost_MUSD]]*Table15[[#This Row],[prob10-failure_rating1]]/10</f>
        <v>9.2416624369999999E-3</v>
      </c>
      <c r="JH7" s="1">
        <f>Table15[[#This Row],[Total_Cost_MUSD]]*Table15[[#This Row],[prob10-failure_rating2]]/10</f>
        <v>7.3933299495999999E-3</v>
      </c>
      <c r="JI7" s="1">
        <f>Table15[[#This Row],[Total_Cost_MUSD]]*Table15[[#This Row],[prob10-failure_rating3]]/10</f>
        <v>1.4786659899200002E-3</v>
      </c>
      <c r="JJ7" s="1">
        <f>Table15[[#This Row],[Total_Cost_MUSD]]*Table15[[#This Row],[prob10-failure_rating4]]/10</f>
        <v>5.5449974622000004E-4</v>
      </c>
      <c r="JK7" s="1">
        <f>Table15[[#This Row],[Total_Cost_MUSD]]*Table15[[#This Row],[prob10-failure_rating5]]/10</f>
        <v>3.6966649748000003E-5</v>
      </c>
      <c r="JL7" s="1">
        <f>Table15[[#This Row],[Total_Cost_MUSD]]*Table15[[#This Row],[prob10-failure_rating6]]/10</f>
        <v>3.6966649748000006E-4</v>
      </c>
      <c r="JM7" s="1">
        <f>Table15[[#This Row],[Total_Cost_MUSD]]*Table15[[#This Row],[prob10-failure_rating7]]/10</f>
        <v>3.6966649748000006E-4</v>
      </c>
      <c r="JN7" s="1">
        <f>Table15[[#This Row],[Total_Cost_MUSD]]*Table15[[#This Row],[prob10-failure_rating8]]/10</f>
        <v>1.8483324874000002E-5</v>
      </c>
      <c r="JO7" s="1">
        <f>Table15[[#This Row],[Total_Cost_MUSD]]*Table15[[#This Row],[prob10-failure_rating9]]/10</f>
        <v>3.6966649748000005E-6</v>
      </c>
      <c r="JP7" s="1">
        <f>Table15[[#This Row],[FailureCost_Rating1]]</f>
        <v>9241.662436999999</v>
      </c>
      <c r="JQ7" s="1">
        <f>Table15[[#This Row],[FailureCost_Rating2]]</f>
        <v>9241.662436999999</v>
      </c>
      <c r="JR7" s="1">
        <f>(Table15[[#This Row],[failurecost500_rating2]]+Table15[[#This Row],[failurecost100_rating2]]+Table15[[#This Row],[failurecost50_rating2]]+Table15[[#This Row],[failurecost10_rating2]])*1000000</f>
        <v>9241.662436999999</v>
      </c>
      <c r="JS7" s="1">
        <f>(Table15[[#This Row],[failurecost500_rating3]]+Table15[[#This Row],[failurecost100_rating3]]+Table15[[#This Row],[failurecost50_rating3]]+Table15[[#This Row],[failurecost10_rating3]])*1000000</f>
        <v>1996.199086392</v>
      </c>
      <c r="JT7" s="1">
        <f>(Table15[[#This Row],[failurecost500_rating4]]+Table15[[#This Row],[failurecost100_rating4]]+Table15[[#This Row],[failurecost50_rating4]]+Table15[[#This Row],[failurecost10_rating4]])*1000000</f>
        <v>700.5180127246</v>
      </c>
      <c r="JU7" s="1">
        <f>(Table15[[#This Row],[failurecost500_rating5]]+Table15[[#This Row],[failurecost100_rating5]]+Table15[[#This Row],[failurecost50_rating5]]+Table15[[#This Row],[failurecost10_rating5]])*1000000</f>
        <v>39.314032006997998</v>
      </c>
      <c r="JV7" s="1">
        <f>(Table15[[#This Row],[failurecost500_rating6]]+Table15[[#This Row],[failurecost100_rating6]]+Table15[[#This Row],[failurecost50_rating6]]+Table15[[#This Row],[failurecost10_rating6]])*1000000</f>
        <v>442.30596423482007</v>
      </c>
      <c r="JW7" s="1">
        <f>(Table15[[#This Row],[failurecost500_rating7]]+Table15[[#This Row],[failurecost100_rating7]]+Table15[[#This Row],[failurecost50_rating7]]+Table15[[#This Row],[failurecost10_rating7]])*1000000</f>
        <v>442.30596423482007</v>
      </c>
      <c r="JX7" s="1">
        <f>(Table15[[#This Row],[failurecost500_rating8]]+Table15[[#This Row],[failurecost100_rating8]]+Table15[[#This Row],[failurecost50_rating8]]+Table15[[#This Row],[failurecost10_rating8]])*1000000</f>
        <v>19.943507539046003</v>
      </c>
      <c r="JY7" s="1">
        <f>(Table15[[#This Row],[failurecost500_rating9]]+Table15[[#This Row],[failurecost100_rating9]]+Table15[[#This Row],[failurecost50_rating9]]+Table15[[#This Row],[failurecost10_rating9]])*1000000</f>
        <v>4.5746229063150006</v>
      </c>
    </row>
    <row r="8" spans="1:285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Table15[[#This Row],[Depth10_Soil_vol]]*(9.353+9.027)+(Table15[[#This Row],[Depth10_Soil_vol]]/2.5)*20*1.053+(PI()*Table15[[#This Row],[Depth10_Scour]])*Table15[[#This Row],[DECK_WIDTH_MT_052]]*1.062</f>
        <v>16463.256386162553</v>
      </c>
      <c r="AR8" s="1">
        <f>Table15[[#This Row],[Depth50_Soil_vol]]*(9.353+9.027)+(Table15[[#This Row],[Depth50_Soil_vol]]/2.5)*20*1.053+(PI()*Table15[[#This Row],[Depth50_Scour]])*Table15[[#This Row],[DECK_WIDTH_MT_052]]*1.062</f>
        <v>18935.802677782114</v>
      </c>
      <c r="AS8" s="1">
        <f>Table15[[#This Row],[Depth100_Soil_vol]]*(9.353+9.027)+(Table15[[#This Row],[Depth100_Soil_vol]]/2.5)*20*1.053+(PI()*Table15[[#This Row],[Depth100_Scour]])*Table15[[#This Row],[DECK_WIDTH_MT_052]]*1.062</f>
        <v>19959.892643325038</v>
      </c>
      <c r="AT8" s="1">
        <f>Table15[[#This Row],[Depth500_Soil_vol]]*(9.353+9.027)+(Table15[[#This Row],[Depth500_Soil_vol]]/2.5)*20*1.053+(PI()*Table15[[#This Row],[Depth500_Scour]])*Table15[[#This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0.52800000000000002</v>
      </c>
      <c r="GF8" s="1">
        <v>47.935071469999997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f>0.1*Table15[[#This Row],[Total_Cost_MUSD]]*10000</f>
        <v>47935.071469999995</v>
      </c>
      <c r="GM8" s="1">
        <f>0.09*Table15[[#This Row],[Total_Cost_MUSD]]*10000</f>
        <v>43141.564322999999</v>
      </c>
      <c r="GN8" s="1">
        <f>0.08*Table15[[#This Row],[Total_Cost_MUSD]]*10000</f>
        <v>38348.057175999995</v>
      </c>
      <c r="GO8" s="1">
        <f>0.06*Table15[[#This Row],[Total_Cost_MUSD]]*10000</f>
        <v>28761.042881999998</v>
      </c>
      <c r="GP8" s="1">
        <f>0.04*Table15[[#This Row],[Total_Cost_MUSD]]*10000</f>
        <v>19174.028587999997</v>
      </c>
      <c r="GQ8" s="1">
        <f>0.02*Table15[[#This Row],[Total_Cost_MUSD]]*10000</f>
        <v>9587.0142939999987</v>
      </c>
      <c r="GR8" s="1">
        <f>Table15[[#This Row],[Total_Cost_MUSD]]*0.001*100000</f>
        <v>4793.5071470000003</v>
      </c>
      <c r="GS8" s="1">
        <v>0</v>
      </c>
      <c r="GT8" s="1">
        <v>0</v>
      </c>
      <c r="GU8" s="1">
        <v>0</v>
      </c>
      <c r="GV8" s="1">
        <f t="shared" si="0"/>
        <v>2.5000000000000001E-2</v>
      </c>
      <c r="GW8" s="1">
        <v>0.01</v>
      </c>
      <c r="GX8" s="1">
        <v>2.5000000000000001E-3</v>
      </c>
      <c r="GY8" s="1">
        <v>4.0000000000000002E-4</v>
      </c>
      <c r="GZ8" s="1">
        <v>6.9999999999999999E-6</v>
      </c>
      <c r="HA8" s="1">
        <v>1.8000000000000001E-4</v>
      </c>
      <c r="HB8" s="1">
        <v>1.8000000000000001E-4</v>
      </c>
      <c r="HC8" s="1">
        <v>3.9999999999999998E-6</v>
      </c>
      <c r="HD8" s="1">
        <v>2.5000000000000002E-6</v>
      </c>
      <c r="HE8" s="1">
        <f t="shared" si="1"/>
        <v>1.2500000000000001E-2</v>
      </c>
      <c r="HF8" s="1">
        <v>6.0000000000000001E-3</v>
      </c>
      <c r="HG8" s="1">
        <v>2.5000000000000001E-3</v>
      </c>
      <c r="HH8" s="1">
        <v>5.0000000000000001E-4</v>
      </c>
      <c r="HI8" s="1">
        <v>7.9999999999999996E-6</v>
      </c>
      <c r="HJ8" s="1">
        <v>2.5000000000000001E-4</v>
      </c>
      <c r="HK8" s="1">
        <v>2.5000000000000001E-4</v>
      </c>
      <c r="HL8" s="1">
        <v>5.0000000000000004E-6</v>
      </c>
      <c r="HM8" s="1">
        <v>3.0000000000000001E-6</v>
      </c>
      <c r="HN8" s="1">
        <v>0.01</v>
      </c>
      <c r="HO8" s="1">
        <v>6.0000000000000001E-3</v>
      </c>
      <c r="HP8" s="1">
        <v>1.2999999999999999E-3</v>
      </c>
      <c r="HQ8" s="1">
        <v>5.0000000000000001E-4</v>
      </c>
      <c r="HR8" s="1">
        <v>7.9999999999999996E-6</v>
      </c>
      <c r="HS8" s="1">
        <v>2.5000000000000001E-4</v>
      </c>
      <c r="HT8" s="1">
        <v>2.5000000000000001E-4</v>
      </c>
      <c r="HU8" s="1">
        <v>5.0000000000000004E-6</v>
      </c>
      <c r="HV8" s="1">
        <v>3.0000000000000001E-6</v>
      </c>
      <c r="HW8" s="1">
        <v>0.01</v>
      </c>
      <c r="HX8" s="1">
        <v>8.0000000000000002E-3</v>
      </c>
      <c r="HY8" s="1">
        <v>1.6000000000000001E-3</v>
      </c>
      <c r="HZ8" s="1">
        <v>5.9999999999999995E-4</v>
      </c>
      <c r="IA8" s="1">
        <v>4.0000000000000003E-5</v>
      </c>
      <c r="IB8" s="1">
        <v>4.0000000000000002E-4</v>
      </c>
      <c r="IC8" s="1">
        <v>4.0000000000000002E-4</v>
      </c>
      <c r="ID8" s="1">
        <v>2.0000000000000002E-5</v>
      </c>
      <c r="IE8" s="1">
        <v>3.9999999999999998E-6</v>
      </c>
      <c r="IF8" s="1">
        <f>Table15[[#This Row],[Total_Cost_MUSD]]*Table15[[#This Row],[prob500-failure_rating1]]/500</f>
        <v>2.3967535734999998E-3</v>
      </c>
      <c r="IG8" s="1">
        <f>Table15[[#This Row],[Total_Cost_MUSD]]*Table15[[#This Row],[prob500-failure_rating2]]/500</f>
        <v>9.5870142939999989E-4</v>
      </c>
      <c r="IH8" s="1">
        <f>Table15[[#This Row],[Total_Cost_MUSD]]*Table15[[#This Row],[prob500-failure_rating3]]/500</f>
        <v>2.3967535734999997E-4</v>
      </c>
      <c r="II8" s="1">
        <f>Table15[[#This Row],[Total_Cost_MUSD]]*Table15[[#This Row],[prob500-failure_rating4]]/500</f>
        <v>3.8348057175999998E-5</v>
      </c>
      <c r="IJ8" s="1">
        <f>Table15[[#This Row],[Total_Cost_MUSD]]*Table15[[#This Row],[prob500-failure_rating5]]/500</f>
        <v>6.7109100057999997E-7</v>
      </c>
      <c r="IK8" s="1">
        <f>Table15[[#This Row],[Total_Cost_MUSD]]*Table15[[#This Row],[prob500-failure_rating6]]/500</f>
        <v>1.72566257292E-5</v>
      </c>
      <c r="IL8" s="1">
        <f>Table15[[#This Row],[Total_Cost_MUSD]]*Table15[[#This Row],[prob500-failure_rating7]]/500</f>
        <v>1.72566257292E-5</v>
      </c>
      <c r="IM8" s="1">
        <f>Table15[[#This Row],[Total_Cost_MUSD]]*Table15[[#This Row],[prob500-failure_rating8]]/500</f>
        <v>3.8348057175999999E-7</v>
      </c>
      <c r="IN8" s="1">
        <f>Table15[[#This Row],[Total_Cost_MUSD]]*Table15[[#This Row],[prob500-failure_rating9]]/500</f>
        <v>2.3967535734999997E-7</v>
      </c>
      <c r="IO8" s="1">
        <f>Table15[[#This Row],[Total_Cost_MUSD]]*Table15[[#This Row],[prob100-failure_rating1]]/100</f>
        <v>5.99188393375E-3</v>
      </c>
      <c r="IP8" s="1">
        <f>Table15[[#This Row],[Total_Cost_MUSD]]*Table15[[#This Row],[prob100-failure_rating2]]/100</f>
        <v>2.8761042881999999E-3</v>
      </c>
      <c r="IQ8" s="1">
        <f>Table15[[#This Row],[Total_Cost_MUSD]]*Table15[[#This Row],[prob100-failure_rating3]]/100</f>
        <v>1.1983767867499999E-3</v>
      </c>
      <c r="IR8" s="1">
        <f>Table15[[#This Row],[Total_Cost_MUSD]]*Table15[[#This Row],[prob100-failure_rating4]]/100</f>
        <v>2.3967535735E-4</v>
      </c>
      <c r="IS8" s="1">
        <f>Table15[[#This Row],[Total_Cost_MUSD]]*Table15[[#This Row],[prob100-failure_rating5]]/100</f>
        <v>3.8348057175999996E-6</v>
      </c>
      <c r="IT8" s="1">
        <f>Table15[[#This Row],[Total_Cost_MUSD]]*Table15[[#This Row],[prob100-failure_rating6]]/100</f>
        <v>1.19837678675E-4</v>
      </c>
      <c r="IU8" s="1">
        <f>Table15[[#This Row],[Total_Cost_MUSD]]*Table15[[#This Row],[prob100-failure_rating7]]/100</f>
        <v>1.19837678675E-4</v>
      </c>
      <c r="IV8" s="1">
        <f>Table15[[#This Row],[Total_Cost_MUSD]]*Table15[[#This Row],[prob100-failure_rating8]]/100</f>
        <v>2.3967535734999999E-6</v>
      </c>
      <c r="IW8" s="1">
        <f>Table15[[#This Row],[Total_Cost_MUSD]]*Table15[[#This Row],[prob100-failure_rating9]]/100</f>
        <v>1.4380521441E-6</v>
      </c>
      <c r="IX8" s="1">
        <f>Table15[[#This Row],[Total_Cost_MUSD]]*Table15[[#This Row],[prob50-failure_rating1]]/50</f>
        <v>9.5870142939999993E-3</v>
      </c>
      <c r="IY8" s="1">
        <f>Table15[[#This Row],[Total_Cost_MUSD]]*Table15[[#This Row],[prob50-failure_rating2]]/50</f>
        <v>5.7522085763999998E-3</v>
      </c>
      <c r="IZ8" s="1">
        <f>Table15[[#This Row],[Total_Cost_MUSD]]*Table15[[#This Row],[prob50-failure_rating3]]/50</f>
        <v>1.2463118582199998E-3</v>
      </c>
      <c r="JA8" s="1">
        <f>Table15[[#This Row],[Total_Cost_MUSD]]*Table15[[#This Row],[prob50-failure_rating4]]/50</f>
        <v>4.793507147E-4</v>
      </c>
      <c r="JB8" s="1">
        <f>Table15[[#This Row],[Total_Cost_MUSD]]*Table15[[#This Row],[prob50-failure_rating5]]/50</f>
        <v>7.6696114351999992E-6</v>
      </c>
      <c r="JC8" s="1">
        <f>Table15[[#This Row],[Total_Cost_MUSD]]*Table15[[#This Row],[prob50-failure_rating6]]/50</f>
        <v>2.3967535735E-4</v>
      </c>
      <c r="JD8" s="1">
        <f>Table15[[#This Row],[Total_Cost_MUSD]]*Table15[[#This Row],[prob50-failure_rating7]]/50</f>
        <v>2.3967535735E-4</v>
      </c>
      <c r="JE8" s="1">
        <f>Table15[[#This Row],[Total_Cost_MUSD]]*Table15[[#This Row],[prob50-failure_rating8]]/50</f>
        <v>4.7935071469999997E-6</v>
      </c>
      <c r="JF8" s="1">
        <f>Table15[[#This Row],[Total_Cost_MUSD]]*Table15[[#This Row],[prob50-failure_rating9]]/50</f>
        <v>2.8761042881999999E-6</v>
      </c>
      <c r="JG8" s="1">
        <f>Table15[[#This Row],[Total_Cost_MUSD]]*Table15[[#This Row],[prob10-failure_rating1]]/10</f>
        <v>4.7935071469999993E-2</v>
      </c>
      <c r="JH8" s="1">
        <f>Table15[[#This Row],[Total_Cost_MUSD]]*Table15[[#This Row],[prob10-failure_rating2]]/10</f>
        <v>3.8348057175999997E-2</v>
      </c>
      <c r="JI8" s="1">
        <f>Table15[[#This Row],[Total_Cost_MUSD]]*Table15[[#This Row],[prob10-failure_rating3]]/10</f>
        <v>7.6696114351999991E-3</v>
      </c>
      <c r="JJ8" s="1">
        <f>Table15[[#This Row],[Total_Cost_MUSD]]*Table15[[#This Row],[prob10-failure_rating4]]/10</f>
        <v>2.8761042881999994E-3</v>
      </c>
      <c r="JK8" s="1">
        <f>Table15[[#This Row],[Total_Cost_MUSD]]*Table15[[#This Row],[prob10-failure_rating5]]/10</f>
        <v>1.9174028587999999E-4</v>
      </c>
      <c r="JL8" s="1">
        <f>Table15[[#This Row],[Total_Cost_MUSD]]*Table15[[#This Row],[prob10-failure_rating6]]/10</f>
        <v>1.9174028587999998E-3</v>
      </c>
      <c r="JM8" s="1">
        <f>Table15[[#This Row],[Total_Cost_MUSD]]*Table15[[#This Row],[prob10-failure_rating7]]/10</f>
        <v>1.9174028587999998E-3</v>
      </c>
      <c r="JN8" s="1">
        <f>Table15[[#This Row],[Total_Cost_MUSD]]*Table15[[#This Row],[prob10-failure_rating8]]/10</f>
        <v>9.5870142939999994E-5</v>
      </c>
      <c r="JO8" s="1">
        <f>Table15[[#This Row],[Total_Cost_MUSD]]*Table15[[#This Row],[prob10-failure_rating9]]/10</f>
        <v>1.9174028587999999E-5</v>
      </c>
      <c r="JP8" s="1">
        <f>Table15[[#This Row],[FailureCost_Rating1]]</f>
        <v>47935.071469999995</v>
      </c>
      <c r="JQ8" s="1">
        <f>Table15[[#This Row],[FailureCost_Rating2]]</f>
        <v>47935.071469999995</v>
      </c>
      <c r="JR8" s="1">
        <f>(Table15[[#This Row],[failurecost500_rating2]]+Table15[[#This Row],[failurecost100_rating2]]+Table15[[#This Row],[failurecost50_rating2]]+Table15[[#This Row],[failurecost10_rating2]])*1000000</f>
        <v>47935.071469999995</v>
      </c>
      <c r="JS8" s="1">
        <f>(Table15[[#This Row],[failurecost500_rating3]]+Table15[[#This Row],[failurecost100_rating3]]+Table15[[#This Row],[failurecost50_rating3]]+Table15[[#This Row],[failurecost10_rating3]])*1000000</f>
        <v>10353.975437519999</v>
      </c>
      <c r="JT8" s="1">
        <f>(Table15[[#This Row],[failurecost500_rating4]]+Table15[[#This Row],[failurecost100_rating4]]+Table15[[#This Row],[failurecost50_rating4]]+Table15[[#This Row],[failurecost10_rating4]])*1000000</f>
        <v>3633.4784174259994</v>
      </c>
      <c r="JU8" s="1">
        <f>(Table15[[#This Row],[failurecost500_rating5]]+Table15[[#This Row],[failurecost100_rating5]]+Table15[[#This Row],[failurecost50_rating5]]+Table15[[#This Row],[failurecost10_rating5]])*1000000</f>
        <v>203.91579403338</v>
      </c>
      <c r="JV8" s="1">
        <f>(Table15[[#This Row],[failurecost500_rating6]]+Table15[[#This Row],[failurecost100_rating6]]+Table15[[#This Row],[failurecost50_rating6]]+Table15[[#This Row],[failurecost10_rating6]])*1000000</f>
        <v>2294.1725205541998</v>
      </c>
      <c r="JW8" s="1">
        <f>(Table15[[#This Row],[failurecost500_rating7]]+Table15[[#This Row],[failurecost100_rating7]]+Table15[[#This Row],[failurecost50_rating7]]+Table15[[#This Row],[failurecost10_rating7]])*1000000</f>
        <v>2294.1725205541998</v>
      </c>
      <c r="JX8" s="1">
        <f>(Table15[[#This Row],[failurecost500_rating8]]+Table15[[#This Row],[failurecost100_rating8]]+Table15[[#This Row],[failurecost50_rating8]]+Table15[[#This Row],[failurecost10_rating8]])*1000000</f>
        <v>103.44388423225999</v>
      </c>
      <c r="JY8" s="1">
        <f>(Table15[[#This Row],[failurecost500_rating9]]+Table15[[#This Row],[failurecost100_rating9]]+Table15[[#This Row],[failurecost50_rating9]]+Table15[[#This Row],[failurecost10_rating9]])*1000000</f>
        <v>23.72786037765</v>
      </c>
    </row>
    <row r="9" spans="1:285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Table15[[#This Row],[Depth10_Soil_vol]]*(9.353+9.027)+(Table15[[#This Row],[Depth10_Soil_vol]]/2.5)*20*1.053+(PI()*Table15[[#This Row],[Depth10_Scour]])*Table15[[#This Row],[DECK_WIDTH_MT_052]]*1.062</f>
        <v>6829.712539120831</v>
      </c>
      <c r="AR9" s="1">
        <f>Table15[[#This Row],[Depth50_Soil_vol]]*(9.353+9.027)+(Table15[[#This Row],[Depth50_Soil_vol]]/2.5)*20*1.053+(PI()*Table15[[#This Row],[Depth50_Scour]])*Table15[[#This Row],[DECK_WIDTH_MT_052]]*1.062</f>
        <v>7284.9335218547822</v>
      </c>
      <c r="AS9" s="1">
        <f>Table15[[#This Row],[Depth100_Soil_vol]]*(9.353+9.027)+(Table15[[#This Row],[Depth100_Soil_vol]]/2.5)*20*1.053+(PI()*Table15[[#This Row],[Depth100_Scour]])*Table15[[#This Row],[DECK_WIDTH_MT_052]]*1.062</f>
        <v>7678.6049905512346</v>
      </c>
      <c r="AT9" s="1">
        <f>Table15[[#This Row],[Depth500_Soil_vol]]*(9.353+9.027)+(Table15[[#This Row],[Depth500_Soil_vol]]/2.5)*20*1.053+(PI()*Table15[[#This Row],[Depth500_Scour]])*Table15[[#This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9" s="1">
        <v>42.732621100000003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f>0.1*Table15[[#This Row],[Total_Cost_MUSD]]*10000</f>
        <v>42732.621100000004</v>
      </c>
      <c r="GM9" s="1">
        <f>0.09*Table15[[#This Row],[Total_Cost_MUSD]]*10000</f>
        <v>38459.358990000001</v>
      </c>
      <c r="GN9" s="1">
        <f>0.08*Table15[[#This Row],[Total_Cost_MUSD]]*10000</f>
        <v>34186.096879999997</v>
      </c>
      <c r="GO9" s="1">
        <f>0.06*Table15[[#This Row],[Total_Cost_MUSD]]*10000</f>
        <v>25639.572660000002</v>
      </c>
      <c r="GP9" s="1">
        <f>0.04*Table15[[#This Row],[Total_Cost_MUSD]]*10000</f>
        <v>17093.048439999999</v>
      </c>
      <c r="GQ9" s="1">
        <f>0.02*Table15[[#This Row],[Total_Cost_MUSD]]*10000</f>
        <v>8546.5242199999993</v>
      </c>
      <c r="GR9" s="1">
        <f>Table15[[#This Row],[Total_Cost_MUSD]]*0.001*100000</f>
        <v>4273.2621100000006</v>
      </c>
      <c r="GS9" s="1">
        <v>0</v>
      </c>
      <c r="GT9" s="1">
        <v>0</v>
      </c>
      <c r="GU9" s="1">
        <v>0</v>
      </c>
      <c r="GV9" s="1">
        <f t="shared" si="0"/>
        <v>2.5000000000000001E-2</v>
      </c>
      <c r="GW9" s="1">
        <v>0.01</v>
      </c>
      <c r="GX9" s="1">
        <v>2.5000000000000001E-3</v>
      </c>
      <c r="GY9" s="1">
        <v>4.0000000000000002E-4</v>
      </c>
      <c r="GZ9" s="1">
        <v>6.9999999999999999E-6</v>
      </c>
      <c r="HA9" s="1">
        <v>1.8000000000000001E-4</v>
      </c>
      <c r="HB9" s="1">
        <v>1.8000000000000001E-4</v>
      </c>
      <c r="HC9" s="1">
        <v>3.9999999999999998E-6</v>
      </c>
      <c r="HD9" s="1">
        <v>2.5000000000000002E-6</v>
      </c>
      <c r="HE9" s="1">
        <f t="shared" si="1"/>
        <v>1.2500000000000001E-2</v>
      </c>
      <c r="HF9" s="1">
        <v>6.0000000000000001E-3</v>
      </c>
      <c r="HG9" s="1">
        <v>2.5000000000000001E-3</v>
      </c>
      <c r="HH9" s="1">
        <v>5.0000000000000001E-4</v>
      </c>
      <c r="HI9" s="1">
        <v>7.9999999999999996E-6</v>
      </c>
      <c r="HJ9" s="1">
        <v>2.5000000000000001E-4</v>
      </c>
      <c r="HK9" s="1">
        <v>2.5000000000000001E-4</v>
      </c>
      <c r="HL9" s="1">
        <v>5.0000000000000004E-6</v>
      </c>
      <c r="HM9" s="1">
        <v>3.0000000000000001E-6</v>
      </c>
      <c r="HN9" s="1">
        <v>0.01</v>
      </c>
      <c r="HO9" s="1">
        <v>6.0000000000000001E-3</v>
      </c>
      <c r="HP9" s="1">
        <v>1.2999999999999999E-3</v>
      </c>
      <c r="HQ9" s="1">
        <v>5.0000000000000001E-4</v>
      </c>
      <c r="HR9" s="1">
        <v>7.9999999999999996E-6</v>
      </c>
      <c r="HS9" s="1">
        <v>2.5000000000000001E-4</v>
      </c>
      <c r="HT9" s="1">
        <v>2.5000000000000001E-4</v>
      </c>
      <c r="HU9" s="1">
        <v>5.0000000000000004E-6</v>
      </c>
      <c r="HV9" s="1">
        <v>3.0000000000000001E-6</v>
      </c>
      <c r="HW9" s="1">
        <v>0.01</v>
      </c>
      <c r="HX9" s="1">
        <v>8.0000000000000002E-3</v>
      </c>
      <c r="HY9" s="1">
        <v>1.6000000000000001E-3</v>
      </c>
      <c r="HZ9" s="1">
        <v>5.9999999999999995E-4</v>
      </c>
      <c r="IA9" s="1">
        <v>4.0000000000000003E-5</v>
      </c>
      <c r="IB9" s="1">
        <v>4.0000000000000002E-4</v>
      </c>
      <c r="IC9" s="1">
        <v>4.0000000000000002E-4</v>
      </c>
      <c r="ID9" s="1">
        <v>2.0000000000000002E-5</v>
      </c>
      <c r="IE9" s="1">
        <v>3.9999999999999998E-6</v>
      </c>
      <c r="IF9" s="1">
        <f>Table15[[#This Row],[Total_Cost_MUSD]]*Table15[[#This Row],[prob500-failure_rating1]]/500</f>
        <v>2.1366310550000002E-3</v>
      </c>
      <c r="IG9" s="1">
        <f>Table15[[#This Row],[Total_Cost_MUSD]]*Table15[[#This Row],[prob500-failure_rating2]]/500</f>
        <v>8.5465242200000006E-4</v>
      </c>
      <c r="IH9" s="1">
        <f>Table15[[#This Row],[Total_Cost_MUSD]]*Table15[[#This Row],[prob500-failure_rating3]]/500</f>
        <v>2.1366310550000002E-4</v>
      </c>
      <c r="II9" s="1">
        <f>Table15[[#This Row],[Total_Cost_MUSD]]*Table15[[#This Row],[prob500-failure_rating4]]/500</f>
        <v>3.4186096880000002E-5</v>
      </c>
      <c r="IJ9" s="1">
        <f>Table15[[#This Row],[Total_Cost_MUSD]]*Table15[[#This Row],[prob500-failure_rating5]]/500</f>
        <v>5.9825669539999997E-7</v>
      </c>
      <c r="IK9" s="1">
        <f>Table15[[#This Row],[Total_Cost_MUSD]]*Table15[[#This Row],[prob500-failure_rating6]]/500</f>
        <v>1.5383743596000002E-5</v>
      </c>
      <c r="IL9" s="1">
        <f>Table15[[#This Row],[Total_Cost_MUSD]]*Table15[[#This Row],[prob500-failure_rating7]]/500</f>
        <v>1.5383743596000002E-5</v>
      </c>
      <c r="IM9" s="1">
        <f>Table15[[#This Row],[Total_Cost_MUSD]]*Table15[[#This Row],[prob500-failure_rating8]]/500</f>
        <v>3.418609688E-7</v>
      </c>
      <c r="IN9" s="1">
        <f>Table15[[#This Row],[Total_Cost_MUSD]]*Table15[[#This Row],[prob500-failure_rating9]]/500</f>
        <v>2.1366310550000004E-7</v>
      </c>
      <c r="IO9" s="1">
        <f>Table15[[#This Row],[Total_Cost_MUSD]]*Table15[[#This Row],[prob100-failure_rating1]]/100</f>
        <v>5.3415776375E-3</v>
      </c>
      <c r="IP9" s="1">
        <f>Table15[[#This Row],[Total_Cost_MUSD]]*Table15[[#This Row],[prob100-failure_rating2]]/100</f>
        <v>2.5639572660000002E-3</v>
      </c>
      <c r="IQ9" s="1">
        <f>Table15[[#This Row],[Total_Cost_MUSD]]*Table15[[#This Row],[prob100-failure_rating3]]/100</f>
        <v>1.0683155275000001E-3</v>
      </c>
      <c r="IR9" s="1">
        <f>Table15[[#This Row],[Total_Cost_MUSD]]*Table15[[#This Row],[prob100-failure_rating4]]/100</f>
        <v>2.1366310550000004E-4</v>
      </c>
      <c r="IS9" s="1">
        <f>Table15[[#This Row],[Total_Cost_MUSD]]*Table15[[#This Row],[prob100-failure_rating5]]/100</f>
        <v>3.4186096880000002E-6</v>
      </c>
      <c r="IT9" s="1">
        <f>Table15[[#This Row],[Total_Cost_MUSD]]*Table15[[#This Row],[prob100-failure_rating6]]/100</f>
        <v>1.0683155275000002E-4</v>
      </c>
      <c r="IU9" s="1">
        <f>Table15[[#This Row],[Total_Cost_MUSD]]*Table15[[#This Row],[prob100-failure_rating7]]/100</f>
        <v>1.0683155275000002E-4</v>
      </c>
      <c r="IV9" s="1">
        <f>Table15[[#This Row],[Total_Cost_MUSD]]*Table15[[#This Row],[prob100-failure_rating8]]/100</f>
        <v>2.1366310550000005E-6</v>
      </c>
      <c r="IW9" s="1">
        <f>Table15[[#This Row],[Total_Cost_MUSD]]*Table15[[#This Row],[prob100-failure_rating9]]/100</f>
        <v>1.2819786330000001E-6</v>
      </c>
      <c r="IX9" s="1">
        <f>Table15[[#This Row],[Total_Cost_MUSD]]*Table15[[#This Row],[prob50-failure_rating1]]/50</f>
        <v>8.5465242200000006E-3</v>
      </c>
      <c r="IY9" s="1">
        <f>Table15[[#This Row],[Total_Cost_MUSD]]*Table15[[#This Row],[prob50-failure_rating2]]/50</f>
        <v>5.1279145320000004E-3</v>
      </c>
      <c r="IZ9" s="1">
        <f>Table15[[#This Row],[Total_Cost_MUSD]]*Table15[[#This Row],[prob50-failure_rating3]]/50</f>
        <v>1.1110481486E-3</v>
      </c>
      <c r="JA9" s="1">
        <f>Table15[[#This Row],[Total_Cost_MUSD]]*Table15[[#This Row],[prob50-failure_rating4]]/50</f>
        <v>4.2732621100000009E-4</v>
      </c>
      <c r="JB9" s="1">
        <f>Table15[[#This Row],[Total_Cost_MUSD]]*Table15[[#This Row],[prob50-failure_rating5]]/50</f>
        <v>6.8372193760000004E-6</v>
      </c>
      <c r="JC9" s="1">
        <f>Table15[[#This Row],[Total_Cost_MUSD]]*Table15[[#This Row],[prob50-failure_rating6]]/50</f>
        <v>2.1366310550000004E-4</v>
      </c>
      <c r="JD9" s="1">
        <f>Table15[[#This Row],[Total_Cost_MUSD]]*Table15[[#This Row],[prob50-failure_rating7]]/50</f>
        <v>2.1366310550000004E-4</v>
      </c>
      <c r="JE9" s="1">
        <f>Table15[[#This Row],[Total_Cost_MUSD]]*Table15[[#This Row],[prob50-failure_rating8]]/50</f>
        <v>4.2732621100000011E-6</v>
      </c>
      <c r="JF9" s="1">
        <f>Table15[[#This Row],[Total_Cost_MUSD]]*Table15[[#This Row],[prob50-failure_rating9]]/50</f>
        <v>2.5639572660000001E-6</v>
      </c>
      <c r="JG9" s="1">
        <f>Table15[[#This Row],[Total_Cost_MUSD]]*Table15[[#This Row],[prob10-failure_rating1]]/10</f>
        <v>4.27326211E-2</v>
      </c>
      <c r="JH9" s="1">
        <f>Table15[[#This Row],[Total_Cost_MUSD]]*Table15[[#This Row],[prob10-failure_rating2]]/10</f>
        <v>3.4186096880000003E-2</v>
      </c>
      <c r="JI9" s="1">
        <f>Table15[[#This Row],[Total_Cost_MUSD]]*Table15[[#This Row],[prob10-failure_rating3]]/10</f>
        <v>6.8372193760000005E-3</v>
      </c>
      <c r="JJ9" s="1">
        <f>Table15[[#This Row],[Total_Cost_MUSD]]*Table15[[#This Row],[prob10-failure_rating4]]/10</f>
        <v>2.5639572659999998E-3</v>
      </c>
      <c r="JK9" s="1">
        <f>Table15[[#This Row],[Total_Cost_MUSD]]*Table15[[#This Row],[prob10-failure_rating5]]/10</f>
        <v>1.7093048440000003E-4</v>
      </c>
      <c r="JL9" s="1">
        <f>Table15[[#This Row],[Total_Cost_MUSD]]*Table15[[#This Row],[prob10-failure_rating6]]/10</f>
        <v>1.7093048440000001E-3</v>
      </c>
      <c r="JM9" s="1">
        <f>Table15[[#This Row],[Total_Cost_MUSD]]*Table15[[#This Row],[prob10-failure_rating7]]/10</f>
        <v>1.7093048440000001E-3</v>
      </c>
      <c r="JN9" s="1">
        <f>Table15[[#This Row],[Total_Cost_MUSD]]*Table15[[#This Row],[prob10-failure_rating8]]/10</f>
        <v>8.5465242200000015E-5</v>
      </c>
      <c r="JO9" s="1">
        <f>Table15[[#This Row],[Total_Cost_MUSD]]*Table15[[#This Row],[prob10-failure_rating9]]/10</f>
        <v>1.7093048440000001E-5</v>
      </c>
      <c r="JP9" s="1">
        <f>Table15[[#This Row],[FailureCost_Rating1]]</f>
        <v>42732.621100000004</v>
      </c>
      <c r="JQ9" s="1">
        <f>Table15[[#This Row],[FailureCost_Rating2]]</f>
        <v>42732.621100000004</v>
      </c>
      <c r="JR9" s="1">
        <f>(Table15[[#This Row],[failurecost500_rating2]]+Table15[[#This Row],[failurecost100_rating2]]+Table15[[#This Row],[failurecost50_rating2]]+Table15[[#This Row],[failurecost10_rating2]])*1000000</f>
        <v>42732.621100000004</v>
      </c>
      <c r="JS9" s="1">
        <f>(Table15[[#This Row],[failurecost500_rating3]]+Table15[[#This Row],[failurecost100_rating3]]+Table15[[#This Row],[failurecost50_rating3]]+Table15[[#This Row],[failurecost10_rating3]])*1000000</f>
        <v>9230.2461576000005</v>
      </c>
      <c r="JT9" s="1">
        <f>(Table15[[#This Row],[failurecost500_rating4]]+Table15[[#This Row],[failurecost100_rating4]]+Table15[[#This Row],[failurecost50_rating4]]+Table15[[#This Row],[failurecost10_rating4]])*1000000</f>
        <v>3239.1326793799999</v>
      </c>
      <c r="JU9" s="1">
        <f>(Table15[[#This Row],[failurecost500_rating5]]+Table15[[#This Row],[failurecost100_rating5]]+Table15[[#This Row],[failurecost50_rating5]]+Table15[[#This Row],[failurecost10_rating5]])*1000000</f>
        <v>181.7845701594</v>
      </c>
      <c r="JV9" s="1">
        <f>(Table15[[#This Row],[failurecost500_rating6]]+Table15[[#This Row],[failurecost100_rating6]]+Table15[[#This Row],[failurecost50_rating6]]+Table15[[#This Row],[failurecost10_rating6]])*1000000</f>
        <v>2045.1832458460001</v>
      </c>
      <c r="JW9" s="1">
        <f>(Table15[[#This Row],[failurecost500_rating7]]+Table15[[#This Row],[failurecost100_rating7]]+Table15[[#This Row],[failurecost50_rating7]]+Table15[[#This Row],[failurecost10_rating7]])*1000000</f>
        <v>2045.1832458460001</v>
      </c>
      <c r="JX9" s="1">
        <f>(Table15[[#This Row],[failurecost500_rating8]]+Table15[[#This Row],[failurecost100_rating8]]+Table15[[#This Row],[failurecost50_rating8]]+Table15[[#This Row],[failurecost10_rating8]])*1000000</f>
        <v>92.216996333800026</v>
      </c>
      <c r="JY9" s="1">
        <f>(Table15[[#This Row],[failurecost500_rating9]]+Table15[[#This Row],[failurecost100_rating9]]+Table15[[#This Row],[failurecost50_rating9]]+Table15[[#This Row],[failurecost10_rating9]])*1000000</f>
        <v>21.152647444500001</v>
      </c>
    </row>
    <row r="10" spans="1:285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Table15[[#This Row],[Depth10_Soil_vol]]*(9.353+9.027)+(Table15[[#This Row],[Depth10_Soil_vol]]/2.5)*20*1.053+(PI()*Table15[[#This Row],[Depth10_Scour]])*Table15[[#This Row],[DECK_WIDTH_MT_052]]*1.062</f>
        <v>2767.3671308174216</v>
      </c>
      <c r="AR10" s="1">
        <f>Table15[[#This Row],[Depth50_Soil_vol]]*(9.353+9.027)+(Table15[[#This Row],[Depth50_Soil_vol]]/2.5)*20*1.053+(PI()*Table15[[#This Row],[Depth50_Scour]])*Table15[[#This Row],[DECK_WIDTH_MT_052]]*1.062</f>
        <v>2942.0444801705157</v>
      </c>
      <c r="AS10" s="1">
        <f>Table15[[#This Row],[Depth100_Soil_vol]]*(9.353+9.027)+(Table15[[#This Row],[Depth100_Soil_vol]]/2.5)*20*1.053+(PI()*Table15[[#This Row],[Depth100_Scour]])*Table15[[#This Row],[DECK_WIDTH_MT_052]]*1.062</f>
        <v>3019.9468768096358</v>
      </c>
      <c r="AT10" s="1">
        <f>Table15[[#This Row],[Depth500_Soil_vol]]*(9.353+9.027)+(Table15[[#This Row],[Depth500_Soil_vol]]/2.5)*20*1.053+(PI()*Table15[[#This Row],[Depth500_Scour]])*Table15[[#This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10" s="1">
        <v>17.884614809999999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f>0.1*Table15[[#This Row],[Total_Cost_MUSD]]*10000</f>
        <v>17884.614809999999</v>
      </c>
      <c r="GM10" s="1">
        <f>0.09*Table15[[#This Row],[Total_Cost_MUSD]]*10000</f>
        <v>16096.153328999999</v>
      </c>
      <c r="GN10" s="1">
        <f>0.08*Table15[[#This Row],[Total_Cost_MUSD]]*10000</f>
        <v>14307.691847999999</v>
      </c>
      <c r="GO10" s="1">
        <f>0.06*Table15[[#This Row],[Total_Cost_MUSD]]*10000</f>
        <v>10730.768886</v>
      </c>
      <c r="GP10" s="1">
        <f>0.04*Table15[[#This Row],[Total_Cost_MUSD]]*10000</f>
        <v>7153.8459239999993</v>
      </c>
      <c r="GQ10" s="1">
        <f>0.02*Table15[[#This Row],[Total_Cost_MUSD]]*10000</f>
        <v>3576.9229619999996</v>
      </c>
      <c r="GR10" s="1">
        <f>Table15[[#This Row],[Total_Cost_MUSD]]*0.001*100000</f>
        <v>1788.4614809999998</v>
      </c>
      <c r="GS10" s="1">
        <v>0</v>
      </c>
      <c r="GT10" s="1">
        <v>0</v>
      </c>
      <c r="GU10" s="1">
        <v>0</v>
      </c>
      <c r="GV10" s="1">
        <f t="shared" si="0"/>
        <v>2.5000000000000001E-2</v>
      </c>
      <c r="GW10" s="1">
        <v>0.01</v>
      </c>
      <c r="GX10" s="1">
        <v>2.5000000000000001E-3</v>
      </c>
      <c r="GY10" s="1">
        <v>4.0000000000000002E-4</v>
      </c>
      <c r="GZ10" s="1">
        <v>6.9999999999999999E-6</v>
      </c>
      <c r="HA10" s="1">
        <v>1.8000000000000001E-4</v>
      </c>
      <c r="HB10" s="1">
        <v>1.8000000000000001E-4</v>
      </c>
      <c r="HC10" s="1">
        <v>3.9999999999999998E-6</v>
      </c>
      <c r="HD10" s="1">
        <v>2.5000000000000002E-6</v>
      </c>
      <c r="HE10" s="1">
        <f t="shared" si="1"/>
        <v>1.2500000000000001E-2</v>
      </c>
      <c r="HF10" s="1">
        <v>6.0000000000000001E-3</v>
      </c>
      <c r="HG10" s="1">
        <v>2.5000000000000001E-3</v>
      </c>
      <c r="HH10" s="1">
        <v>5.0000000000000001E-4</v>
      </c>
      <c r="HI10" s="1">
        <v>7.9999999999999996E-6</v>
      </c>
      <c r="HJ10" s="1">
        <v>2.5000000000000001E-4</v>
      </c>
      <c r="HK10" s="1">
        <v>2.5000000000000001E-4</v>
      </c>
      <c r="HL10" s="1">
        <v>5.0000000000000004E-6</v>
      </c>
      <c r="HM10" s="1">
        <v>3.0000000000000001E-6</v>
      </c>
      <c r="HN10" s="1">
        <v>0.01</v>
      </c>
      <c r="HO10" s="1">
        <v>6.0000000000000001E-3</v>
      </c>
      <c r="HP10" s="1">
        <v>1.2999999999999999E-3</v>
      </c>
      <c r="HQ10" s="1">
        <v>5.0000000000000001E-4</v>
      </c>
      <c r="HR10" s="1">
        <v>7.9999999999999996E-6</v>
      </c>
      <c r="HS10" s="1">
        <v>2.5000000000000001E-4</v>
      </c>
      <c r="HT10" s="1">
        <v>2.5000000000000001E-4</v>
      </c>
      <c r="HU10" s="1">
        <v>5.0000000000000004E-6</v>
      </c>
      <c r="HV10" s="1">
        <v>3.0000000000000001E-6</v>
      </c>
      <c r="HW10" s="1">
        <v>0.01</v>
      </c>
      <c r="HX10" s="1">
        <v>8.0000000000000002E-3</v>
      </c>
      <c r="HY10" s="1">
        <v>1.6000000000000001E-3</v>
      </c>
      <c r="HZ10" s="1">
        <v>5.9999999999999995E-4</v>
      </c>
      <c r="IA10" s="1">
        <v>4.0000000000000003E-5</v>
      </c>
      <c r="IB10" s="1">
        <v>4.0000000000000002E-4</v>
      </c>
      <c r="IC10" s="1">
        <v>4.0000000000000002E-4</v>
      </c>
      <c r="ID10" s="1">
        <v>2.0000000000000002E-5</v>
      </c>
      <c r="IE10" s="1">
        <v>3.9999999999999998E-6</v>
      </c>
      <c r="IF10" s="1">
        <f>Table15[[#This Row],[Total_Cost_MUSD]]*Table15[[#This Row],[prob500-failure_rating1]]/500</f>
        <v>8.9423074049999995E-4</v>
      </c>
      <c r="IG10" s="1">
        <f>Table15[[#This Row],[Total_Cost_MUSD]]*Table15[[#This Row],[prob500-failure_rating2]]/500</f>
        <v>3.5769229619999997E-4</v>
      </c>
      <c r="IH10" s="1">
        <f>Table15[[#This Row],[Total_Cost_MUSD]]*Table15[[#This Row],[prob500-failure_rating3]]/500</f>
        <v>8.9423074049999992E-5</v>
      </c>
      <c r="II10" s="1">
        <f>Table15[[#This Row],[Total_Cost_MUSD]]*Table15[[#This Row],[prob500-failure_rating4]]/500</f>
        <v>1.4307691847999999E-5</v>
      </c>
      <c r="IJ10" s="1">
        <f>Table15[[#This Row],[Total_Cost_MUSD]]*Table15[[#This Row],[prob500-failure_rating5]]/500</f>
        <v>2.5038460734000001E-7</v>
      </c>
      <c r="IK10" s="1">
        <f>Table15[[#This Row],[Total_Cost_MUSD]]*Table15[[#This Row],[prob500-failure_rating6]]/500</f>
        <v>6.4384613315999999E-6</v>
      </c>
      <c r="IL10" s="1">
        <f>Table15[[#This Row],[Total_Cost_MUSD]]*Table15[[#This Row],[prob500-failure_rating7]]/500</f>
        <v>6.4384613315999999E-6</v>
      </c>
      <c r="IM10" s="1">
        <f>Table15[[#This Row],[Total_Cost_MUSD]]*Table15[[#This Row],[prob500-failure_rating8]]/500</f>
        <v>1.4307691847999999E-7</v>
      </c>
      <c r="IN10" s="1">
        <f>Table15[[#This Row],[Total_Cost_MUSD]]*Table15[[#This Row],[prob500-failure_rating9]]/500</f>
        <v>8.9423074050000007E-8</v>
      </c>
      <c r="IO10" s="1">
        <f>Table15[[#This Row],[Total_Cost_MUSD]]*Table15[[#This Row],[prob100-failure_rating1]]/100</f>
        <v>2.2355768512499997E-3</v>
      </c>
      <c r="IP10" s="1">
        <f>Table15[[#This Row],[Total_Cost_MUSD]]*Table15[[#This Row],[prob100-failure_rating2]]/100</f>
        <v>1.0730768886000001E-3</v>
      </c>
      <c r="IQ10" s="1">
        <f>Table15[[#This Row],[Total_Cost_MUSD]]*Table15[[#This Row],[prob100-failure_rating3]]/100</f>
        <v>4.4711537024999997E-4</v>
      </c>
      <c r="IR10" s="1">
        <f>Table15[[#This Row],[Total_Cost_MUSD]]*Table15[[#This Row],[prob100-failure_rating4]]/100</f>
        <v>8.9423074049999992E-5</v>
      </c>
      <c r="IS10" s="1">
        <f>Table15[[#This Row],[Total_Cost_MUSD]]*Table15[[#This Row],[prob100-failure_rating5]]/100</f>
        <v>1.4307691847999999E-6</v>
      </c>
      <c r="IT10" s="1">
        <f>Table15[[#This Row],[Total_Cost_MUSD]]*Table15[[#This Row],[prob100-failure_rating6]]/100</f>
        <v>4.4711537024999996E-5</v>
      </c>
      <c r="IU10" s="1">
        <f>Table15[[#This Row],[Total_Cost_MUSD]]*Table15[[#This Row],[prob100-failure_rating7]]/100</f>
        <v>4.4711537024999996E-5</v>
      </c>
      <c r="IV10" s="1">
        <f>Table15[[#This Row],[Total_Cost_MUSD]]*Table15[[#This Row],[prob100-failure_rating8]]/100</f>
        <v>8.9423074050000002E-7</v>
      </c>
      <c r="IW10" s="1">
        <f>Table15[[#This Row],[Total_Cost_MUSD]]*Table15[[#This Row],[prob100-failure_rating9]]/100</f>
        <v>5.3653844429999999E-7</v>
      </c>
      <c r="IX10" s="1">
        <f>Table15[[#This Row],[Total_Cost_MUSD]]*Table15[[#This Row],[prob50-failure_rating1]]/50</f>
        <v>3.5769229619999998E-3</v>
      </c>
      <c r="IY10" s="1">
        <f>Table15[[#This Row],[Total_Cost_MUSD]]*Table15[[#This Row],[prob50-failure_rating2]]/50</f>
        <v>2.1461537772000001E-3</v>
      </c>
      <c r="IZ10" s="1">
        <f>Table15[[#This Row],[Total_Cost_MUSD]]*Table15[[#This Row],[prob50-failure_rating3]]/50</f>
        <v>4.6499998505999994E-4</v>
      </c>
      <c r="JA10" s="1">
        <f>Table15[[#This Row],[Total_Cost_MUSD]]*Table15[[#This Row],[prob50-failure_rating4]]/50</f>
        <v>1.7884614809999998E-4</v>
      </c>
      <c r="JB10" s="1">
        <f>Table15[[#This Row],[Total_Cost_MUSD]]*Table15[[#This Row],[prob50-failure_rating5]]/50</f>
        <v>2.8615383695999998E-6</v>
      </c>
      <c r="JC10" s="1">
        <f>Table15[[#This Row],[Total_Cost_MUSD]]*Table15[[#This Row],[prob50-failure_rating6]]/50</f>
        <v>8.9423074049999992E-5</v>
      </c>
      <c r="JD10" s="1">
        <f>Table15[[#This Row],[Total_Cost_MUSD]]*Table15[[#This Row],[prob50-failure_rating7]]/50</f>
        <v>8.9423074049999992E-5</v>
      </c>
      <c r="JE10" s="1">
        <f>Table15[[#This Row],[Total_Cost_MUSD]]*Table15[[#This Row],[prob50-failure_rating8]]/50</f>
        <v>1.788461481E-6</v>
      </c>
      <c r="JF10" s="1">
        <f>Table15[[#This Row],[Total_Cost_MUSD]]*Table15[[#This Row],[prob50-failure_rating9]]/50</f>
        <v>1.0730768886E-6</v>
      </c>
      <c r="JG10" s="1">
        <f>Table15[[#This Row],[Total_Cost_MUSD]]*Table15[[#This Row],[prob10-failure_rating1]]/10</f>
        <v>1.7884614809999998E-2</v>
      </c>
      <c r="JH10" s="1">
        <f>Table15[[#This Row],[Total_Cost_MUSD]]*Table15[[#This Row],[prob10-failure_rating2]]/10</f>
        <v>1.4307691847999997E-2</v>
      </c>
      <c r="JI10" s="1">
        <f>Table15[[#This Row],[Total_Cost_MUSD]]*Table15[[#This Row],[prob10-failure_rating3]]/10</f>
        <v>2.8615383695999998E-3</v>
      </c>
      <c r="JJ10" s="1">
        <f>Table15[[#This Row],[Total_Cost_MUSD]]*Table15[[#This Row],[prob10-failure_rating4]]/10</f>
        <v>1.0730768885999999E-3</v>
      </c>
      <c r="JK10" s="1">
        <f>Table15[[#This Row],[Total_Cost_MUSD]]*Table15[[#This Row],[prob10-failure_rating5]]/10</f>
        <v>7.153845924000001E-5</v>
      </c>
      <c r="JL10" s="1">
        <f>Table15[[#This Row],[Total_Cost_MUSD]]*Table15[[#This Row],[prob10-failure_rating6]]/10</f>
        <v>7.1538459239999994E-4</v>
      </c>
      <c r="JM10" s="1">
        <f>Table15[[#This Row],[Total_Cost_MUSD]]*Table15[[#This Row],[prob10-failure_rating7]]/10</f>
        <v>7.1538459239999994E-4</v>
      </c>
      <c r="JN10" s="1">
        <f>Table15[[#This Row],[Total_Cost_MUSD]]*Table15[[#This Row],[prob10-failure_rating8]]/10</f>
        <v>3.5769229620000005E-5</v>
      </c>
      <c r="JO10" s="1">
        <f>Table15[[#This Row],[Total_Cost_MUSD]]*Table15[[#This Row],[prob10-failure_rating9]]/10</f>
        <v>7.1538459239999993E-6</v>
      </c>
      <c r="JP10" s="1">
        <f>Table15[[#This Row],[FailureCost_Rating1]]</f>
        <v>17884.614809999999</v>
      </c>
      <c r="JQ10" s="1">
        <f>Table15[[#This Row],[FailureCost_Rating2]]</f>
        <v>17884.614809999999</v>
      </c>
      <c r="JR10" s="1">
        <f>(Table15[[#This Row],[failurecost500_rating2]]+Table15[[#This Row],[failurecost100_rating2]]+Table15[[#This Row],[failurecost50_rating2]]+Table15[[#This Row],[failurecost10_rating2]])*1000000</f>
        <v>17884.614809999999</v>
      </c>
      <c r="JS10" s="1">
        <f>(Table15[[#This Row],[failurecost500_rating3]]+Table15[[#This Row],[failurecost100_rating3]]+Table15[[#This Row],[failurecost50_rating3]]+Table15[[#This Row],[failurecost10_rating3]])*1000000</f>
        <v>3863.0767989599999</v>
      </c>
      <c r="JT10" s="1">
        <f>(Table15[[#This Row],[failurecost500_rating4]]+Table15[[#This Row],[failurecost100_rating4]]+Table15[[#This Row],[failurecost50_rating4]]+Table15[[#This Row],[failurecost10_rating4]])*1000000</f>
        <v>1355.6538025979999</v>
      </c>
      <c r="JU10" s="1">
        <f>(Table15[[#This Row],[failurecost500_rating5]]+Table15[[#This Row],[failurecost100_rating5]]+Table15[[#This Row],[failurecost50_rating5]]+Table15[[#This Row],[failurecost10_rating5]])*1000000</f>
        <v>76.081151401740016</v>
      </c>
      <c r="JV10" s="1">
        <f>(Table15[[#This Row],[failurecost500_rating6]]+Table15[[#This Row],[failurecost100_rating6]]+Table15[[#This Row],[failurecost50_rating6]]+Table15[[#This Row],[failurecost10_rating6]])*1000000</f>
        <v>855.95766480659995</v>
      </c>
      <c r="JW10" s="1">
        <f>(Table15[[#This Row],[failurecost500_rating7]]+Table15[[#This Row],[failurecost100_rating7]]+Table15[[#This Row],[failurecost50_rating7]]+Table15[[#This Row],[failurecost10_rating7]])*1000000</f>
        <v>855.95766480659995</v>
      </c>
      <c r="JX10" s="1">
        <f>(Table15[[#This Row],[failurecost500_rating8]]+Table15[[#This Row],[failurecost100_rating8]]+Table15[[#This Row],[failurecost50_rating8]]+Table15[[#This Row],[failurecost10_rating8]])*1000000</f>
        <v>38.594998759980001</v>
      </c>
      <c r="JY10" s="1">
        <f>(Table15[[#This Row],[failurecost500_rating9]]+Table15[[#This Row],[failurecost100_rating9]]+Table15[[#This Row],[failurecost50_rating9]]+Table15[[#This Row],[failurecost10_rating9]])*1000000</f>
        <v>8.8528843309499994</v>
      </c>
    </row>
    <row r="11" spans="1:285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Table15[[#This Row],[Depth10_Soil_vol]]*(9.353+9.027)+(Table15[[#This Row],[Depth10_Soil_vol]]/2.5)*20*1.053+(PI()*Table15[[#This Row],[Depth10_Scour]])*Table15[[#This Row],[DECK_WIDTH_MT_052]]*1.062</f>
        <v>12912.070383440046</v>
      </c>
      <c r="AR11" s="1">
        <f>Table15[[#This Row],[Depth50_Soil_vol]]*(9.353+9.027)+(Table15[[#This Row],[Depth50_Soil_vol]]/2.5)*20*1.053+(PI()*Table15[[#This Row],[Depth50_Scour]])*Table15[[#This Row],[DECK_WIDTH_MT_052]]*1.062</f>
        <v>13809.829327894035</v>
      </c>
      <c r="AS11" s="1">
        <f>Table15[[#This Row],[Depth100_Soil_vol]]*(9.353+9.027)+(Table15[[#This Row],[Depth100_Soil_vol]]/2.5)*20*1.053+(PI()*Table15[[#This Row],[Depth100_Scour]])*Table15[[#This Row],[DECK_WIDTH_MT_052]]*1.062</f>
        <v>14209.20261771438</v>
      </c>
      <c r="AT11" s="1">
        <f>Table15[[#This Row],[Depth500_Soil_vol]]*(9.353+9.027)+(Table15[[#This Row],[Depth500_Soil_vol]]/2.5)*20*1.053+(PI()*Table15[[#This Row],[Depth500_Scour]])*Table15[[#This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11" s="1">
        <v>61.928876150000001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f>0.1*Table15[[#This Row],[Total_Cost_MUSD]]*10000</f>
        <v>61928.876150000004</v>
      </c>
      <c r="GM11" s="1">
        <f>0.09*Table15[[#This Row],[Total_Cost_MUSD]]*10000</f>
        <v>55735.988535000004</v>
      </c>
      <c r="GN11" s="1">
        <f>0.08*Table15[[#This Row],[Total_Cost_MUSD]]*10000</f>
        <v>49543.100919999997</v>
      </c>
      <c r="GO11" s="1">
        <f>0.06*Table15[[#This Row],[Total_Cost_MUSD]]*10000</f>
        <v>37157.325689999998</v>
      </c>
      <c r="GP11" s="1">
        <f>0.04*Table15[[#This Row],[Total_Cost_MUSD]]*10000</f>
        <v>24771.550459999999</v>
      </c>
      <c r="GQ11" s="1">
        <f>0.02*Table15[[#This Row],[Total_Cost_MUSD]]*10000</f>
        <v>12385.775229999999</v>
      </c>
      <c r="GR11" s="1">
        <f>Table15[[#This Row],[Total_Cost_MUSD]]*0.001*100000</f>
        <v>6192.8876149999996</v>
      </c>
      <c r="GS11" s="1">
        <v>0</v>
      </c>
      <c r="GT11" s="1">
        <v>0</v>
      </c>
      <c r="GU11" s="1">
        <v>0</v>
      </c>
      <c r="GV11" s="1">
        <f t="shared" si="0"/>
        <v>2.5000000000000001E-2</v>
      </c>
      <c r="GW11" s="1">
        <v>0.01</v>
      </c>
      <c r="GX11" s="1">
        <v>2.5000000000000001E-3</v>
      </c>
      <c r="GY11" s="1">
        <v>4.0000000000000002E-4</v>
      </c>
      <c r="GZ11" s="1">
        <v>6.9999999999999999E-6</v>
      </c>
      <c r="HA11" s="1">
        <v>1.8000000000000001E-4</v>
      </c>
      <c r="HB11" s="1">
        <v>1.8000000000000001E-4</v>
      </c>
      <c r="HC11" s="1">
        <v>3.9999999999999998E-6</v>
      </c>
      <c r="HD11" s="1">
        <v>2.5000000000000002E-6</v>
      </c>
      <c r="HE11" s="1">
        <f t="shared" si="1"/>
        <v>1.2500000000000001E-2</v>
      </c>
      <c r="HF11" s="1">
        <v>6.0000000000000001E-3</v>
      </c>
      <c r="HG11" s="1">
        <v>2.5000000000000001E-3</v>
      </c>
      <c r="HH11" s="1">
        <v>5.0000000000000001E-4</v>
      </c>
      <c r="HI11" s="1">
        <v>7.9999999999999996E-6</v>
      </c>
      <c r="HJ11" s="1">
        <v>2.5000000000000001E-4</v>
      </c>
      <c r="HK11" s="1">
        <v>2.5000000000000001E-4</v>
      </c>
      <c r="HL11" s="1">
        <v>5.0000000000000004E-6</v>
      </c>
      <c r="HM11" s="1">
        <v>3.0000000000000001E-6</v>
      </c>
      <c r="HN11" s="1">
        <v>0.01</v>
      </c>
      <c r="HO11" s="1">
        <v>6.0000000000000001E-3</v>
      </c>
      <c r="HP11" s="1">
        <v>1.2999999999999999E-3</v>
      </c>
      <c r="HQ11" s="1">
        <v>5.0000000000000001E-4</v>
      </c>
      <c r="HR11" s="1">
        <v>7.9999999999999996E-6</v>
      </c>
      <c r="HS11" s="1">
        <v>2.5000000000000001E-4</v>
      </c>
      <c r="HT11" s="1">
        <v>2.5000000000000001E-4</v>
      </c>
      <c r="HU11" s="1">
        <v>5.0000000000000004E-6</v>
      </c>
      <c r="HV11" s="1">
        <v>3.0000000000000001E-6</v>
      </c>
      <c r="HW11" s="1">
        <v>0.01</v>
      </c>
      <c r="HX11" s="1">
        <v>8.0000000000000002E-3</v>
      </c>
      <c r="HY11" s="1">
        <v>1.6000000000000001E-3</v>
      </c>
      <c r="HZ11" s="1">
        <v>5.9999999999999995E-4</v>
      </c>
      <c r="IA11" s="1">
        <v>4.0000000000000003E-5</v>
      </c>
      <c r="IB11" s="1">
        <v>4.0000000000000002E-4</v>
      </c>
      <c r="IC11" s="1">
        <v>4.0000000000000002E-4</v>
      </c>
      <c r="ID11" s="1">
        <v>2.0000000000000002E-5</v>
      </c>
      <c r="IE11" s="1">
        <v>3.9999999999999998E-6</v>
      </c>
      <c r="IF11" s="1">
        <f>Table15[[#This Row],[Total_Cost_MUSD]]*Table15[[#This Row],[prob500-failure_rating1]]/500</f>
        <v>3.0964438075E-3</v>
      </c>
      <c r="IG11" s="1">
        <f>Table15[[#This Row],[Total_Cost_MUSD]]*Table15[[#This Row],[prob500-failure_rating2]]/500</f>
        <v>1.2385775230000001E-3</v>
      </c>
      <c r="IH11" s="1">
        <f>Table15[[#This Row],[Total_Cost_MUSD]]*Table15[[#This Row],[prob500-failure_rating3]]/500</f>
        <v>3.0964438075000003E-4</v>
      </c>
      <c r="II11" s="1">
        <f>Table15[[#This Row],[Total_Cost_MUSD]]*Table15[[#This Row],[prob500-failure_rating4]]/500</f>
        <v>4.9543100920000008E-5</v>
      </c>
      <c r="IJ11" s="1">
        <f>Table15[[#This Row],[Total_Cost_MUSD]]*Table15[[#This Row],[prob500-failure_rating5]]/500</f>
        <v>8.6700426610000001E-7</v>
      </c>
      <c r="IK11" s="1">
        <f>Table15[[#This Row],[Total_Cost_MUSD]]*Table15[[#This Row],[prob500-failure_rating6]]/500</f>
        <v>2.2294395414000002E-5</v>
      </c>
      <c r="IL11" s="1">
        <f>Table15[[#This Row],[Total_Cost_MUSD]]*Table15[[#This Row],[prob500-failure_rating7]]/500</f>
        <v>2.2294395414000002E-5</v>
      </c>
      <c r="IM11" s="1">
        <f>Table15[[#This Row],[Total_Cost_MUSD]]*Table15[[#This Row],[prob500-failure_rating8]]/500</f>
        <v>4.9543100920000003E-7</v>
      </c>
      <c r="IN11" s="1">
        <f>Table15[[#This Row],[Total_Cost_MUSD]]*Table15[[#This Row],[prob500-failure_rating9]]/500</f>
        <v>3.0964438075000005E-7</v>
      </c>
      <c r="IO11" s="1">
        <f>Table15[[#This Row],[Total_Cost_MUSD]]*Table15[[#This Row],[prob100-failure_rating1]]/100</f>
        <v>7.7411095187499999E-3</v>
      </c>
      <c r="IP11" s="1">
        <f>Table15[[#This Row],[Total_Cost_MUSD]]*Table15[[#This Row],[prob100-failure_rating2]]/100</f>
        <v>3.7157325690000006E-3</v>
      </c>
      <c r="IQ11" s="1">
        <f>Table15[[#This Row],[Total_Cost_MUSD]]*Table15[[#This Row],[prob100-failure_rating3]]/100</f>
        <v>1.54822190375E-3</v>
      </c>
      <c r="IR11" s="1">
        <f>Table15[[#This Row],[Total_Cost_MUSD]]*Table15[[#This Row],[prob100-failure_rating4]]/100</f>
        <v>3.0964438074999997E-4</v>
      </c>
      <c r="IS11" s="1">
        <f>Table15[[#This Row],[Total_Cost_MUSD]]*Table15[[#This Row],[prob100-failure_rating5]]/100</f>
        <v>4.9543100919999999E-6</v>
      </c>
      <c r="IT11" s="1">
        <f>Table15[[#This Row],[Total_Cost_MUSD]]*Table15[[#This Row],[prob100-failure_rating6]]/100</f>
        <v>1.5482219037499999E-4</v>
      </c>
      <c r="IU11" s="1">
        <f>Table15[[#This Row],[Total_Cost_MUSD]]*Table15[[#This Row],[prob100-failure_rating7]]/100</f>
        <v>1.5482219037499999E-4</v>
      </c>
      <c r="IV11" s="1">
        <f>Table15[[#This Row],[Total_Cost_MUSD]]*Table15[[#This Row],[prob100-failure_rating8]]/100</f>
        <v>3.0964438075000005E-6</v>
      </c>
      <c r="IW11" s="1">
        <f>Table15[[#This Row],[Total_Cost_MUSD]]*Table15[[#This Row],[prob100-failure_rating9]]/100</f>
        <v>1.8578662845000001E-6</v>
      </c>
      <c r="IX11" s="1">
        <f>Table15[[#This Row],[Total_Cost_MUSD]]*Table15[[#This Row],[prob50-failure_rating1]]/50</f>
        <v>1.238577523E-2</v>
      </c>
      <c r="IY11" s="1">
        <f>Table15[[#This Row],[Total_Cost_MUSD]]*Table15[[#This Row],[prob50-failure_rating2]]/50</f>
        <v>7.4314651380000011E-3</v>
      </c>
      <c r="IZ11" s="1">
        <f>Table15[[#This Row],[Total_Cost_MUSD]]*Table15[[#This Row],[prob50-failure_rating3]]/50</f>
        <v>1.6101507799000001E-3</v>
      </c>
      <c r="JA11" s="1">
        <f>Table15[[#This Row],[Total_Cost_MUSD]]*Table15[[#This Row],[prob50-failure_rating4]]/50</f>
        <v>6.1928876149999995E-4</v>
      </c>
      <c r="JB11" s="1">
        <f>Table15[[#This Row],[Total_Cost_MUSD]]*Table15[[#This Row],[prob50-failure_rating5]]/50</f>
        <v>9.9086201839999998E-6</v>
      </c>
      <c r="JC11" s="1">
        <f>Table15[[#This Row],[Total_Cost_MUSD]]*Table15[[#This Row],[prob50-failure_rating6]]/50</f>
        <v>3.0964438074999997E-4</v>
      </c>
      <c r="JD11" s="1">
        <f>Table15[[#This Row],[Total_Cost_MUSD]]*Table15[[#This Row],[prob50-failure_rating7]]/50</f>
        <v>3.0964438074999997E-4</v>
      </c>
      <c r="JE11" s="1">
        <f>Table15[[#This Row],[Total_Cost_MUSD]]*Table15[[#This Row],[prob50-failure_rating8]]/50</f>
        <v>6.192887615000001E-6</v>
      </c>
      <c r="JF11" s="1">
        <f>Table15[[#This Row],[Total_Cost_MUSD]]*Table15[[#This Row],[prob50-failure_rating9]]/50</f>
        <v>3.7157325690000001E-6</v>
      </c>
      <c r="JG11" s="1">
        <f>Table15[[#This Row],[Total_Cost_MUSD]]*Table15[[#This Row],[prob10-failure_rating1]]/10</f>
        <v>6.1928876149999999E-2</v>
      </c>
      <c r="JH11" s="1">
        <f>Table15[[#This Row],[Total_Cost_MUSD]]*Table15[[#This Row],[prob10-failure_rating2]]/10</f>
        <v>4.9543100919999999E-2</v>
      </c>
      <c r="JI11" s="1">
        <f>Table15[[#This Row],[Total_Cost_MUSD]]*Table15[[#This Row],[prob10-failure_rating3]]/10</f>
        <v>9.9086201840000009E-3</v>
      </c>
      <c r="JJ11" s="1">
        <f>Table15[[#This Row],[Total_Cost_MUSD]]*Table15[[#This Row],[prob10-failure_rating4]]/10</f>
        <v>3.7157325690000001E-3</v>
      </c>
      <c r="JK11" s="1">
        <f>Table15[[#This Row],[Total_Cost_MUSD]]*Table15[[#This Row],[prob10-failure_rating5]]/10</f>
        <v>2.4771550460000004E-4</v>
      </c>
      <c r="JL11" s="1">
        <f>Table15[[#This Row],[Total_Cost_MUSD]]*Table15[[#This Row],[prob10-failure_rating6]]/10</f>
        <v>2.4771550460000002E-3</v>
      </c>
      <c r="JM11" s="1">
        <f>Table15[[#This Row],[Total_Cost_MUSD]]*Table15[[#This Row],[prob10-failure_rating7]]/10</f>
        <v>2.4771550460000002E-3</v>
      </c>
      <c r="JN11" s="1">
        <f>Table15[[#This Row],[Total_Cost_MUSD]]*Table15[[#This Row],[prob10-failure_rating8]]/10</f>
        <v>1.2385775230000002E-4</v>
      </c>
      <c r="JO11" s="1">
        <f>Table15[[#This Row],[Total_Cost_MUSD]]*Table15[[#This Row],[prob10-failure_rating9]]/10</f>
        <v>2.477155046E-5</v>
      </c>
      <c r="JP11" s="1">
        <f>Table15[[#This Row],[FailureCost_Rating1]]</f>
        <v>61928.876149999996</v>
      </c>
      <c r="JQ11" s="1">
        <f>Table15[[#This Row],[FailureCost_Rating2]]</f>
        <v>61928.876149999996</v>
      </c>
      <c r="JR11" s="1">
        <f>(Table15[[#This Row],[failurecost500_rating2]]+Table15[[#This Row],[failurecost100_rating2]]+Table15[[#This Row],[failurecost50_rating2]]+Table15[[#This Row],[failurecost10_rating2]])*1000000</f>
        <v>61928.876149999996</v>
      </c>
      <c r="JS11" s="1">
        <f>(Table15[[#This Row],[failurecost500_rating3]]+Table15[[#This Row],[failurecost100_rating3]]+Table15[[#This Row],[failurecost50_rating3]]+Table15[[#This Row],[failurecost10_rating3]])*1000000</f>
        <v>13376.637248400002</v>
      </c>
      <c r="JT11" s="1">
        <f>(Table15[[#This Row],[failurecost500_rating4]]+Table15[[#This Row],[failurecost100_rating4]]+Table15[[#This Row],[failurecost50_rating4]]+Table15[[#This Row],[failurecost10_rating4]])*1000000</f>
        <v>4694.2088121699999</v>
      </c>
      <c r="JU11" s="1">
        <f>(Table15[[#This Row],[failurecost500_rating5]]+Table15[[#This Row],[failurecost100_rating5]]+Table15[[#This Row],[failurecost50_rating5]]+Table15[[#This Row],[failurecost10_rating5]])*1000000</f>
        <v>263.44543914210004</v>
      </c>
      <c r="JV11" s="1">
        <f>(Table15[[#This Row],[failurecost500_rating6]]+Table15[[#This Row],[failurecost100_rating6]]+Table15[[#This Row],[failurecost50_rating6]]+Table15[[#This Row],[failurecost10_rating6]])*1000000</f>
        <v>2963.9160125390003</v>
      </c>
      <c r="JW11" s="1">
        <f>(Table15[[#This Row],[failurecost500_rating7]]+Table15[[#This Row],[failurecost100_rating7]]+Table15[[#This Row],[failurecost50_rating7]]+Table15[[#This Row],[failurecost10_rating7]])*1000000</f>
        <v>2963.9160125390003</v>
      </c>
      <c r="JX11" s="1">
        <f>(Table15[[#This Row],[failurecost500_rating8]]+Table15[[#This Row],[failurecost100_rating8]]+Table15[[#This Row],[failurecost50_rating8]]+Table15[[#This Row],[failurecost10_rating8]])*1000000</f>
        <v>133.64251473170003</v>
      </c>
      <c r="JY11" s="1">
        <f>(Table15[[#This Row],[failurecost500_rating9]]+Table15[[#This Row],[failurecost100_rating9]]+Table15[[#This Row],[failurecost50_rating9]]+Table15[[#This Row],[failurecost10_rating9]])*1000000</f>
        <v>30.654793694249999</v>
      </c>
    </row>
    <row r="12" spans="1:285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Table15[[#This Row],[Depth10_Soil_vol]]*(9.353+9.027)+(Table15[[#This Row],[Depth10_Soil_vol]]/2.5)*20*1.053+(PI()*Table15[[#This Row],[Depth10_Scour]])*Table15[[#This Row],[DECK_WIDTH_MT_052]]*1.062</f>
        <v>6737.4062355001524</v>
      </c>
      <c r="AR12" s="1">
        <f>Table15[[#This Row],[Depth50_Soil_vol]]*(9.353+9.027)+(Table15[[#This Row],[Depth50_Soil_vol]]/2.5)*20*1.053+(PI()*Table15[[#This Row],[Depth50_Scour]])*Table15[[#This Row],[DECK_WIDTH_MT_052]]*1.062</f>
        <v>7415.8873465101096</v>
      </c>
      <c r="AS12" s="1">
        <f>Table15[[#This Row],[Depth100_Soil_vol]]*(9.353+9.027)+(Table15[[#This Row],[Depth100_Soil_vol]]/2.5)*20*1.053+(PI()*Table15[[#This Row],[Depth100_Scour]])*Table15[[#This Row],[DECK_WIDTH_MT_052]]*1.062</f>
        <v>7705.9386938101106</v>
      </c>
      <c r="AT12" s="1">
        <f>Table15[[#This Row],[Depth500_Soil_vol]]*(9.353+9.027)+(Table15[[#This Row],[Depth500_Soil_vol]]/2.5)*20*1.053+(PI()*Table15[[#This Row],[Depth500_Scour]])*Table15[[#This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12" s="1">
        <v>12.298697430000001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f>0.1*Table15[[#This Row],[Total_Cost_MUSD]]*10000</f>
        <v>12298.69743</v>
      </c>
      <c r="GM12" s="1">
        <f>0.09*Table15[[#This Row],[Total_Cost_MUSD]]*10000</f>
        <v>11068.827687000001</v>
      </c>
      <c r="GN12" s="1">
        <f>0.08*Table15[[#This Row],[Total_Cost_MUSD]]*10000</f>
        <v>9838.9579440000016</v>
      </c>
      <c r="GO12" s="1">
        <f>0.06*Table15[[#This Row],[Total_Cost_MUSD]]*10000</f>
        <v>7379.2184579999994</v>
      </c>
      <c r="GP12" s="1">
        <f>0.04*Table15[[#This Row],[Total_Cost_MUSD]]*10000</f>
        <v>4919.4789720000008</v>
      </c>
      <c r="GQ12" s="1">
        <f>0.02*Table15[[#This Row],[Total_Cost_MUSD]]*10000</f>
        <v>2459.7394860000004</v>
      </c>
      <c r="GR12" s="1">
        <f>Table15[[#This Row],[Total_Cost_MUSD]]*0.001*100000</f>
        <v>1229.8697430000002</v>
      </c>
      <c r="GS12" s="1">
        <v>0</v>
      </c>
      <c r="GT12" s="1">
        <v>0</v>
      </c>
      <c r="GU12" s="1">
        <v>0</v>
      </c>
      <c r="GV12" s="1">
        <f t="shared" si="0"/>
        <v>2.5000000000000001E-2</v>
      </c>
      <c r="GW12" s="1">
        <v>0.01</v>
      </c>
      <c r="GX12" s="1">
        <v>2.5000000000000001E-3</v>
      </c>
      <c r="GY12" s="1">
        <v>4.0000000000000002E-4</v>
      </c>
      <c r="GZ12" s="1">
        <v>6.9999999999999999E-6</v>
      </c>
      <c r="HA12" s="1">
        <v>1.8000000000000001E-4</v>
      </c>
      <c r="HB12" s="1">
        <v>1.8000000000000001E-4</v>
      </c>
      <c r="HC12" s="1">
        <v>3.9999999999999998E-6</v>
      </c>
      <c r="HD12" s="1">
        <v>2.5000000000000002E-6</v>
      </c>
      <c r="HE12" s="1">
        <f t="shared" si="1"/>
        <v>1.2500000000000001E-2</v>
      </c>
      <c r="HF12" s="1">
        <v>6.0000000000000001E-3</v>
      </c>
      <c r="HG12" s="1">
        <v>2.5000000000000001E-3</v>
      </c>
      <c r="HH12" s="1">
        <v>5.0000000000000001E-4</v>
      </c>
      <c r="HI12" s="1">
        <v>7.9999999999999996E-6</v>
      </c>
      <c r="HJ12" s="1">
        <v>2.5000000000000001E-4</v>
      </c>
      <c r="HK12" s="1">
        <v>2.5000000000000001E-4</v>
      </c>
      <c r="HL12" s="1">
        <v>5.0000000000000004E-6</v>
      </c>
      <c r="HM12" s="1">
        <v>3.0000000000000001E-6</v>
      </c>
      <c r="HN12" s="1">
        <v>0.01</v>
      </c>
      <c r="HO12" s="1">
        <v>6.0000000000000001E-3</v>
      </c>
      <c r="HP12" s="1">
        <v>1.2999999999999999E-3</v>
      </c>
      <c r="HQ12" s="1">
        <v>5.0000000000000001E-4</v>
      </c>
      <c r="HR12" s="1">
        <v>7.9999999999999996E-6</v>
      </c>
      <c r="HS12" s="1">
        <v>2.5000000000000001E-4</v>
      </c>
      <c r="HT12" s="1">
        <v>2.5000000000000001E-4</v>
      </c>
      <c r="HU12" s="1">
        <v>5.0000000000000004E-6</v>
      </c>
      <c r="HV12" s="1">
        <v>3.0000000000000001E-6</v>
      </c>
      <c r="HW12" s="1">
        <v>0.01</v>
      </c>
      <c r="HX12" s="1">
        <v>8.0000000000000002E-3</v>
      </c>
      <c r="HY12" s="1">
        <v>1.6000000000000001E-3</v>
      </c>
      <c r="HZ12" s="1">
        <v>5.9999999999999995E-4</v>
      </c>
      <c r="IA12" s="1">
        <v>4.0000000000000003E-5</v>
      </c>
      <c r="IB12" s="1">
        <v>4.0000000000000002E-4</v>
      </c>
      <c r="IC12" s="1">
        <v>4.0000000000000002E-4</v>
      </c>
      <c r="ID12" s="1">
        <v>2.0000000000000002E-5</v>
      </c>
      <c r="IE12" s="1">
        <v>3.9999999999999998E-6</v>
      </c>
      <c r="IF12" s="1">
        <f>Table15[[#This Row],[Total_Cost_MUSD]]*Table15[[#This Row],[prob500-failure_rating1]]/500</f>
        <v>6.1493487150000002E-4</v>
      </c>
      <c r="IG12" s="1">
        <f>Table15[[#This Row],[Total_Cost_MUSD]]*Table15[[#This Row],[prob500-failure_rating2]]/500</f>
        <v>2.4597394860000001E-4</v>
      </c>
      <c r="IH12" s="1">
        <f>Table15[[#This Row],[Total_Cost_MUSD]]*Table15[[#This Row],[prob500-failure_rating3]]/500</f>
        <v>6.1493487150000002E-5</v>
      </c>
      <c r="II12" s="1">
        <f>Table15[[#This Row],[Total_Cost_MUSD]]*Table15[[#This Row],[prob500-failure_rating4]]/500</f>
        <v>9.8389579440000009E-6</v>
      </c>
      <c r="IJ12" s="1">
        <f>Table15[[#This Row],[Total_Cost_MUSD]]*Table15[[#This Row],[prob500-failure_rating5]]/500</f>
        <v>1.7218176402E-7</v>
      </c>
      <c r="IK12" s="1">
        <f>Table15[[#This Row],[Total_Cost_MUSD]]*Table15[[#This Row],[prob500-failure_rating6]]/500</f>
        <v>4.4275310748000008E-6</v>
      </c>
      <c r="IL12" s="1">
        <f>Table15[[#This Row],[Total_Cost_MUSD]]*Table15[[#This Row],[prob500-failure_rating7]]/500</f>
        <v>4.4275310748000008E-6</v>
      </c>
      <c r="IM12" s="1">
        <f>Table15[[#This Row],[Total_Cost_MUSD]]*Table15[[#This Row],[prob500-failure_rating8]]/500</f>
        <v>9.8389579440000004E-8</v>
      </c>
      <c r="IN12" s="1">
        <f>Table15[[#This Row],[Total_Cost_MUSD]]*Table15[[#This Row],[prob500-failure_rating9]]/500</f>
        <v>6.1493487150000006E-8</v>
      </c>
      <c r="IO12" s="1">
        <f>Table15[[#This Row],[Total_Cost_MUSD]]*Table15[[#This Row],[prob100-failure_rating1]]/100</f>
        <v>1.53733717875E-3</v>
      </c>
      <c r="IP12" s="1">
        <f>Table15[[#This Row],[Total_Cost_MUSD]]*Table15[[#This Row],[prob100-failure_rating2]]/100</f>
        <v>7.3792184580000002E-4</v>
      </c>
      <c r="IQ12" s="1">
        <f>Table15[[#This Row],[Total_Cost_MUSD]]*Table15[[#This Row],[prob100-failure_rating3]]/100</f>
        <v>3.0746743575000001E-4</v>
      </c>
      <c r="IR12" s="1">
        <f>Table15[[#This Row],[Total_Cost_MUSD]]*Table15[[#This Row],[prob100-failure_rating4]]/100</f>
        <v>6.1493487150000002E-5</v>
      </c>
      <c r="IS12" s="1">
        <f>Table15[[#This Row],[Total_Cost_MUSD]]*Table15[[#This Row],[prob100-failure_rating5]]/100</f>
        <v>9.8389579440000009E-7</v>
      </c>
      <c r="IT12" s="1">
        <f>Table15[[#This Row],[Total_Cost_MUSD]]*Table15[[#This Row],[prob100-failure_rating6]]/100</f>
        <v>3.0746743575000001E-5</v>
      </c>
      <c r="IU12" s="1">
        <f>Table15[[#This Row],[Total_Cost_MUSD]]*Table15[[#This Row],[prob100-failure_rating7]]/100</f>
        <v>3.0746743575000001E-5</v>
      </c>
      <c r="IV12" s="1">
        <f>Table15[[#This Row],[Total_Cost_MUSD]]*Table15[[#This Row],[prob100-failure_rating8]]/100</f>
        <v>6.1493487150000006E-7</v>
      </c>
      <c r="IW12" s="1">
        <f>Table15[[#This Row],[Total_Cost_MUSD]]*Table15[[#This Row],[prob100-failure_rating9]]/100</f>
        <v>3.6896092290000003E-7</v>
      </c>
      <c r="IX12" s="1">
        <f>Table15[[#This Row],[Total_Cost_MUSD]]*Table15[[#This Row],[prob50-failure_rating1]]/50</f>
        <v>2.4597394860000001E-3</v>
      </c>
      <c r="IY12" s="1">
        <f>Table15[[#This Row],[Total_Cost_MUSD]]*Table15[[#This Row],[prob50-failure_rating2]]/50</f>
        <v>1.4758436916E-3</v>
      </c>
      <c r="IZ12" s="1">
        <f>Table15[[#This Row],[Total_Cost_MUSD]]*Table15[[#This Row],[prob50-failure_rating3]]/50</f>
        <v>3.1976613318000004E-4</v>
      </c>
      <c r="JA12" s="1">
        <f>Table15[[#This Row],[Total_Cost_MUSD]]*Table15[[#This Row],[prob50-failure_rating4]]/50</f>
        <v>1.229869743E-4</v>
      </c>
      <c r="JB12" s="1">
        <f>Table15[[#This Row],[Total_Cost_MUSD]]*Table15[[#This Row],[prob50-failure_rating5]]/50</f>
        <v>1.9677915888000002E-6</v>
      </c>
      <c r="JC12" s="1">
        <f>Table15[[#This Row],[Total_Cost_MUSD]]*Table15[[#This Row],[prob50-failure_rating6]]/50</f>
        <v>6.1493487150000002E-5</v>
      </c>
      <c r="JD12" s="1">
        <f>Table15[[#This Row],[Total_Cost_MUSD]]*Table15[[#This Row],[prob50-failure_rating7]]/50</f>
        <v>6.1493487150000002E-5</v>
      </c>
      <c r="JE12" s="1">
        <f>Table15[[#This Row],[Total_Cost_MUSD]]*Table15[[#This Row],[prob50-failure_rating8]]/50</f>
        <v>1.2298697430000001E-6</v>
      </c>
      <c r="JF12" s="1">
        <f>Table15[[#This Row],[Total_Cost_MUSD]]*Table15[[#This Row],[prob50-failure_rating9]]/50</f>
        <v>7.3792184580000007E-7</v>
      </c>
      <c r="JG12" s="1">
        <f>Table15[[#This Row],[Total_Cost_MUSD]]*Table15[[#This Row],[prob10-failure_rating1]]/10</f>
        <v>1.2298697430000002E-2</v>
      </c>
      <c r="JH12" s="1">
        <f>Table15[[#This Row],[Total_Cost_MUSD]]*Table15[[#This Row],[prob10-failure_rating2]]/10</f>
        <v>9.838957944000002E-3</v>
      </c>
      <c r="JI12" s="1">
        <f>Table15[[#This Row],[Total_Cost_MUSD]]*Table15[[#This Row],[prob10-failure_rating3]]/10</f>
        <v>1.9677915888000001E-3</v>
      </c>
      <c r="JJ12" s="1">
        <f>Table15[[#This Row],[Total_Cost_MUSD]]*Table15[[#This Row],[prob10-failure_rating4]]/10</f>
        <v>7.3792184580000002E-4</v>
      </c>
      <c r="JK12" s="1">
        <f>Table15[[#This Row],[Total_Cost_MUSD]]*Table15[[#This Row],[prob10-failure_rating5]]/10</f>
        <v>4.9194789720000003E-5</v>
      </c>
      <c r="JL12" s="1">
        <f>Table15[[#This Row],[Total_Cost_MUSD]]*Table15[[#This Row],[prob10-failure_rating6]]/10</f>
        <v>4.9194789720000002E-4</v>
      </c>
      <c r="JM12" s="1">
        <f>Table15[[#This Row],[Total_Cost_MUSD]]*Table15[[#This Row],[prob10-failure_rating7]]/10</f>
        <v>4.9194789720000002E-4</v>
      </c>
      <c r="JN12" s="1">
        <f>Table15[[#This Row],[Total_Cost_MUSD]]*Table15[[#This Row],[prob10-failure_rating8]]/10</f>
        <v>2.4597394860000001E-5</v>
      </c>
      <c r="JO12" s="1">
        <f>Table15[[#This Row],[Total_Cost_MUSD]]*Table15[[#This Row],[prob10-failure_rating9]]/10</f>
        <v>4.9194789720000005E-6</v>
      </c>
      <c r="JP12" s="1">
        <f>Table15[[#This Row],[FailureCost_Rating1]]</f>
        <v>12298.697430000002</v>
      </c>
      <c r="JQ12" s="1">
        <f>Table15[[#This Row],[FailureCost_Rating2]]</f>
        <v>12298.697430000002</v>
      </c>
      <c r="JR12" s="1">
        <f>(Table15[[#This Row],[failurecost500_rating2]]+Table15[[#This Row],[failurecost100_rating2]]+Table15[[#This Row],[failurecost50_rating2]]+Table15[[#This Row],[failurecost10_rating2]])*1000000</f>
        <v>12298.697430000002</v>
      </c>
      <c r="JS12" s="1">
        <f>(Table15[[#This Row],[failurecost500_rating3]]+Table15[[#This Row],[failurecost100_rating3]]+Table15[[#This Row],[failurecost50_rating3]]+Table15[[#This Row],[failurecost10_rating3]])*1000000</f>
        <v>2656.51864488</v>
      </c>
      <c r="JT12" s="1">
        <f>(Table15[[#This Row],[failurecost500_rating4]]+Table15[[#This Row],[failurecost100_rating4]]+Table15[[#This Row],[failurecost50_rating4]]+Table15[[#This Row],[failurecost10_rating4]])*1000000</f>
        <v>932.24126519399999</v>
      </c>
      <c r="JU12" s="1">
        <f>(Table15[[#This Row],[failurecost500_rating5]]+Table15[[#This Row],[failurecost100_rating5]]+Table15[[#This Row],[failurecost50_rating5]]+Table15[[#This Row],[failurecost10_rating5]])*1000000</f>
        <v>52.318658867220002</v>
      </c>
      <c r="JV12" s="1">
        <f>(Table15[[#This Row],[failurecost500_rating6]]+Table15[[#This Row],[failurecost100_rating6]]+Table15[[#This Row],[failurecost50_rating6]]+Table15[[#This Row],[failurecost10_rating6]])*1000000</f>
        <v>588.61565899980008</v>
      </c>
      <c r="JW12" s="1">
        <f>(Table15[[#This Row],[failurecost500_rating7]]+Table15[[#This Row],[failurecost100_rating7]]+Table15[[#This Row],[failurecost50_rating7]]+Table15[[#This Row],[failurecost10_rating7]])*1000000</f>
        <v>588.61565899980008</v>
      </c>
      <c r="JX12" s="1">
        <f>(Table15[[#This Row],[failurecost500_rating8]]+Table15[[#This Row],[failurecost100_rating8]]+Table15[[#This Row],[failurecost50_rating8]]+Table15[[#This Row],[failurecost10_rating8]])*1000000</f>
        <v>26.54058905394</v>
      </c>
      <c r="JY12" s="1">
        <f>(Table15[[#This Row],[failurecost500_rating9]]+Table15[[#This Row],[failurecost100_rating9]]+Table15[[#This Row],[failurecost50_rating9]]+Table15[[#This Row],[failurecost10_rating9]])*1000000</f>
        <v>6.0878552278500013</v>
      </c>
    </row>
    <row r="13" spans="1:285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Table15[[#This Row],[Depth10_Soil_vol]]*(9.353+9.027)+(Table15[[#This Row],[Depth10_Soil_vol]]/2.5)*20*1.053+(PI()*Table15[[#This Row],[Depth10_Scour]])*Table15[[#This Row],[DECK_WIDTH_MT_052]]*1.062</f>
        <v>6992.666213599131</v>
      </c>
      <c r="AR13" s="1">
        <f>Table15[[#This Row],[Depth50_Soil_vol]]*(9.353+9.027)+(Table15[[#This Row],[Depth50_Soil_vol]]/2.5)*20*1.053+(PI()*Table15[[#This Row],[Depth50_Scour]])*Table15[[#This Row],[DECK_WIDTH_MT_052]]*1.062</f>
        <v>8975.9969727162606</v>
      </c>
      <c r="AS13" s="1">
        <f>Table15[[#This Row],[Depth100_Soil_vol]]*(9.353+9.027)+(Table15[[#This Row],[Depth100_Soil_vol]]/2.5)*20*1.053+(PI()*Table15[[#This Row],[Depth100_Scour]])*Table15[[#This Row],[DECK_WIDTH_MT_052]]*1.062</f>
        <v>9724.0394899581861</v>
      </c>
      <c r="AT13" s="1">
        <f>Table15[[#This Row],[Depth500_Soil_vol]]*(9.353+9.027)+(Table15[[#This Row],[Depth500_Soil_vol]]/2.5)*20*1.053+(PI()*Table15[[#This Row],[Depth500_Scour]])*Table15[[#This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</v>
      </c>
      <c r="GF13" s="1">
        <v>25.743303220000001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f>0.1*Table15[[#This Row],[Total_Cost_MUSD]]*10000</f>
        <v>25743.303220000002</v>
      </c>
      <c r="GM13" s="1">
        <f>0.09*Table15[[#This Row],[Total_Cost_MUSD]]*10000</f>
        <v>23168.972898</v>
      </c>
      <c r="GN13" s="1">
        <f>0.08*Table15[[#This Row],[Total_Cost_MUSD]]*10000</f>
        <v>20594.642576000002</v>
      </c>
      <c r="GO13" s="1">
        <f>0.06*Table15[[#This Row],[Total_Cost_MUSD]]*10000</f>
        <v>15445.981932000001</v>
      </c>
      <c r="GP13" s="1">
        <f>0.04*Table15[[#This Row],[Total_Cost_MUSD]]*10000</f>
        <v>10297.321288000001</v>
      </c>
      <c r="GQ13" s="1">
        <f>0.02*Table15[[#This Row],[Total_Cost_MUSD]]*10000</f>
        <v>5148.6606440000005</v>
      </c>
      <c r="GR13" s="1">
        <f>Table15[[#This Row],[Total_Cost_MUSD]]*0.001*100000</f>
        <v>2574.3303220000003</v>
      </c>
      <c r="GS13" s="1">
        <v>0</v>
      </c>
      <c r="GT13" s="1">
        <v>0</v>
      </c>
      <c r="GU13" s="1">
        <v>0</v>
      </c>
      <c r="GV13" s="1">
        <f t="shared" si="0"/>
        <v>2.5000000000000001E-2</v>
      </c>
      <c r="GW13" s="1">
        <v>0.01</v>
      </c>
      <c r="GX13" s="1">
        <v>2.5000000000000001E-3</v>
      </c>
      <c r="GY13" s="1">
        <v>4.0000000000000002E-4</v>
      </c>
      <c r="GZ13" s="1">
        <v>6.9999999999999999E-6</v>
      </c>
      <c r="HA13" s="1">
        <v>1.8000000000000001E-4</v>
      </c>
      <c r="HB13" s="1">
        <v>1.8000000000000001E-4</v>
      </c>
      <c r="HC13" s="1">
        <v>3.9999999999999998E-6</v>
      </c>
      <c r="HD13" s="1">
        <v>2.5000000000000002E-6</v>
      </c>
      <c r="HE13" s="1">
        <f t="shared" si="1"/>
        <v>1.2500000000000001E-2</v>
      </c>
      <c r="HF13" s="1">
        <v>6.0000000000000001E-3</v>
      </c>
      <c r="HG13" s="1">
        <v>2.5000000000000001E-3</v>
      </c>
      <c r="HH13" s="1">
        <v>5.0000000000000001E-4</v>
      </c>
      <c r="HI13" s="1">
        <v>7.9999999999999996E-6</v>
      </c>
      <c r="HJ13" s="1">
        <v>2.5000000000000001E-4</v>
      </c>
      <c r="HK13" s="1">
        <v>2.5000000000000001E-4</v>
      </c>
      <c r="HL13" s="1">
        <v>5.0000000000000004E-6</v>
      </c>
      <c r="HM13" s="1">
        <v>3.0000000000000001E-6</v>
      </c>
      <c r="HN13" s="1">
        <v>0.01</v>
      </c>
      <c r="HO13" s="1">
        <v>6.0000000000000001E-3</v>
      </c>
      <c r="HP13" s="1">
        <v>1.2999999999999999E-3</v>
      </c>
      <c r="HQ13" s="1">
        <v>5.0000000000000001E-4</v>
      </c>
      <c r="HR13" s="1">
        <v>7.9999999999999996E-6</v>
      </c>
      <c r="HS13" s="1">
        <v>2.5000000000000001E-4</v>
      </c>
      <c r="HT13" s="1">
        <v>2.5000000000000001E-4</v>
      </c>
      <c r="HU13" s="1">
        <v>5.0000000000000004E-6</v>
      </c>
      <c r="HV13" s="1">
        <v>3.0000000000000001E-6</v>
      </c>
      <c r="HW13" s="1">
        <v>0.01</v>
      </c>
      <c r="HX13" s="1">
        <v>8.0000000000000002E-3</v>
      </c>
      <c r="HY13" s="1">
        <v>1.6000000000000001E-3</v>
      </c>
      <c r="HZ13" s="1">
        <v>5.9999999999999995E-4</v>
      </c>
      <c r="IA13" s="1">
        <v>4.0000000000000003E-5</v>
      </c>
      <c r="IB13" s="1">
        <v>4.0000000000000002E-4</v>
      </c>
      <c r="IC13" s="1">
        <v>4.0000000000000002E-4</v>
      </c>
      <c r="ID13" s="1">
        <v>2.0000000000000002E-5</v>
      </c>
      <c r="IE13" s="1">
        <v>3.9999999999999998E-6</v>
      </c>
      <c r="IF13" s="1">
        <f>Table15[[#This Row],[Total_Cost_MUSD]]*Table15[[#This Row],[prob500-failure_rating1]]/500</f>
        <v>1.2871651610000001E-3</v>
      </c>
      <c r="IG13" s="1">
        <f>Table15[[#This Row],[Total_Cost_MUSD]]*Table15[[#This Row],[prob500-failure_rating2]]/500</f>
        <v>5.1486606440000009E-4</v>
      </c>
      <c r="IH13" s="1">
        <f>Table15[[#This Row],[Total_Cost_MUSD]]*Table15[[#This Row],[prob500-failure_rating3]]/500</f>
        <v>1.2871651610000002E-4</v>
      </c>
      <c r="II13" s="1">
        <f>Table15[[#This Row],[Total_Cost_MUSD]]*Table15[[#This Row],[prob500-failure_rating4]]/500</f>
        <v>2.0594642576000001E-5</v>
      </c>
      <c r="IJ13" s="1">
        <f>Table15[[#This Row],[Total_Cost_MUSD]]*Table15[[#This Row],[prob500-failure_rating5]]/500</f>
        <v>3.6040624508000001E-7</v>
      </c>
      <c r="IK13" s="1">
        <f>Table15[[#This Row],[Total_Cost_MUSD]]*Table15[[#This Row],[prob500-failure_rating6]]/500</f>
        <v>9.2675891592000024E-6</v>
      </c>
      <c r="IL13" s="1">
        <f>Table15[[#This Row],[Total_Cost_MUSD]]*Table15[[#This Row],[prob500-failure_rating7]]/500</f>
        <v>9.2675891592000024E-6</v>
      </c>
      <c r="IM13" s="1">
        <f>Table15[[#This Row],[Total_Cost_MUSD]]*Table15[[#This Row],[prob500-failure_rating8]]/500</f>
        <v>2.0594642575999998E-7</v>
      </c>
      <c r="IN13" s="1">
        <f>Table15[[#This Row],[Total_Cost_MUSD]]*Table15[[#This Row],[prob500-failure_rating9]]/500</f>
        <v>1.2871651610000001E-7</v>
      </c>
      <c r="IO13" s="1">
        <f>Table15[[#This Row],[Total_Cost_MUSD]]*Table15[[#This Row],[prob100-failure_rating1]]/100</f>
        <v>3.2179129025000004E-3</v>
      </c>
      <c r="IP13" s="1">
        <f>Table15[[#This Row],[Total_Cost_MUSD]]*Table15[[#This Row],[prob100-failure_rating2]]/100</f>
        <v>1.5445981932000002E-3</v>
      </c>
      <c r="IQ13" s="1">
        <f>Table15[[#This Row],[Total_Cost_MUSD]]*Table15[[#This Row],[prob100-failure_rating3]]/100</f>
        <v>6.4358258050000003E-4</v>
      </c>
      <c r="IR13" s="1">
        <f>Table15[[#This Row],[Total_Cost_MUSD]]*Table15[[#This Row],[prob100-failure_rating4]]/100</f>
        <v>1.2871651610000002E-4</v>
      </c>
      <c r="IS13" s="1">
        <f>Table15[[#This Row],[Total_Cost_MUSD]]*Table15[[#This Row],[prob100-failure_rating5]]/100</f>
        <v>2.0594642575999998E-6</v>
      </c>
      <c r="IT13" s="1">
        <f>Table15[[#This Row],[Total_Cost_MUSD]]*Table15[[#This Row],[prob100-failure_rating6]]/100</f>
        <v>6.4358258050000011E-5</v>
      </c>
      <c r="IU13" s="1">
        <f>Table15[[#This Row],[Total_Cost_MUSD]]*Table15[[#This Row],[prob100-failure_rating7]]/100</f>
        <v>6.4358258050000011E-5</v>
      </c>
      <c r="IV13" s="1">
        <f>Table15[[#This Row],[Total_Cost_MUSD]]*Table15[[#This Row],[prob100-failure_rating8]]/100</f>
        <v>1.2871651610000003E-6</v>
      </c>
      <c r="IW13" s="1">
        <f>Table15[[#This Row],[Total_Cost_MUSD]]*Table15[[#This Row],[prob100-failure_rating9]]/100</f>
        <v>7.7229909660000013E-7</v>
      </c>
      <c r="IX13" s="1">
        <f>Table15[[#This Row],[Total_Cost_MUSD]]*Table15[[#This Row],[prob50-failure_rating1]]/50</f>
        <v>5.1486606440000002E-3</v>
      </c>
      <c r="IY13" s="1">
        <f>Table15[[#This Row],[Total_Cost_MUSD]]*Table15[[#This Row],[prob50-failure_rating2]]/50</f>
        <v>3.0891963864000003E-3</v>
      </c>
      <c r="IZ13" s="1">
        <f>Table15[[#This Row],[Total_Cost_MUSD]]*Table15[[#This Row],[prob50-failure_rating3]]/50</f>
        <v>6.6932588371999998E-4</v>
      </c>
      <c r="JA13" s="1">
        <f>Table15[[#This Row],[Total_Cost_MUSD]]*Table15[[#This Row],[prob50-failure_rating4]]/50</f>
        <v>2.5743303220000004E-4</v>
      </c>
      <c r="JB13" s="1">
        <f>Table15[[#This Row],[Total_Cost_MUSD]]*Table15[[#This Row],[prob50-failure_rating5]]/50</f>
        <v>4.1189285151999996E-6</v>
      </c>
      <c r="JC13" s="1">
        <f>Table15[[#This Row],[Total_Cost_MUSD]]*Table15[[#This Row],[prob50-failure_rating6]]/50</f>
        <v>1.2871651610000002E-4</v>
      </c>
      <c r="JD13" s="1">
        <f>Table15[[#This Row],[Total_Cost_MUSD]]*Table15[[#This Row],[prob50-failure_rating7]]/50</f>
        <v>1.2871651610000002E-4</v>
      </c>
      <c r="JE13" s="1">
        <f>Table15[[#This Row],[Total_Cost_MUSD]]*Table15[[#This Row],[prob50-failure_rating8]]/50</f>
        <v>2.5743303220000006E-6</v>
      </c>
      <c r="JF13" s="1">
        <f>Table15[[#This Row],[Total_Cost_MUSD]]*Table15[[#This Row],[prob50-failure_rating9]]/50</f>
        <v>1.5445981932000003E-6</v>
      </c>
      <c r="JG13" s="1">
        <f>Table15[[#This Row],[Total_Cost_MUSD]]*Table15[[#This Row],[prob10-failure_rating1]]/10</f>
        <v>2.5743303220000003E-2</v>
      </c>
      <c r="JH13" s="1">
        <f>Table15[[#This Row],[Total_Cost_MUSD]]*Table15[[#This Row],[prob10-failure_rating2]]/10</f>
        <v>2.0594642576000001E-2</v>
      </c>
      <c r="JI13" s="1">
        <f>Table15[[#This Row],[Total_Cost_MUSD]]*Table15[[#This Row],[prob10-failure_rating3]]/10</f>
        <v>4.1189285151999998E-3</v>
      </c>
      <c r="JJ13" s="1">
        <f>Table15[[#This Row],[Total_Cost_MUSD]]*Table15[[#This Row],[prob10-failure_rating4]]/10</f>
        <v>1.5445981931999999E-3</v>
      </c>
      <c r="JK13" s="1">
        <f>Table15[[#This Row],[Total_Cost_MUSD]]*Table15[[#This Row],[prob10-failure_rating5]]/10</f>
        <v>1.0297321288000002E-4</v>
      </c>
      <c r="JL13" s="1">
        <f>Table15[[#This Row],[Total_Cost_MUSD]]*Table15[[#This Row],[prob10-failure_rating6]]/10</f>
        <v>1.0297321288E-3</v>
      </c>
      <c r="JM13" s="1">
        <f>Table15[[#This Row],[Total_Cost_MUSD]]*Table15[[#This Row],[prob10-failure_rating7]]/10</f>
        <v>1.0297321288E-3</v>
      </c>
      <c r="JN13" s="1">
        <f>Table15[[#This Row],[Total_Cost_MUSD]]*Table15[[#This Row],[prob10-failure_rating8]]/10</f>
        <v>5.1486606440000012E-5</v>
      </c>
      <c r="JO13" s="1">
        <f>Table15[[#This Row],[Total_Cost_MUSD]]*Table15[[#This Row],[prob10-failure_rating9]]/10</f>
        <v>1.0297321287999999E-5</v>
      </c>
      <c r="JP13" s="1">
        <f>Table15[[#This Row],[FailureCost_Rating1]]</f>
        <v>25743.303219999998</v>
      </c>
      <c r="JQ13" s="1">
        <f>Table15[[#This Row],[FailureCost_Rating2]]</f>
        <v>25743.303219999998</v>
      </c>
      <c r="JR13" s="1">
        <f>(Table15[[#This Row],[failurecost500_rating2]]+Table15[[#This Row],[failurecost100_rating2]]+Table15[[#This Row],[failurecost50_rating2]]+Table15[[#This Row],[failurecost10_rating2]])*1000000</f>
        <v>25743.303219999998</v>
      </c>
      <c r="JS13" s="1">
        <f>(Table15[[#This Row],[failurecost500_rating3]]+Table15[[#This Row],[failurecost100_rating3]]+Table15[[#This Row],[failurecost50_rating3]]+Table15[[#This Row],[failurecost10_rating3]])*1000000</f>
        <v>5560.5534955199992</v>
      </c>
      <c r="JT13" s="1">
        <f>(Table15[[#This Row],[failurecost500_rating4]]+Table15[[#This Row],[failurecost100_rating4]]+Table15[[#This Row],[failurecost50_rating4]]+Table15[[#This Row],[failurecost10_rating4]])*1000000</f>
        <v>1951.3423840759999</v>
      </c>
      <c r="JU13" s="1">
        <f>(Table15[[#This Row],[failurecost500_rating5]]+Table15[[#This Row],[failurecost100_rating5]]+Table15[[#This Row],[failurecost50_rating5]]+Table15[[#This Row],[failurecost10_rating5]])*1000000</f>
        <v>109.51201189788003</v>
      </c>
      <c r="JV13" s="1">
        <f>(Table15[[#This Row],[failurecost500_rating6]]+Table15[[#This Row],[failurecost100_rating6]]+Table15[[#This Row],[failurecost50_rating6]]+Table15[[#This Row],[failurecost10_rating6]])*1000000</f>
        <v>1232.0744921092</v>
      </c>
      <c r="JW13" s="1">
        <f>(Table15[[#This Row],[failurecost500_rating7]]+Table15[[#This Row],[failurecost100_rating7]]+Table15[[#This Row],[failurecost50_rating7]]+Table15[[#This Row],[failurecost10_rating7]])*1000000</f>
        <v>1232.0744921092</v>
      </c>
      <c r="JX13" s="1">
        <f>(Table15[[#This Row],[failurecost500_rating8]]+Table15[[#This Row],[failurecost100_rating8]]+Table15[[#This Row],[failurecost50_rating8]]+Table15[[#This Row],[failurecost10_rating8]])*1000000</f>
        <v>55.554048348760013</v>
      </c>
      <c r="JY13" s="1">
        <f>(Table15[[#This Row],[failurecost500_rating9]]+Table15[[#This Row],[failurecost100_rating9]]+Table15[[#This Row],[failurecost50_rating9]]+Table15[[#This Row],[failurecost10_rating9]])*1000000</f>
        <v>12.7429350939</v>
      </c>
    </row>
    <row r="14" spans="1:285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Table15[[#This Row],[Depth10_Soil_vol]]*(9.353+9.027)+(Table15[[#This Row],[Depth10_Soil_vol]]/2.5)*20*1.053+(PI()*Table15[[#This Row],[Depth10_Scour]])*Table15[[#This Row],[DECK_WIDTH_MT_052]]*1.062</f>
        <v>13653.389769605932</v>
      </c>
      <c r="AR14" s="1">
        <f>Table15[[#This Row],[Depth50_Soil_vol]]*(9.353+9.027)+(Table15[[#This Row],[Depth50_Soil_vol]]/2.5)*20*1.053+(PI()*Table15[[#This Row],[Depth50_Scour]])*Table15[[#This Row],[DECK_WIDTH_MT_052]]*1.062</f>
        <v>14501.430182908143</v>
      </c>
      <c r="AS14" s="1">
        <f>Table15[[#This Row],[Depth100_Soil_vol]]*(9.353+9.027)+(Table15[[#This Row],[Depth100_Soil_vol]]/2.5)*20*1.053+(PI()*Table15[[#This Row],[Depth100_Scour]])*Table15[[#This Row],[DECK_WIDTH_MT_052]]*1.062</f>
        <v>14880.875971506524</v>
      </c>
      <c r="AT14" s="1">
        <f>Table15[[#This Row],[Depth500_Soil_vol]]*(9.353+9.027)+(Table15[[#This Row],[Depth500_Soil_vol]]/2.5)*20*1.053+(PI()*Table15[[#This Row],[Depth500_Scour]])*Table15[[#This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0.52800000000000002</v>
      </c>
      <c r="GF14" s="1">
        <v>83.517219859999997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f>0.1*Table15[[#This Row],[Total_Cost_MUSD]]*10000</f>
        <v>83517.219859999997</v>
      </c>
      <c r="GM14" s="1">
        <f>0.09*Table15[[#This Row],[Total_Cost_MUSD]]*10000</f>
        <v>75165.497873999993</v>
      </c>
      <c r="GN14" s="1">
        <f>0.08*Table15[[#This Row],[Total_Cost_MUSD]]*10000</f>
        <v>66813.775888000004</v>
      </c>
      <c r="GO14" s="1">
        <f>0.06*Table15[[#This Row],[Total_Cost_MUSD]]*10000</f>
        <v>50110.331915999996</v>
      </c>
      <c r="GP14" s="1">
        <f>0.04*Table15[[#This Row],[Total_Cost_MUSD]]*10000</f>
        <v>33406.887944000002</v>
      </c>
      <c r="GQ14" s="1">
        <f>0.02*Table15[[#This Row],[Total_Cost_MUSD]]*10000</f>
        <v>16703.443972000001</v>
      </c>
      <c r="GR14" s="1">
        <f>Table15[[#This Row],[Total_Cost_MUSD]]*0.001*100000</f>
        <v>8351.7219860000005</v>
      </c>
      <c r="GS14" s="1">
        <v>0</v>
      </c>
      <c r="GT14" s="1">
        <v>0</v>
      </c>
      <c r="GU14" s="1">
        <v>0</v>
      </c>
      <c r="GV14" s="1">
        <f t="shared" si="0"/>
        <v>2.5000000000000001E-2</v>
      </c>
      <c r="GW14" s="1">
        <v>0.01</v>
      </c>
      <c r="GX14" s="1">
        <v>2.5000000000000001E-3</v>
      </c>
      <c r="GY14" s="1">
        <v>4.0000000000000002E-4</v>
      </c>
      <c r="GZ14" s="1">
        <v>6.9999999999999999E-6</v>
      </c>
      <c r="HA14" s="1">
        <v>1.8000000000000001E-4</v>
      </c>
      <c r="HB14" s="1">
        <v>1.8000000000000001E-4</v>
      </c>
      <c r="HC14" s="1">
        <v>3.9999999999999998E-6</v>
      </c>
      <c r="HD14" s="1">
        <v>2.5000000000000002E-6</v>
      </c>
      <c r="HE14" s="1">
        <f t="shared" si="1"/>
        <v>1.2500000000000001E-2</v>
      </c>
      <c r="HF14" s="1">
        <v>6.0000000000000001E-3</v>
      </c>
      <c r="HG14" s="1">
        <v>2.5000000000000001E-3</v>
      </c>
      <c r="HH14" s="1">
        <v>5.0000000000000001E-4</v>
      </c>
      <c r="HI14" s="1">
        <v>7.9999999999999996E-6</v>
      </c>
      <c r="HJ14" s="1">
        <v>2.5000000000000001E-4</v>
      </c>
      <c r="HK14" s="1">
        <v>2.5000000000000001E-4</v>
      </c>
      <c r="HL14" s="1">
        <v>5.0000000000000004E-6</v>
      </c>
      <c r="HM14" s="1">
        <v>3.0000000000000001E-6</v>
      </c>
      <c r="HN14" s="1">
        <v>0.01</v>
      </c>
      <c r="HO14" s="1">
        <v>6.0000000000000001E-3</v>
      </c>
      <c r="HP14" s="1">
        <v>1.2999999999999999E-3</v>
      </c>
      <c r="HQ14" s="1">
        <v>5.0000000000000001E-4</v>
      </c>
      <c r="HR14" s="1">
        <v>7.9999999999999996E-6</v>
      </c>
      <c r="HS14" s="1">
        <v>2.5000000000000001E-4</v>
      </c>
      <c r="HT14" s="1">
        <v>2.5000000000000001E-4</v>
      </c>
      <c r="HU14" s="1">
        <v>5.0000000000000004E-6</v>
      </c>
      <c r="HV14" s="1">
        <v>3.0000000000000001E-6</v>
      </c>
      <c r="HW14" s="1">
        <v>0.01</v>
      </c>
      <c r="HX14" s="1">
        <v>8.0000000000000002E-3</v>
      </c>
      <c r="HY14" s="1">
        <v>1.6000000000000001E-3</v>
      </c>
      <c r="HZ14" s="1">
        <v>5.9999999999999995E-4</v>
      </c>
      <c r="IA14" s="1">
        <v>4.0000000000000003E-5</v>
      </c>
      <c r="IB14" s="1">
        <v>4.0000000000000002E-4</v>
      </c>
      <c r="IC14" s="1">
        <v>4.0000000000000002E-4</v>
      </c>
      <c r="ID14" s="1">
        <v>2.0000000000000002E-5</v>
      </c>
      <c r="IE14" s="1">
        <v>3.9999999999999998E-6</v>
      </c>
      <c r="IF14" s="1">
        <f>Table15[[#This Row],[Total_Cost_MUSD]]*Table15[[#This Row],[prob500-failure_rating1]]/500</f>
        <v>4.1758609929999999E-3</v>
      </c>
      <c r="IG14" s="1">
        <f>Table15[[#This Row],[Total_Cost_MUSD]]*Table15[[#This Row],[prob500-failure_rating2]]/500</f>
        <v>1.6703443972000001E-3</v>
      </c>
      <c r="IH14" s="1">
        <f>Table15[[#This Row],[Total_Cost_MUSD]]*Table15[[#This Row],[prob500-failure_rating3]]/500</f>
        <v>4.1758609930000004E-4</v>
      </c>
      <c r="II14" s="1">
        <f>Table15[[#This Row],[Total_Cost_MUSD]]*Table15[[#This Row],[prob500-failure_rating4]]/500</f>
        <v>6.6813775887999993E-5</v>
      </c>
      <c r="IJ14" s="1">
        <f>Table15[[#This Row],[Total_Cost_MUSD]]*Table15[[#This Row],[prob500-failure_rating5]]/500</f>
        <v>1.16924107804E-6</v>
      </c>
      <c r="IK14" s="1">
        <f>Table15[[#This Row],[Total_Cost_MUSD]]*Table15[[#This Row],[prob500-failure_rating6]]/500</f>
        <v>3.0066199149600002E-5</v>
      </c>
      <c r="IL14" s="1">
        <f>Table15[[#This Row],[Total_Cost_MUSD]]*Table15[[#This Row],[prob500-failure_rating7]]/500</f>
        <v>3.0066199149600002E-5</v>
      </c>
      <c r="IM14" s="1">
        <f>Table15[[#This Row],[Total_Cost_MUSD]]*Table15[[#This Row],[prob500-failure_rating8]]/500</f>
        <v>6.6813775887999997E-7</v>
      </c>
      <c r="IN14" s="1">
        <f>Table15[[#This Row],[Total_Cost_MUSD]]*Table15[[#This Row],[prob500-failure_rating9]]/500</f>
        <v>4.1758609930000002E-7</v>
      </c>
      <c r="IO14" s="1">
        <f>Table15[[#This Row],[Total_Cost_MUSD]]*Table15[[#This Row],[prob100-failure_rating1]]/100</f>
        <v>1.0439652482499999E-2</v>
      </c>
      <c r="IP14" s="1">
        <f>Table15[[#This Row],[Total_Cost_MUSD]]*Table15[[#This Row],[prob100-failure_rating2]]/100</f>
        <v>5.0110331915999996E-3</v>
      </c>
      <c r="IQ14" s="1">
        <f>Table15[[#This Row],[Total_Cost_MUSD]]*Table15[[#This Row],[prob100-failure_rating3]]/100</f>
        <v>2.0879304965E-3</v>
      </c>
      <c r="IR14" s="1">
        <f>Table15[[#This Row],[Total_Cost_MUSD]]*Table15[[#This Row],[prob100-failure_rating4]]/100</f>
        <v>4.1758609930000004E-4</v>
      </c>
      <c r="IS14" s="1">
        <f>Table15[[#This Row],[Total_Cost_MUSD]]*Table15[[#This Row],[prob100-failure_rating5]]/100</f>
        <v>6.6813775887999994E-6</v>
      </c>
      <c r="IT14" s="1">
        <f>Table15[[#This Row],[Total_Cost_MUSD]]*Table15[[#This Row],[prob100-failure_rating6]]/100</f>
        <v>2.0879304965000002E-4</v>
      </c>
      <c r="IU14" s="1">
        <f>Table15[[#This Row],[Total_Cost_MUSD]]*Table15[[#This Row],[prob100-failure_rating7]]/100</f>
        <v>2.0879304965000002E-4</v>
      </c>
      <c r="IV14" s="1">
        <f>Table15[[#This Row],[Total_Cost_MUSD]]*Table15[[#This Row],[prob100-failure_rating8]]/100</f>
        <v>4.1758609930000004E-6</v>
      </c>
      <c r="IW14" s="1">
        <f>Table15[[#This Row],[Total_Cost_MUSD]]*Table15[[#This Row],[prob100-failure_rating9]]/100</f>
        <v>2.5055165957999999E-6</v>
      </c>
      <c r="IX14" s="1">
        <f>Table15[[#This Row],[Total_Cost_MUSD]]*Table15[[#This Row],[prob50-failure_rating1]]/50</f>
        <v>1.6703443972E-2</v>
      </c>
      <c r="IY14" s="1">
        <f>Table15[[#This Row],[Total_Cost_MUSD]]*Table15[[#This Row],[prob50-failure_rating2]]/50</f>
        <v>1.0022066383199999E-2</v>
      </c>
      <c r="IZ14" s="1">
        <f>Table15[[#This Row],[Total_Cost_MUSD]]*Table15[[#This Row],[prob50-failure_rating3]]/50</f>
        <v>2.1714477163599999E-3</v>
      </c>
      <c r="JA14" s="1">
        <f>Table15[[#This Row],[Total_Cost_MUSD]]*Table15[[#This Row],[prob50-failure_rating4]]/50</f>
        <v>8.3517219860000007E-4</v>
      </c>
      <c r="JB14" s="1">
        <f>Table15[[#This Row],[Total_Cost_MUSD]]*Table15[[#This Row],[prob50-failure_rating5]]/50</f>
        <v>1.3362755177599999E-5</v>
      </c>
      <c r="JC14" s="1">
        <f>Table15[[#This Row],[Total_Cost_MUSD]]*Table15[[#This Row],[prob50-failure_rating6]]/50</f>
        <v>4.1758609930000004E-4</v>
      </c>
      <c r="JD14" s="1">
        <f>Table15[[#This Row],[Total_Cost_MUSD]]*Table15[[#This Row],[prob50-failure_rating7]]/50</f>
        <v>4.1758609930000004E-4</v>
      </c>
      <c r="JE14" s="1">
        <f>Table15[[#This Row],[Total_Cost_MUSD]]*Table15[[#This Row],[prob50-failure_rating8]]/50</f>
        <v>8.3517219860000008E-6</v>
      </c>
      <c r="JF14" s="1">
        <f>Table15[[#This Row],[Total_Cost_MUSD]]*Table15[[#This Row],[prob50-failure_rating9]]/50</f>
        <v>5.0110331915999998E-6</v>
      </c>
      <c r="JG14" s="1">
        <f>Table15[[#This Row],[Total_Cost_MUSD]]*Table15[[#This Row],[prob10-failure_rating1]]/10</f>
        <v>8.3517219860000005E-2</v>
      </c>
      <c r="JH14" s="1">
        <f>Table15[[#This Row],[Total_Cost_MUSD]]*Table15[[#This Row],[prob10-failure_rating2]]/10</f>
        <v>6.6813775887999999E-2</v>
      </c>
      <c r="JI14" s="1">
        <f>Table15[[#This Row],[Total_Cost_MUSD]]*Table15[[#This Row],[prob10-failure_rating3]]/10</f>
        <v>1.3362755177599999E-2</v>
      </c>
      <c r="JJ14" s="1">
        <f>Table15[[#This Row],[Total_Cost_MUSD]]*Table15[[#This Row],[prob10-failure_rating4]]/10</f>
        <v>5.0110331915999996E-3</v>
      </c>
      <c r="JK14" s="1">
        <f>Table15[[#This Row],[Total_Cost_MUSD]]*Table15[[#This Row],[prob10-failure_rating5]]/10</f>
        <v>3.3406887944000002E-4</v>
      </c>
      <c r="JL14" s="1">
        <f>Table15[[#This Row],[Total_Cost_MUSD]]*Table15[[#This Row],[prob10-failure_rating6]]/10</f>
        <v>3.3406887943999999E-3</v>
      </c>
      <c r="JM14" s="1">
        <f>Table15[[#This Row],[Total_Cost_MUSD]]*Table15[[#This Row],[prob10-failure_rating7]]/10</f>
        <v>3.3406887943999999E-3</v>
      </c>
      <c r="JN14" s="1">
        <f>Table15[[#This Row],[Total_Cost_MUSD]]*Table15[[#This Row],[prob10-failure_rating8]]/10</f>
        <v>1.6703443972000001E-4</v>
      </c>
      <c r="JO14" s="1">
        <f>Table15[[#This Row],[Total_Cost_MUSD]]*Table15[[#This Row],[prob10-failure_rating9]]/10</f>
        <v>3.3406887943999996E-5</v>
      </c>
      <c r="JP14" s="1">
        <f>Table15[[#This Row],[FailureCost_Rating1]]</f>
        <v>83517.219859999997</v>
      </c>
      <c r="JQ14" s="1">
        <f>Table15[[#This Row],[FailureCost_Rating2]]</f>
        <v>83517.219859999997</v>
      </c>
      <c r="JR14" s="1">
        <f>(Table15[[#This Row],[failurecost500_rating2]]+Table15[[#This Row],[failurecost100_rating2]]+Table15[[#This Row],[failurecost50_rating2]]+Table15[[#This Row],[failurecost10_rating2]])*1000000</f>
        <v>83517.219859999997</v>
      </c>
      <c r="JS14" s="1">
        <f>(Table15[[#This Row],[failurecost500_rating3]]+Table15[[#This Row],[failurecost100_rating3]]+Table15[[#This Row],[failurecost50_rating3]]+Table15[[#This Row],[failurecost10_rating3]])*1000000</f>
        <v>18039.719489759998</v>
      </c>
      <c r="JT14" s="1">
        <f>(Table15[[#This Row],[failurecost500_rating4]]+Table15[[#This Row],[failurecost100_rating4]]+Table15[[#This Row],[failurecost50_rating4]]+Table15[[#This Row],[failurecost10_rating4]])*1000000</f>
        <v>6330.6052653879997</v>
      </c>
      <c r="JU14" s="1">
        <f>(Table15[[#This Row],[failurecost500_rating5]]+Table15[[#This Row],[failurecost100_rating5]]+Table15[[#This Row],[failurecost50_rating5]]+Table15[[#This Row],[failurecost10_rating5]])*1000000</f>
        <v>355.28225328444</v>
      </c>
      <c r="JV14" s="1">
        <f>(Table15[[#This Row],[failurecost500_rating6]]+Table15[[#This Row],[failurecost100_rating6]]+Table15[[#This Row],[failurecost50_rating6]]+Table15[[#This Row],[failurecost10_rating6]])*1000000</f>
        <v>3997.1341424995999</v>
      </c>
      <c r="JW14" s="1">
        <f>(Table15[[#This Row],[failurecost500_rating7]]+Table15[[#This Row],[failurecost100_rating7]]+Table15[[#This Row],[failurecost50_rating7]]+Table15[[#This Row],[failurecost10_rating7]])*1000000</f>
        <v>3997.1341424995999</v>
      </c>
      <c r="JX14" s="1">
        <f>(Table15[[#This Row],[failurecost500_rating8]]+Table15[[#This Row],[failurecost100_rating8]]+Table15[[#This Row],[failurecost50_rating8]]+Table15[[#This Row],[failurecost10_rating8]])*1000000</f>
        <v>180.23016045788</v>
      </c>
      <c r="JY14" s="1">
        <f>(Table15[[#This Row],[failurecost500_rating9]]+Table15[[#This Row],[failurecost100_rating9]]+Table15[[#This Row],[failurecost50_rating9]]+Table15[[#This Row],[failurecost10_rating9]])*1000000</f>
        <v>41.341023830699996</v>
      </c>
    </row>
    <row r="15" spans="1:285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Table15[[#This Row],[Depth10_Soil_vol]]*(9.353+9.027)+(Table15[[#This Row],[Depth10_Soil_vol]]/2.5)*20*1.053+(PI()*Table15[[#This Row],[Depth10_Scour]])*Table15[[#This Row],[DECK_WIDTH_MT_052]]*1.062</f>
        <v>9589.4503766877388</v>
      </c>
      <c r="AR15" s="1">
        <f>Table15[[#This Row],[Depth50_Soil_vol]]*(9.353+9.027)+(Table15[[#This Row],[Depth50_Soil_vol]]/2.5)*20*1.053+(PI()*Table15[[#This Row],[Depth50_Scour]])*Table15[[#This Row],[DECK_WIDTH_MT_052]]*1.062</f>
        <v>10089.839206196759</v>
      </c>
      <c r="AS15" s="1">
        <f>Table15[[#This Row],[Depth100_Soil_vol]]*(9.353+9.027)+(Table15[[#This Row],[Depth100_Soil_vol]]/2.5)*20*1.053+(PI()*Table15[[#This Row],[Depth100_Scour]])*Table15[[#This Row],[DECK_WIDTH_MT_052]]*1.062</f>
        <v>10312.30726316059</v>
      </c>
      <c r="AT15" s="1">
        <f>Table15[[#This Row],[Depth500_Soil_vol]]*(9.353+9.027)+(Table15[[#This Row],[Depth500_Soil_vol]]/2.5)*20*1.053+(PI()*Table15[[#This Row],[Depth500_Scour]])*Table15[[#This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0.66</v>
      </c>
      <c r="GF15" s="1">
        <v>51.219814960000001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f>0.1*Table15[[#This Row],[Total_Cost_MUSD]]*10000</f>
        <v>51219.814960000003</v>
      </c>
      <c r="GM15" s="1">
        <f>0.09*Table15[[#This Row],[Total_Cost_MUSD]]*10000</f>
        <v>46097.833463999996</v>
      </c>
      <c r="GN15" s="1">
        <f>0.08*Table15[[#This Row],[Total_Cost_MUSD]]*10000</f>
        <v>40975.851967999995</v>
      </c>
      <c r="GO15" s="1">
        <f>0.06*Table15[[#This Row],[Total_Cost_MUSD]]*10000</f>
        <v>30731.888976000002</v>
      </c>
      <c r="GP15" s="1">
        <f>0.04*Table15[[#This Row],[Total_Cost_MUSD]]*10000</f>
        <v>20487.925983999998</v>
      </c>
      <c r="GQ15" s="1">
        <f>0.02*Table15[[#This Row],[Total_Cost_MUSD]]*10000</f>
        <v>10243.962991999999</v>
      </c>
      <c r="GR15" s="1">
        <f>Table15[[#This Row],[Total_Cost_MUSD]]*0.001*100000</f>
        <v>5121.9814959999994</v>
      </c>
      <c r="GS15" s="1">
        <v>0</v>
      </c>
      <c r="GT15" s="1">
        <v>0</v>
      </c>
      <c r="GU15" s="1">
        <v>0</v>
      </c>
      <c r="GV15" s="1">
        <f t="shared" si="0"/>
        <v>2.5000000000000001E-2</v>
      </c>
      <c r="GW15" s="1">
        <v>0.01</v>
      </c>
      <c r="GX15" s="1">
        <v>2.5000000000000001E-3</v>
      </c>
      <c r="GY15" s="1">
        <v>4.0000000000000002E-4</v>
      </c>
      <c r="GZ15" s="1">
        <v>6.9999999999999999E-6</v>
      </c>
      <c r="HA15" s="1">
        <v>1.8000000000000001E-4</v>
      </c>
      <c r="HB15" s="1">
        <v>1.8000000000000001E-4</v>
      </c>
      <c r="HC15" s="1">
        <v>3.9999999999999998E-6</v>
      </c>
      <c r="HD15" s="1">
        <v>2.5000000000000002E-6</v>
      </c>
      <c r="HE15" s="1">
        <f t="shared" si="1"/>
        <v>1.2500000000000001E-2</v>
      </c>
      <c r="HF15" s="1">
        <v>6.0000000000000001E-3</v>
      </c>
      <c r="HG15" s="1">
        <v>2.5000000000000001E-3</v>
      </c>
      <c r="HH15" s="1">
        <v>5.0000000000000001E-4</v>
      </c>
      <c r="HI15" s="1">
        <v>7.9999999999999996E-6</v>
      </c>
      <c r="HJ15" s="1">
        <v>2.5000000000000001E-4</v>
      </c>
      <c r="HK15" s="1">
        <v>2.5000000000000001E-4</v>
      </c>
      <c r="HL15" s="1">
        <v>5.0000000000000004E-6</v>
      </c>
      <c r="HM15" s="1">
        <v>3.0000000000000001E-6</v>
      </c>
      <c r="HN15" s="1">
        <v>0.01</v>
      </c>
      <c r="HO15" s="1">
        <v>6.0000000000000001E-3</v>
      </c>
      <c r="HP15" s="1">
        <v>1.2999999999999999E-3</v>
      </c>
      <c r="HQ15" s="1">
        <v>5.0000000000000001E-4</v>
      </c>
      <c r="HR15" s="1">
        <v>7.9999999999999996E-6</v>
      </c>
      <c r="HS15" s="1">
        <v>2.5000000000000001E-4</v>
      </c>
      <c r="HT15" s="1">
        <v>2.5000000000000001E-4</v>
      </c>
      <c r="HU15" s="1">
        <v>5.0000000000000004E-6</v>
      </c>
      <c r="HV15" s="1">
        <v>3.0000000000000001E-6</v>
      </c>
      <c r="HW15" s="1">
        <v>0.01</v>
      </c>
      <c r="HX15" s="1">
        <v>8.0000000000000002E-3</v>
      </c>
      <c r="HY15" s="1">
        <v>1.6000000000000001E-3</v>
      </c>
      <c r="HZ15" s="1">
        <v>5.9999999999999995E-4</v>
      </c>
      <c r="IA15" s="1">
        <v>4.0000000000000003E-5</v>
      </c>
      <c r="IB15" s="1">
        <v>4.0000000000000002E-4</v>
      </c>
      <c r="IC15" s="1">
        <v>4.0000000000000002E-4</v>
      </c>
      <c r="ID15" s="1">
        <v>2.0000000000000002E-5</v>
      </c>
      <c r="IE15" s="1">
        <v>3.9999999999999998E-6</v>
      </c>
      <c r="IF15" s="1">
        <f>Table15[[#This Row],[Total_Cost_MUSD]]*Table15[[#This Row],[prob500-failure_rating1]]/500</f>
        <v>2.560990748E-3</v>
      </c>
      <c r="IG15" s="1">
        <f>Table15[[#This Row],[Total_Cost_MUSD]]*Table15[[#This Row],[prob500-failure_rating2]]/500</f>
        <v>1.0243962992E-3</v>
      </c>
      <c r="IH15" s="1">
        <f>Table15[[#This Row],[Total_Cost_MUSD]]*Table15[[#This Row],[prob500-failure_rating3]]/500</f>
        <v>2.5609907479999999E-4</v>
      </c>
      <c r="II15" s="1">
        <f>Table15[[#This Row],[Total_Cost_MUSD]]*Table15[[#This Row],[prob500-failure_rating4]]/500</f>
        <v>4.0975851968E-5</v>
      </c>
      <c r="IJ15" s="1">
        <f>Table15[[#This Row],[Total_Cost_MUSD]]*Table15[[#This Row],[prob500-failure_rating5]]/500</f>
        <v>7.1707740944000004E-7</v>
      </c>
      <c r="IK15" s="1">
        <f>Table15[[#This Row],[Total_Cost_MUSD]]*Table15[[#This Row],[prob500-failure_rating6]]/500</f>
        <v>1.8439133385600001E-5</v>
      </c>
      <c r="IL15" s="1">
        <f>Table15[[#This Row],[Total_Cost_MUSD]]*Table15[[#This Row],[prob500-failure_rating7]]/500</f>
        <v>1.8439133385600001E-5</v>
      </c>
      <c r="IM15" s="1">
        <f>Table15[[#This Row],[Total_Cost_MUSD]]*Table15[[#This Row],[prob500-failure_rating8]]/500</f>
        <v>4.0975851967999997E-7</v>
      </c>
      <c r="IN15" s="1">
        <f>Table15[[#This Row],[Total_Cost_MUSD]]*Table15[[#This Row],[prob500-failure_rating9]]/500</f>
        <v>2.5609907480000007E-7</v>
      </c>
      <c r="IO15" s="1">
        <f>Table15[[#This Row],[Total_Cost_MUSD]]*Table15[[#This Row],[prob100-failure_rating1]]/100</f>
        <v>6.4024768699999998E-3</v>
      </c>
      <c r="IP15" s="1">
        <f>Table15[[#This Row],[Total_Cost_MUSD]]*Table15[[#This Row],[prob100-failure_rating2]]/100</f>
        <v>3.0731888976000001E-3</v>
      </c>
      <c r="IQ15" s="1">
        <f>Table15[[#This Row],[Total_Cost_MUSD]]*Table15[[#This Row],[prob100-failure_rating3]]/100</f>
        <v>1.280495374E-3</v>
      </c>
      <c r="IR15" s="1">
        <f>Table15[[#This Row],[Total_Cost_MUSD]]*Table15[[#This Row],[prob100-failure_rating4]]/100</f>
        <v>2.5609907479999999E-4</v>
      </c>
      <c r="IS15" s="1">
        <f>Table15[[#This Row],[Total_Cost_MUSD]]*Table15[[#This Row],[prob100-failure_rating5]]/100</f>
        <v>4.0975851967999994E-6</v>
      </c>
      <c r="IT15" s="1">
        <f>Table15[[#This Row],[Total_Cost_MUSD]]*Table15[[#This Row],[prob100-failure_rating6]]/100</f>
        <v>1.280495374E-4</v>
      </c>
      <c r="IU15" s="1">
        <f>Table15[[#This Row],[Total_Cost_MUSD]]*Table15[[#This Row],[prob100-failure_rating7]]/100</f>
        <v>1.280495374E-4</v>
      </c>
      <c r="IV15" s="1">
        <f>Table15[[#This Row],[Total_Cost_MUSD]]*Table15[[#This Row],[prob100-failure_rating8]]/100</f>
        <v>2.5609907480000004E-6</v>
      </c>
      <c r="IW15" s="1">
        <f>Table15[[#This Row],[Total_Cost_MUSD]]*Table15[[#This Row],[prob100-failure_rating9]]/100</f>
        <v>1.5365944488E-6</v>
      </c>
      <c r="IX15" s="1">
        <f>Table15[[#This Row],[Total_Cost_MUSD]]*Table15[[#This Row],[prob50-failure_rating1]]/50</f>
        <v>1.0243962992E-2</v>
      </c>
      <c r="IY15" s="1">
        <f>Table15[[#This Row],[Total_Cost_MUSD]]*Table15[[#This Row],[prob50-failure_rating2]]/50</f>
        <v>6.1463777952000002E-3</v>
      </c>
      <c r="IZ15" s="1">
        <f>Table15[[#This Row],[Total_Cost_MUSD]]*Table15[[#This Row],[prob50-failure_rating3]]/50</f>
        <v>1.3317151889599998E-3</v>
      </c>
      <c r="JA15" s="1">
        <f>Table15[[#This Row],[Total_Cost_MUSD]]*Table15[[#This Row],[prob50-failure_rating4]]/50</f>
        <v>5.1219814959999998E-4</v>
      </c>
      <c r="JB15" s="1">
        <f>Table15[[#This Row],[Total_Cost_MUSD]]*Table15[[#This Row],[prob50-failure_rating5]]/50</f>
        <v>8.1951703935999987E-6</v>
      </c>
      <c r="JC15" s="1">
        <f>Table15[[#This Row],[Total_Cost_MUSD]]*Table15[[#This Row],[prob50-failure_rating6]]/50</f>
        <v>2.5609907479999999E-4</v>
      </c>
      <c r="JD15" s="1">
        <f>Table15[[#This Row],[Total_Cost_MUSD]]*Table15[[#This Row],[prob50-failure_rating7]]/50</f>
        <v>2.5609907479999999E-4</v>
      </c>
      <c r="JE15" s="1">
        <f>Table15[[#This Row],[Total_Cost_MUSD]]*Table15[[#This Row],[prob50-failure_rating8]]/50</f>
        <v>5.1219814960000009E-6</v>
      </c>
      <c r="JF15" s="1">
        <f>Table15[[#This Row],[Total_Cost_MUSD]]*Table15[[#This Row],[prob50-failure_rating9]]/50</f>
        <v>3.0731888975999999E-6</v>
      </c>
      <c r="JG15" s="1">
        <f>Table15[[#This Row],[Total_Cost_MUSD]]*Table15[[#This Row],[prob10-failure_rating1]]/10</f>
        <v>5.1219814959999999E-2</v>
      </c>
      <c r="JH15" s="1">
        <f>Table15[[#This Row],[Total_Cost_MUSD]]*Table15[[#This Row],[prob10-failure_rating2]]/10</f>
        <v>4.0975851968E-2</v>
      </c>
      <c r="JI15" s="1">
        <f>Table15[[#This Row],[Total_Cost_MUSD]]*Table15[[#This Row],[prob10-failure_rating3]]/10</f>
        <v>8.1951703935999997E-3</v>
      </c>
      <c r="JJ15" s="1">
        <f>Table15[[#This Row],[Total_Cost_MUSD]]*Table15[[#This Row],[prob10-failure_rating4]]/10</f>
        <v>3.0731888975999997E-3</v>
      </c>
      <c r="JK15" s="1">
        <f>Table15[[#This Row],[Total_Cost_MUSD]]*Table15[[#This Row],[prob10-failure_rating5]]/10</f>
        <v>2.0487925984000004E-4</v>
      </c>
      <c r="JL15" s="1">
        <f>Table15[[#This Row],[Total_Cost_MUSD]]*Table15[[#This Row],[prob10-failure_rating6]]/10</f>
        <v>2.0487925983999999E-3</v>
      </c>
      <c r="JM15" s="1">
        <f>Table15[[#This Row],[Total_Cost_MUSD]]*Table15[[#This Row],[prob10-failure_rating7]]/10</f>
        <v>2.0487925983999999E-3</v>
      </c>
      <c r="JN15" s="1">
        <f>Table15[[#This Row],[Total_Cost_MUSD]]*Table15[[#This Row],[prob10-failure_rating8]]/10</f>
        <v>1.0243962992000002E-4</v>
      </c>
      <c r="JO15" s="1">
        <f>Table15[[#This Row],[Total_Cost_MUSD]]*Table15[[#This Row],[prob10-failure_rating9]]/10</f>
        <v>2.0487925983999997E-5</v>
      </c>
      <c r="JP15" s="1">
        <f>Table15[[#This Row],[FailureCost_Rating1]]</f>
        <v>51219.814959999996</v>
      </c>
      <c r="JQ15" s="1">
        <f>Table15[[#This Row],[FailureCost_Rating2]]</f>
        <v>51219.814959999996</v>
      </c>
      <c r="JR15" s="1">
        <f>(Table15[[#This Row],[failurecost500_rating2]]+Table15[[#This Row],[failurecost100_rating2]]+Table15[[#This Row],[failurecost50_rating2]]+Table15[[#This Row],[failurecost10_rating2]])*1000000</f>
        <v>51219.814959999996</v>
      </c>
      <c r="JS15" s="1">
        <f>(Table15[[#This Row],[failurecost500_rating3]]+Table15[[#This Row],[failurecost100_rating3]]+Table15[[#This Row],[failurecost50_rating3]]+Table15[[#This Row],[failurecost10_rating3]])*1000000</f>
        <v>11063.480031359999</v>
      </c>
      <c r="JT15" s="1">
        <f>(Table15[[#This Row],[failurecost500_rating4]]+Table15[[#This Row],[failurecost100_rating4]]+Table15[[#This Row],[failurecost50_rating4]]+Table15[[#This Row],[failurecost10_rating4]])*1000000</f>
        <v>3882.4619739679993</v>
      </c>
      <c r="JU15" s="1">
        <f>(Table15[[#This Row],[failurecost500_rating5]]+Table15[[#This Row],[failurecost100_rating5]]+Table15[[#This Row],[failurecost50_rating5]]+Table15[[#This Row],[failurecost10_rating5]])*1000000</f>
        <v>217.88909283984003</v>
      </c>
      <c r="JV15" s="1">
        <f>(Table15[[#This Row],[failurecost500_rating6]]+Table15[[#This Row],[failurecost100_rating6]]+Table15[[#This Row],[failurecost50_rating6]]+Table15[[#This Row],[failurecost10_rating6]])*1000000</f>
        <v>2451.3803439856001</v>
      </c>
      <c r="JW15" s="1">
        <f>(Table15[[#This Row],[failurecost500_rating7]]+Table15[[#This Row],[failurecost100_rating7]]+Table15[[#This Row],[failurecost50_rating7]]+Table15[[#This Row],[failurecost10_rating7]])*1000000</f>
        <v>2451.3803439856001</v>
      </c>
      <c r="JX15" s="1">
        <f>(Table15[[#This Row],[failurecost500_rating8]]+Table15[[#This Row],[failurecost100_rating8]]+Table15[[#This Row],[failurecost50_rating8]]+Table15[[#This Row],[failurecost10_rating8]])*1000000</f>
        <v>110.53236068368001</v>
      </c>
      <c r="JY15" s="1">
        <f>(Table15[[#This Row],[failurecost500_rating9]]+Table15[[#This Row],[failurecost100_rating9]]+Table15[[#This Row],[failurecost50_rating9]]+Table15[[#This Row],[failurecost10_rating9]])*1000000</f>
        <v>25.353808405199999</v>
      </c>
    </row>
    <row r="16" spans="1:285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Table15[[#This Row],[Depth10_Soil_vol]]*(9.353+9.027)+(Table15[[#This Row],[Depth10_Soil_vol]]/2.5)*20*1.053+(PI()*Table15[[#This Row],[Depth10_Scour]])*Table15[[#This Row],[DECK_WIDTH_MT_052]]*1.062</f>
        <v>6758.7093437956364</v>
      </c>
      <c r="AR16" s="1">
        <f>Table15[[#This Row],[Depth50_Soil_vol]]*(9.353+9.027)+(Table15[[#This Row],[Depth50_Soil_vol]]/2.5)*20*1.053+(PI()*Table15[[#This Row],[Depth50_Scour]])*Table15[[#This Row],[DECK_WIDTH_MT_052]]*1.062</f>
        <v>7157.860599196707</v>
      </c>
      <c r="AS16" s="1">
        <f>Table15[[#This Row],[Depth100_Soil_vol]]*(9.353+9.027)+(Table15[[#This Row],[Depth100_Soil_vol]]/2.5)*20*1.053+(PI()*Table15[[#This Row],[Depth100_Scour]])*Table15[[#This Row],[DECK_WIDTH_MT_052]]*1.062</f>
        <v>7335.7235370312192</v>
      </c>
      <c r="AT16" s="1">
        <f>Table15[[#This Row],[Depth500_Soil_vol]]*(9.353+9.027)+(Table15[[#This Row],[Depth500_Soil_vol]]/2.5)*20*1.053+(PI()*Table15[[#This Row],[Depth500_Scour]])*Table15[[#This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0.66</v>
      </c>
      <c r="GF16" s="1">
        <v>73.969602710000004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f>0.1*Table15[[#This Row],[Total_Cost_MUSD]]*10000</f>
        <v>73969.602710000006</v>
      </c>
      <c r="GM16" s="1">
        <f>0.09*Table15[[#This Row],[Total_Cost_MUSD]]*10000</f>
        <v>66572.642439000003</v>
      </c>
      <c r="GN16" s="1">
        <f>0.08*Table15[[#This Row],[Total_Cost_MUSD]]*10000</f>
        <v>59175.682168000007</v>
      </c>
      <c r="GO16" s="1">
        <f>0.06*Table15[[#This Row],[Total_Cost_MUSD]]*10000</f>
        <v>44381.761626000007</v>
      </c>
      <c r="GP16" s="1">
        <f>0.04*Table15[[#This Row],[Total_Cost_MUSD]]*10000</f>
        <v>29587.841084000003</v>
      </c>
      <c r="GQ16" s="1">
        <f>0.02*Table15[[#This Row],[Total_Cost_MUSD]]*10000</f>
        <v>14793.920542000002</v>
      </c>
      <c r="GR16" s="1">
        <f>Table15[[#This Row],[Total_Cost_MUSD]]*0.001*100000</f>
        <v>7396.9602709999999</v>
      </c>
      <c r="GS16" s="1">
        <v>0</v>
      </c>
      <c r="GT16" s="1">
        <v>0</v>
      </c>
      <c r="GU16" s="1">
        <v>0</v>
      </c>
      <c r="GV16" s="1">
        <f t="shared" si="0"/>
        <v>2.5000000000000001E-2</v>
      </c>
      <c r="GW16" s="1">
        <v>0.01</v>
      </c>
      <c r="GX16" s="1">
        <v>2.5000000000000001E-3</v>
      </c>
      <c r="GY16" s="1">
        <v>4.0000000000000002E-4</v>
      </c>
      <c r="GZ16" s="1">
        <v>6.9999999999999999E-6</v>
      </c>
      <c r="HA16" s="1">
        <v>1.8000000000000001E-4</v>
      </c>
      <c r="HB16" s="1">
        <v>1.8000000000000001E-4</v>
      </c>
      <c r="HC16" s="1">
        <v>3.9999999999999998E-6</v>
      </c>
      <c r="HD16" s="1">
        <v>2.5000000000000002E-6</v>
      </c>
      <c r="HE16" s="1">
        <f t="shared" si="1"/>
        <v>1.2500000000000001E-2</v>
      </c>
      <c r="HF16" s="1">
        <v>6.0000000000000001E-3</v>
      </c>
      <c r="HG16" s="1">
        <v>2.5000000000000001E-3</v>
      </c>
      <c r="HH16" s="1">
        <v>5.0000000000000001E-4</v>
      </c>
      <c r="HI16" s="1">
        <v>7.9999999999999996E-6</v>
      </c>
      <c r="HJ16" s="1">
        <v>2.5000000000000001E-4</v>
      </c>
      <c r="HK16" s="1">
        <v>2.5000000000000001E-4</v>
      </c>
      <c r="HL16" s="1">
        <v>5.0000000000000004E-6</v>
      </c>
      <c r="HM16" s="1">
        <v>3.0000000000000001E-6</v>
      </c>
      <c r="HN16" s="1">
        <v>0.01</v>
      </c>
      <c r="HO16" s="1">
        <v>6.0000000000000001E-3</v>
      </c>
      <c r="HP16" s="1">
        <v>1.2999999999999999E-3</v>
      </c>
      <c r="HQ16" s="1">
        <v>5.0000000000000001E-4</v>
      </c>
      <c r="HR16" s="1">
        <v>7.9999999999999996E-6</v>
      </c>
      <c r="HS16" s="1">
        <v>2.5000000000000001E-4</v>
      </c>
      <c r="HT16" s="1">
        <v>2.5000000000000001E-4</v>
      </c>
      <c r="HU16" s="1">
        <v>5.0000000000000004E-6</v>
      </c>
      <c r="HV16" s="1">
        <v>3.0000000000000001E-6</v>
      </c>
      <c r="HW16" s="1">
        <v>0.01</v>
      </c>
      <c r="HX16" s="1">
        <v>8.0000000000000002E-3</v>
      </c>
      <c r="HY16" s="1">
        <v>1.6000000000000001E-3</v>
      </c>
      <c r="HZ16" s="1">
        <v>5.9999999999999995E-4</v>
      </c>
      <c r="IA16" s="1">
        <v>4.0000000000000003E-5</v>
      </c>
      <c r="IB16" s="1">
        <v>4.0000000000000002E-4</v>
      </c>
      <c r="IC16" s="1">
        <v>4.0000000000000002E-4</v>
      </c>
      <c r="ID16" s="1">
        <v>2.0000000000000002E-5</v>
      </c>
      <c r="IE16" s="1">
        <v>3.9999999999999998E-6</v>
      </c>
      <c r="IF16" s="1">
        <f>Table15[[#This Row],[Total_Cost_MUSD]]*Table15[[#This Row],[prob500-failure_rating1]]/500</f>
        <v>3.6984801355000006E-3</v>
      </c>
      <c r="IG16" s="1">
        <f>Table15[[#This Row],[Total_Cost_MUSD]]*Table15[[#This Row],[prob500-failure_rating2]]/500</f>
        <v>1.4793920542000001E-3</v>
      </c>
      <c r="IH16" s="1">
        <f>Table15[[#This Row],[Total_Cost_MUSD]]*Table15[[#This Row],[prob500-failure_rating3]]/500</f>
        <v>3.6984801355000003E-4</v>
      </c>
      <c r="II16" s="1">
        <f>Table15[[#This Row],[Total_Cost_MUSD]]*Table15[[#This Row],[prob500-failure_rating4]]/500</f>
        <v>5.9175682168E-5</v>
      </c>
      <c r="IJ16" s="1">
        <f>Table15[[#This Row],[Total_Cost_MUSD]]*Table15[[#This Row],[prob500-failure_rating5]]/500</f>
        <v>1.0355744379400001E-6</v>
      </c>
      <c r="IK16" s="1">
        <f>Table15[[#This Row],[Total_Cost_MUSD]]*Table15[[#This Row],[prob500-failure_rating6]]/500</f>
        <v>2.6629056975600001E-5</v>
      </c>
      <c r="IL16" s="1">
        <f>Table15[[#This Row],[Total_Cost_MUSD]]*Table15[[#This Row],[prob500-failure_rating7]]/500</f>
        <v>2.6629056975600001E-5</v>
      </c>
      <c r="IM16" s="1">
        <f>Table15[[#This Row],[Total_Cost_MUSD]]*Table15[[#This Row],[prob500-failure_rating8]]/500</f>
        <v>5.9175682168000002E-7</v>
      </c>
      <c r="IN16" s="1">
        <f>Table15[[#This Row],[Total_Cost_MUSD]]*Table15[[#This Row],[prob500-failure_rating9]]/500</f>
        <v>3.6984801355000002E-7</v>
      </c>
      <c r="IO16" s="1">
        <f>Table15[[#This Row],[Total_Cost_MUSD]]*Table15[[#This Row],[prob100-failure_rating1]]/100</f>
        <v>9.2462003387500016E-3</v>
      </c>
      <c r="IP16" s="1">
        <f>Table15[[#This Row],[Total_Cost_MUSD]]*Table15[[#This Row],[prob100-failure_rating2]]/100</f>
        <v>4.4381761626000006E-3</v>
      </c>
      <c r="IQ16" s="1">
        <f>Table15[[#This Row],[Total_Cost_MUSD]]*Table15[[#This Row],[prob100-failure_rating3]]/100</f>
        <v>1.8492400677500001E-3</v>
      </c>
      <c r="IR16" s="1">
        <f>Table15[[#This Row],[Total_Cost_MUSD]]*Table15[[#This Row],[prob100-failure_rating4]]/100</f>
        <v>3.6984801354999998E-4</v>
      </c>
      <c r="IS16" s="1">
        <f>Table15[[#This Row],[Total_Cost_MUSD]]*Table15[[#This Row],[prob100-failure_rating5]]/100</f>
        <v>5.9175682168000004E-6</v>
      </c>
      <c r="IT16" s="1">
        <f>Table15[[#This Row],[Total_Cost_MUSD]]*Table15[[#This Row],[prob100-failure_rating6]]/100</f>
        <v>1.8492400677499999E-4</v>
      </c>
      <c r="IU16" s="1">
        <f>Table15[[#This Row],[Total_Cost_MUSD]]*Table15[[#This Row],[prob100-failure_rating7]]/100</f>
        <v>1.8492400677499999E-4</v>
      </c>
      <c r="IV16" s="1">
        <f>Table15[[#This Row],[Total_Cost_MUSD]]*Table15[[#This Row],[prob100-failure_rating8]]/100</f>
        <v>3.6984801355000005E-6</v>
      </c>
      <c r="IW16" s="1">
        <f>Table15[[#This Row],[Total_Cost_MUSD]]*Table15[[#This Row],[prob100-failure_rating9]]/100</f>
        <v>2.2190880813000004E-6</v>
      </c>
      <c r="IX16" s="1">
        <f>Table15[[#This Row],[Total_Cost_MUSD]]*Table15[[#This Row],[prob50-failure_rating1]]/50</f>
        <v>1.4793920542000001E-2</v>
      </c>
      <c r="IY16" s="1">
        <f>Table15[[#This Row],[Total_Cost_MUSD]]*Table15[[#This Row],[prob50-failure_rating2]]/50</f>
        <v>8.8763523252000012E-3</v>
      </c>
      <c r="IZ16" s="1">
        <f>Table15[[#This Row],[Total_Cost_MUSD]]*Table15[[#This Row],[prob50-failure_rating3]]/50</f>
        <v>1.92320967046E-3</v>
      </c>
      <c r="JA16" s="1">
        <f>Table15[[#This Row],[Total_Cost_MUSD]]*Table15[[#This Row],[prob50-failure_rating4]]/50</f>
        <v>7.3969602709999995E-4</v>
      </c>
      <c r="JB16" s="1">
        <f>Table15[[#This Row],[Total_Cost_MUSD]]*Table15[[#This Row],[prob50-failure_rating5]]/50</f>
        <v>1.1835136433600001E-5</v>
      </c>
      <c r="JC16" s="1">
        <f>Table15[[#This Row],[Total_Cost_MUSD]]*Table15[[#This Row],[prob50-failure_rating6]]/50</f>
        <v>3.6984801354999998E-4</v>
      </c>
      <c r="JD16" s="1">
        <f>Table15[[#This Row],[Total_Cost_MUSD]]*Table15[[#This Row],[prob50-failure_rating7]]/50</f>
        <v>3.6984801354999998E-4</v>
      </c>
      <c r="JE16" s="1">
        <f>Table15[[#This Row],[Total_Cost_MUSD]]*Table15[[#This Row],[prob50-failure_rating8]]/50</f>
        <v>7.3969602710000009E-6</v>
      </c>
      <c r="JF16" s="1">
        <f>Table15[[#This Row],[Total_Cost_MUSD]]*Table15[[#This Row],[prob50-failure_rating9]]/50</f>
        <v>4.4381761626000007E-6</v>
      </c>
      <c r="JG16" s="1">
        <f>Table15[[#This Row],[Total_Cost_MUSD]]*Table15[[#This Row],[prob10-failure_rating1]]/10</f>
        <v>7.3969602709999999E-2</v>
      </c>
      <c r="JH16" s="1">
        <f>Table15[[#This Row],[Total_Cost_MUSD]]*Table15[[#This Row],[prob10-failure_rating2]]/10</f>
        <v>5.9175682167999996E-2</v>
      </c>
      <c r="JI16" s="1">
        <f>Table15[[#This Row],[Total_Cost_MUSD]]*Table15[[#This Row],[prob10-failure_rating3]]/10</f>
        <v>1.1835136433600001E-2</v>
      </c>
      <c r="JJ16" s="1">
        <f>Table15[[#This Row],[Total_Cost_MUSD]]*Table15[[#This Row],[prob10-failure_rating4]]/10</f>
        <v>4.4381761625999997E-3</v>
      </c>
      <c r="JK16" s="1">
        <f>Table15[[#This Row],[Total_Cost_MUSD]]*Table15[[#This Row],[prob10-failure_rating5]]/10</f>
        <v>2.9587841084E-4</v>
      </c>
      <c r="JL16" s="1">
        <f>Table15[[#This Row],[Total_Cost_MUSD]]*Table15[[#This Row],[prob10-failure_rating6]]/10</f>
        <v>2.9587841084000002E-3</v>
      </c>
      <c r="JM16" s="1">
        <f>Table15[[#This Row],[Total_Cost_MUSD]]*Table15[[#This Row],[prob10-failure_rating7]]/10</f>
        <v>2.9587841084000002E-3</v>
      </c>
      <c r="JN16" s="1">
        <f>Table15[[#This Row],[Total_Cost_MUSD]]*Table15[[#This Row],[prob10-failure_rating8]]/10</f>
        <v>1.4793920542E-4</v>
      </c>
      <c r="JO16" s="1">
        <f>Table15[[#This Row],[Total_Cost_MUSD]]*Table15[[#This Row],[prob10-failure_rating9]]/10</f>
        <v>2.9587841084E-5</v>
      </c>
      <c r="JP16" s="1">
        <f>Table15[[#This Row],[FailureCost_Rating1]]</f>
        <v>73969.602709999992</v>
      </c>
      <c r="JQ16" s="1">
        <f>Table15[[#This Row],[FailureCost_Rating2]]</f>
        <v>73969.602709999992</v>
      </c>
      <c r="JR16" s="1">
        <f>(Table15[[#This Row],[failurecost500_rating2]]+Table15[[#This Row],[failurecost100_rating2]]+Table15[[#This Row],[failurecost50_rating2]]+Table15[[#This Row],[failurecost10_rating2]])*1000000</f>
        <v>73969.602709999992</v>
      </c>
      <c r="JS16" s="1">
        <f>(Table15[[#This Row],[failurecost500_rating3]]+Table15[[#This Row],[failurecost100_rating3]]+Table15[[#This Row],[failurecost50_rating3]]+Table15[[#This Row],[failurecost10_rating3]])*1000000</f>
        <v>15977.43418536</v>
      </c>
      <c r="JT16" s="1">
        <f>(Table15[[#This Row],[failurecost500_rating4]]+Table15[[#This Row],[failurecost100_rating4]]+Table15[[#This Row],[failurecost50_rating4]]+Table15[[#This Row],[failurecost10_rating4]])*1000000</f>
        <v>5606.895885418</v>
      </c>
      <c r="JU16" s="1">
        <f>(Table15[[#This Row],[failurecost500_rating5]]+Table15[[#This Row],[failurecost100_rating5]]+Table15[[#This Row],[failurecost50_rating5]]+Table15[[#This Row],[failurecost10_rating5]])*1000000</f>
        <v>314.66668992834002</v>
      </c>
      <c r="JV16" s="1">
        <f>(Table15[[#This Row],[failurecost500_rating6]]+Table15[[#This Row],[failurecost100_rating6]]+Table15[[#This Row],[failurecost50_rating6]]+Table15[[#This Row],[failurecost10_rating6]])*1000000</f>
        <v>3540.1851857006004</v>
      </c>
      <c r="JW16" s="1">
        <f>(Table15[[#This Row],[failurecost500_rating7]]+Table15[[#This Row],[failurecost100_rating7]]+Table15[[#This Row],[failurecost50_rating7]]+Table15[[#This Row],[failurecost10_rating7]])*1000000</f>
        <v>3540.1851857006004</v>
      </c>
      <c r="JX16" s="1">
        <f>(Table15[[#This Row],[failurecost500_rating8]]+Table15[[#This Row],[failurecost100_rating8]]+Table15[[#This Row],[failurecost50_rating8]]+Table15[[#This Row],[failurecost10_rating8]])*1000000</f>
        <v>159.62640264818</v>
      </c>
      <c r="JY16" s="1">
        <f>(Table15[[#This Row],[failurecost500_rating9]]+Table15[[#This Row],[failurecost100_rating9]]+Table15[[#This Row],[failurecost50_rating9]]+Table15[[#This Row],[failurecost10_rating9]])*1000000</f>
        <v>36.614953341449997</v>
      </c>
    </row>
    <row r="17" spans="1:285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Table15[[#This Row],[Depth10_Soil_vol]]*(9.353+9.027)+(Table15[[#This Row],[Depth10_Soil_vol]]/2.5)*20*1.053+(PI()*Table15[[#This Row],[Depth10_Scour]])*Table15[[#This Row],[DECK_WIDTH_MT_052]]*1.062</f>
        <v>0</v>
      </c>
      <c r="AR17" s="1">
        <f>Table15[[#This Row],[Depth50_Soil_vol]]*(9.353+9.027)+(Table15[[#This Row],[Depth50_Soil_vol]]/2.5)*20*1.053+(PI()*Table15[[#This Row],[Depth50_Scour]])*Table15[[#This Row],[DECK_WIDTH_MT_052]]*1.062</f>
        <v>73.925295948361111</v>
      </c>
      <c r="AS17" s="1">
        <f>Table15[[#This Row],[Depth100_Soil_vol]]*(9.353+9.027)+(Table15[[#This Row],[Depth100_Soil_vol]]/2.5)*20*1.053+(PI()*Table15[[#This Row],[Depth100_Scour]])*Table15[[#This Row],[DECK_WIDTH_MT_052]]*1.062</f>
        <v>101.29876563204503</v>
      </c>
      <c r="AT17" s="1">
        <f>Table15[[#This Row],[Depth500_Soil_vol]]*(9.353+9.027)+(Table15[[#This Row],[Depth500_Soil_vol]]/2.5)*20*1.053+(PI()*Table15[[#This Row],[Depth500_Scour]])*Table15[[#This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0.22800000000000001</v>
      </c>
      <c r="GF17" s="1">
        <v>8.343465471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f>0.1*Table15[[#This Row],[Total_Cost_MUSD]]*10000</f>
        <v>8343.4654709999995</v>
      </c>
      <c r="GM17" s="1">
        <f>0.09*Table15[[#This Row],[Total_Cost_MUSD]]*10000</f>
        <v>7509.1189238999996</v>
      </c>
      <c r="GN17" s="1">
        <f>0.08*Table15[[#This Row],[Total_Cost_MUSD]]*10000</f>
        <v>6674.7723767999996</v>
      </c>
      <c r="GO17" s="1">
        <f>0.06*Table15[[#This Row],[Total_Cost_MUSD]]*10000</f>
        <v>5006.0792825999997</v>
      </c>
      <c r="GP17" s="1">
        <f>0.04*Table15[[#This Row],[Total_Cost_MUSD]]*10000</f>
        <v>3337.3861883999998</v>
      </c>
      <c r="GQ17" s="1">
        <f>0.02*Table15[[#This Row],[Total_Cost_MUSD]]*10000</f>
        <v>1668.6930941999999</v>
      </c>
      <c r="GR17" s="1">
        <f>Table15[[#This Row],[Total_Cost_MUSD]]*0.001*100000</f>
        <v>834.34654710000007</v>
      </c>
      <c r="GS17" s="1">
        <v>0</v>
      </c>
      <c r="GT17" s="1">
        <v>0</v>
      </c>
      <c r="GU17" s="1">
        <v>0</v>
      </c>
      <c r="GV17" s="1">
        <f t="shared" si="0"/>
        <v>2.5000000000000001E-2</v>
      </c>
      <c r="GW17" s="1">
        <v>0.01</v>
      </c>
      <c r="GX17" s="1">
        <v>2.5000000000000001E-3</v>
      </c>
      <c r="GY17" s="1">
        <v>4.0000000000000002E-4</v>
      </c>
      <c r="GZ17" s="1">
        <v>6.9999999999999999E-6</v>
      </c>
      <c r="HA17" s="1">
        <v>1.8000000000000001E-4</v>
      </c>
      <c r="HB17" s="1">
        <v>1.8000000000000001E-4</v>
      </c>
      <c r="HC17" s="1">
        <v>3.9999999999999998E-6</v>
      </c>
      <c r="HD17" s="1">
        <v>2.5000000000000002E-6</v>
      </c>
      <c r="HE17" s="1">
        <f t="shared" si="1"/>
        <v>1.2500000000000001E-2</v>
      </c>
      <c r="HF17" s="1">
        <v>6.0000000000000001E-3</v>
      </c>
      <c r="HG17" s="1">
        <v>2.5000000000000001E-3</v>
      </c>
      <c r="HH17" s="1">
        <v>5.0000000000000001E-4</v>
      </c>
      <c r="HI17" s="1">
        <v>7.9999999999999996E-6</v>
      </c>
      <c r="HJ17" s="1">
        <v>2.5000000000000001E-4</v>
      </c>
      <c r="HK17" s="1">
        <v>2.5000000000000001E-4</v>
      </c>
      <c r="HL17" s="1">
        <v>5.0000000000000004E-6</v>
      </c>
      <c r="HM17" s="1">
        <v>3.0000000000000001E-6</v>
      </c>
      <c r="HN17" s="1">
        <v>0.01</v>
      </c>
      <c r="HO17" s="1">
        <v>6.0000000000000001E-3</v>
      </c>
      <c r="HP17" s="1">
        <v>1.2999999999999999E-3</v>
      </c>
      <c r="HQ17" s="1">
        <v>5.0000000000000001E-4</v>
      </c>
      <c r="HR17" s="1">
        <v>7.9999999999999996E-6</v>
      </c>
      <c r="HS17" s="1">
        <v>2.5000000000000001E-4</v>
      </c>
      <c r="HT17" s="1">
        <v>2.5000000000000001E-4</v>
      </c>
      <c r="HU17" s="1">
        <v>5.0000000000000004E-6</v>
      </c>
      <c r="HV17" s="1">
        <v>3.0000000000000001E-6</v>
      </c>
      <c r="HW17" s="1">
        <v>0.01</v>
      </c>
      <c r="HX17" s="1">
        <v>8.0000000000000002E-3</v>
      </c>
      <c r="HY17" s="1">
        <v>1.6000000000000001E-3</v>
      </c>
      <c r="HZ17" s="1">
        <v>5.9999999999999995E-4</v>
      </c>
      <c r="IA17" s="1">
        <v>4.0000000000000003E-5</v>
      </c>
      <c r="IB17" s="1">
        <v>4.0000000000000002E-4</v>
      </c>
      <c r="IC17" s="1">
        <v>4.0000000000000002E-4</v>
      </c>
      <c r="ID17" s="1">
        <v>2.0000000000000002E-5</v>
      </c>
      <c r="IE17" s="1">
        <v>3.9999999999999998E-6</v>
      </c>
      <c r="IF17" s="1">
        <f>Table15[[#This Row],[Total_Cost_MUSD]]*Table15[[#This Row],[prob500-failure_rating1]]/500</f>
        <v>4.1717327354999999E-4</v>
      </c>
      <c r="IG17" s="1">
        <f>Table15[[#This Row],[Total_Cost_MUSD]]*Table15[[#This Row],[prob500-failure_rating2]]/500</f>
        <v>1.6686930942E-4</v>
      </c>
      <c r="IH17" s="1">
        <f>Table15[[#This Row],[Total_Cost_MUSD]]*Table15[[#This Row],[prob500-failure_rating3]]/500</f>
        <v>4.1717327355000001E-5</v>
      </c>
      <c r="II17" s="1">
        <f>Table15[[#This Row],[Total_Cost_MUSD]]*Table15[[#This Row],[prob500-failure_rating4]]/500</f>
        <v>6.6747723768000004E-6</v>
      </c>
      <c r="IJ17" s="1">
        <f>Table15[[#This Row],[Total_Cost_MUSD]]*Table15[[#This Row],[prob500-failure_rating5]]/500</f>
        <v>1.16808516594E-7</v>
      </c>
      <c r="IK17" s="1">
        <f>Table15[[#This Row],[Total_Cost_MUSD]]*Table15[[#This Row],[prob500-failure_rating6]]/500</f>
        <v>3.0036475695600002E-6</v>
      </c>
      <c r="IL17" s="1">
        <f>Table15[[#This Row],[Total_Cost_MUSD]]*Table15[[#This Row],[prob500-failure_rating7]]/500</f>
        <v>3.0036475695600002E-6</v>
      </c>
      <c r="IM17" s="1">
        <f>Table15[[#This Row],[Total_Cost_MUSD]]*Table15[[#This Row],[prob500-failure_rating8]]/500</f>
        <v>6.6747723768000006E-8</v>
      </c>
      <c r="IN17" s="1">
        <f>Table15[[#This Row],[Total_Cost_MUSD]]*Table15[[#This Row],[prob500-failure_rating9]]/500</f>
        <v>4.1717327355000002E-8</v>
      </c>
      <c r="IO17" s="1">
        <f>Table15[[#This Row],[Total_Cost_MUSD]]*Table15[[#This Row],[prob100-failure_rating1]]/100</f>
        <v>1.0429331838750001E-3</v>
      </c>
      <c r="IP17" s="1">
        <f>Table15[[#This Row],[Total_Cost_MUSD]]*Table15[[#This Row],[prob100-failure_rating2]]/100</f>
        <v>5.0060792826000003E-4</v>
      </c>
      <c r="IQ17" s="1">
        <f>Table15[[#This Row],[Total_Cost_MUSD]]*Table15[[#This Row],[prob100-failure_rating3]]/100</f>
        <v>2.08586636775E-4</v>
      </c>
      <c r="IR17" s="1">
        <f>Table15[[#This Row],[Total_Cost_MUSD]]*Table15[[#This Row],[prob100-failure_rating4]]/100</f>
        <v>4.1717327355000001E-5</v>
      </c>
      <c r="IS17" s="1">
        <f>Table15[[#This Row],[Total_Cost_MUSD]]*Table15[[#This Row],[prob100-failure_rating5]]/100</f>
        <v>6.6747723768000004E-7</v>
      </c>
      <c r="IT17" s="1">
        <f>Table15[[#This Row],[Total_Cost_MUSD]]*Table15[[#This Row],[prob100-failure_rating6]]/100</f>
        <v>2.08586636775E-5</v>
      </c>
      <c r="IU17" s="1">
        <f>Table15[[#This Row],[Total_Cost_MUSD]]*Table15[[#This Row],[prob100-failure_rating7]]/100</f>
        <v>2.08586636775E-5</v>
      </c>
      <c r="IV17" s="1">
        <f>Table15[[#This Row],[Total_Cost_MUSD]]*Table15[[#This Row],[prob100-failure_rating8]]/100</f>
        <v>4.1717327355000002E-7</v>
      </c>
      <c r="IW17" s="1">
        <f>Table15[[#This Row],[Total_Cost_MUSD]]*Table15[[#This Row],[prob100-failure_rating9]]/100</f>
        <v>2.5030396413000001E-7</v>
      </c>
      <c r="IX17" s="1">
        <f>Table15[[#This Row],[Total_Cost_MUSD]]*Table15[[#This Row],[prob50-failure_rating1]]/50</f>
        <v>1.6686930942E-3</v>
      </c>
      <c r="IY17" s="1">
        <f>Table15[[#This Row],[Total_Cost_MUSD]]*Table15[[#This Row],[prob50-failure_rating2]]/50</f>
        <v>1.0012158565200001E-3</v>
      </c>
      <c r="IZ17" s="1">
        <f>Table15[[#This Row],[Total_Cost_MUSD]]*Table15[[#This Row],[prob50-failure_rating3]]/50</f>
        <v>2.1693010224599999E-4</v>
      </c>
      <c r="JA17" s="1">
        <f>Table15[[#This Row],[Total_Cost_MUSD]]*Table15[[#This Row],[prob50-failure_rating4]]/50</f>
        <v>8.3434654710000001E-5</v>
      </c>
      <c r="JB17" s="1">
        <f>Table15[[#This Row],[Total_Cost_MUSD]]*Table15[[#This Row],[prob50-failure_rating5]]/50</f>
        <v>1.3349544753600001E-6</v>
      </c>
      <c r="JC17" s="1">
        <f>Table15[[#This Row],[Total_Cost_MUSD]]*Table15[[#This Row],[prob50-failure_rating6]]/50</f>
        <v>4.1717327355000001E-5</v>
      </c>
      <c r="JD17" s="1">
        <f>Table15[[#This Row],[Total_Cost_MUSD]]*Table15[[#This Row],[prob50-failure_rating7]]/50</f>
        <v>4.1717327355000001E-5</v>
      </c>
      <c r="JE17" s="1">
        <f>Table15[[#This Row],[Total_Cost_MUSD]]*Table15[[#This Row],[prob50-failure_rating8]]/50</f>
        <v>8.3434654710000005E-7</v>
      </c>
      <c r="JF17" s="1">
        <f>Table15[[#This Row],[Total_Cost_MUSD]]*Table15[[#This Row],[prob50-failure_rating9]]/50</f>
        <v>5.0060792826000003E-7</v>
      </c>
      <c r="JG17" s="1">
        <f>Table15[[#This Row],[Total_Cost_MUSD]]*Table15[[#This Row],[prob10-failure_rating1]]/10</f>
        <v>8.3434654710000007E-3</v>
      </c>
      <c r="JH17" s="1">
        <f>Table15[[#This Row],[Total_Cost_MUSD]]*Table15[[#This Row],[prob10-failure_rating2]]/10</f>
        <v>6.6747723768000007E-3</v>
      </c>
      <c r="JI17" s="1">
        <f>Table15[[#This Row],[Total_Cost_MUSD]]*Table15[[#This Row],[prob10-failure_rating3]]/10</f>
        <v>1.3349544753600002E-3</v>
      </c>
      <c r="JJ17" s="1">
        <f>Table15[[#This Row],[Total_Cost_MUSD]]*Table15[[#This Row],[prob10-failure_rating4]]/10</f>
        <v>5.0060792826000003E-4</v>
      </c>
      <c r="JK17" s="1">
        <f>Table15[[#This Row],[Total_Cost_MUSD]]*Table15[[#This Row],[prob10-failure_rating5]]/10</f>
        <v>3.3373861884000002E-5</v>
      </c>
      <c r="JL17" s="1">
        <f>Table15[[#This Row],[Total_Cost_MUSD]]*Table15[[#This Row],[prob10-failure_rating6]]/10</f>
        <v>3.3373861884000006E-4</v>
      </c>
      <c r="JM17" s="1">
        <f>Table15[[#This Row],[Total_Cost_MUSD]]*Table15[[#This Row],[prob10-failure_rating7]]/10</f>
        <v>3.3373861884000006E-4</v>
      </c>
      <c r="JN17" s="1">
        <f>Table15[[#This Row],[Total_Cost_MUSD]]*Table15[[#This Row],[prob10-failure_rating8]]/10</f>
        <v>1.6686930942000001E-5</v>
      </c>
      <c r="JO17" s="1">
        <f>Table15[[#This Row],[Total_Cost_MUSD]]*Table15[[#This Row],[prob10-failure_rating9]]/10</f>
        <v>3.3373861884000002E-6</v>
      </c>
      <c r="JP17" s="1">
        <f>Table15[[#This Row],[FailureCost_Rating1]]</f>
        <v>8343.4654710000013</v>
      </c>
      <c r="JQ17" s="1">
        <f>Table15[[#This Row],[FailureCost_Rating2]]</f>
        <v>8343.4654710000013</v>
      </c>
      <c r="JR17" s="1">
        <f>(Table15[[#This Row],[failurecost500_rating2]]+Table15[[#This Row],[failurecost100_rating2]]+Table15[[#This Row],[failurecost50_rating2]]+Table15[[#This Row],[failurecost10_rating2]])*1000000</f>
        <v>8343.4654710000013</v>
      </c>
      <c r="JS17" s="1">
        <f>(Table15[[#This Row],[failurecost500_rating3]]+Table15[[#This Row],[failurecost100_rating3]]+Table15[[#This Row],[failurecost50_rating3]]+Table15[[#This Row],[failurecost10_rating3]])*1000000</f>
        <v>1802.1885417360004</v>
      </c>
      <c r="JT17" s="1">
        <f>(Table15[[#This Row],[failurecost500_rating4]]+Table15[[#This Row],[failurecost100_rating4]]+Table15[[#This Row],[failurecost50_rating4]]+Table15[[#This Row],[failurecost10_rating4]])*1000000</f>
        <v>632.43468270180006</v>
      </c>
      <c r="JU17" s="1">
        <f>(Table15[[#This Row],[failurecost500_rating5]]+Table15[[#This Row],[failurecost100_rating5]]+Table15[[#This Row],[failurecost50_rating5]]+Table15[[#This Row],[failurecost10_rating5]])*1000000</f>
        <v>35.493102113634002</v>
      </c>
      <c r="JV17" s="1">
        <f>(Table15[[#This Row],[failurecost500_rating6]]+Table15[[#This Row],[failurecost100_rating6]]+Table15[[#This Row],[failurecost50_rating6]]+Table15[[#This Row],[failurecost10_rating6]])*1000000</f>
        <v>399.31825744206003</v>
      </c>
      <c r="JW17" s="1">
        <f>(Table15[[#This Row],[failurecost500_rating7]]+Table15[[#This Row],[failurecost100_rating7]]+Table15[[#This Row],[failurecost50_rating7]]+Table15[[#This Row],[failurecost10_rating7]])*1000000</f>
        <v>399.31825744206003</v>
      </c>
      <c r="JX17" s="1">
        <f>(Table15[[#This Row],[failurecost500_rating8]]+Table15[[#This Row],[failurecost100_rating8]]+Table15[[#This Row],[failurecost50_rating8]]+Table15[[#This Row],[failurecost10_rating8]])*1000000</f>
        <v>18.005198486417999</v>
      </c>
      <c r="JY17" s="1">
        <f>(Table15[[#This Row],[failurecost500_rating9]]+Table15[[#This Row],[failurecost100_rating9]]+Table15[[#This Row],[failurecost50_rating9]]+Table15[[#This Row],[failurecost10_rating9]])*1000000</f>
        <v>4.1300154081450007</v>
      </c>
    </row>
    <row r="18" spans="1:285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Table15[[#This Row],[Depth10_Soil_vol]]*(9.353+9.027)+(Table15[[#This Row],[Depth10_Soil_vol]]/2.5)*20*1.053+(PI()*Table15[[#This Row],[Depth10_Scour]])*Table15[[#This Row],[DECK_WIDTH_MT_052]]*1.062</f>
        <v>15354.595084739485</v>
      </c>
      <c r="AR18" s="1">
        <f>Table15[[#This Row],[Depth50_Soil_vol]]*(9.353+9.027)+(Table15[[#This Row],[Depth50_Soil_vol]]/2.5)*20*1.053+(PI()*Table15[[#This Row],[Depth50_Scour]])*Table15[[#This Row],[DECK_WIDTH_MT_052]]*1.062</f>
        <v>13414.428771618834</v>
      </c>
      <c r="AS18" s="1">
        <f>Table15[[#This Row],[Depth100_Soil_vol]]*(9.353+9.027)+(Table15[[#This Row],[Depth100_Soil_vol]]/2.5)*20*1.053+(PI()*Table15[[#This Row],[Depth100_Scour]])*Table15[[#This Row],[DECK_WIDTH_MT_052]]*1.062</f>
        <v>13976.739331979787</v>
      </c>
      <c r="AT18" s="1">
        <f>Table15[[#This Row],[Depth500_Soil_vol]]*(9.353+9.027)+(Table15[[#This Row],[Depth500_Soil_vol]]/2.5)*20*1.053+(PI()*Table15[[#This Row],[Depth500_Scour]])*Table15[[#This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0.52800000000000002</v>
      </c>
      <c r="GF18" s="1">
        <v>2.8449664000000001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f>0.1*Table15[[#This Row],[Total_Cost_MUSD]]*10000</f>
        <v>2844.9664000000002</v>
      </c>
      <c r="GM18" s="1">
        <f>0.09*Table15[[#This Row],[Total_Cost_MUSD]]*10000</f>
        <v>2560.46976</v>
      </c>
      <c r="GN18" s="1">
        <f>0.08*Table15[[#This Row],[Total_Cost_MUSD]]*10000</f>
        <v>2275.9731200000001</v>
      </c>
      <c r="GO18" s="1">
        <f>0.06*Table15[[#This Row],[Total_Cost_MUSD]]*10000</f>
        <v>1706.97984</v>
      </c>
      <c r="GP18" s="1">
        <f>0.04*Table15[[#This Row],[Total_Cost_MUSD]]*10000</f>
        <v>1137.9865600000001</v>
      </c>
      <c r="GQ18" s="1">
        <f>0.02*Table15[[#This Row],[Total_Cost_MUSD]]*10000</f>
        <v>568.99328000000003</v>
      </c>
      <c r="GR18" s="1">
        <f>Table15[[#This Row],[Total_Cost_MUSD]]*0.001*100000</f>
        <v>284.49664000000001</v>
      </c>
      <c r="GS18" s="1">
        <v>0</v>
      </c>
      <c r="GT18" s="1">
        <v>0</v>
      </c>
      <c r="GU18" s="1">
        <v>0</v>
      </c>
      <c r="GV18" s="1">
        <f t="shared" si="0"/>
        <v>2.5000000000000001E-2</v>
      </c>
      <c r="GW18" s="1">
        <v>0.01</v>
      </c>
      <c r="GX18" s="1">
        <v>2.5000000000000001E-3</v>
      </c>
      <c r="GY18" s="1">
        <v>4.0000000000000002E-4</v>
      </c>
      <c r="GZ18" s="1">
        <v>6.9999999999999999E-6</v>
      </c>
      <c r="HA18" s="1">
        <v>1.8000000000000001E-4</v>
      </c>
      <c r="HB18" s="1">
        <v>1.8000000000000001E-4</v>
      </c>
      <c r="HC18" s="1">
        <v>3.9999999999999998E-6</v>
      </c>
      <c r="HD18" s="1">
        <v>2.5000000000000002E-6</v>
      </c>
      <c r="HE18" s="1">
        <f t="shared" si="1"/>
        <v>1.2500000000000001E-2</v>
      </c>
      <c r="HF18" s="1">
        <v>6.0000000000000001E-3</v>
      </c>
      <c r="HG18" s="1">
        <v>2.5000000000000001E-3</v>
      </c>
      <c r="HH18" s="1">
        <v>5.0000000000000001E-4</v>
      </c>
      <c r="HI18" s="1">
        <v>7.9999999999999996E-6</v>
      </c>
      <c r="HJ18" s="1">
        <v>2.5000000000000001E-4</v>
      </c>
      <c r="HK18" s="1">
        <v>2.5000000000000001E-4</v>
      </c>
      <c r="HL18" s="1">
        <v>5.0000000000000004E-6</v>
      </c>
      <c r="HM18" s="1">
        <v>3.0000000000000001E-6</v>
      </c>
      <c r="HN18" s="1">
        <v>0.01</v>
      </c>
      <c r="HO18" s="1">
        <v>6.0000000000000001E-3</v>
      </c>
      <c r="HP18" s="1">
        <v>1.2999999999999999E-3</v>
      </c>
      <c r="HQ18" s="1">
        <v>5.0000000000000001E-4</v>
      </c>
      <c r="HR18" s="1">
        <v>7.9999999999999996E-6</v>
      </c>
      <c r="HS18" s="1">
        <v>2.5000000000000001E-4</v>
      </c>
      <c r="HT18" s="1">
        <v>2.5000000000000001E-4</v>
      </c>
      <c r="HU18" s="1">
        <v>5.0000000000000004E-6</v>
      </c>
      <c r="HV18" s="1">
        <v>3.0000000000000001E-6</v>
      </c>
      <c r="HW18" s="1">
        <v>0.01</v>
      </c>
      <c r="HX18" s="1">
        <v>8.0000000000000002E-3</v>
      </c>
      <c r="HY18" s="1">
        <v>1.6000000000000001E-3</v>
      </c>
      <c r="HZ18" s="1">
        <v>5.9999999999999995E-4</v>
      </c>
      <c r="IA18" s="1">
        <v>4.0000000000000003E-5</v>
      </c>
      <c r="IB18" s="1">
        <v>4.0000000000000002E-4</v>
      </c>
      <c r="IC18" s="1">
        <v>4.0000000000000002E-4</v>
      </c>
      <c r="ID18" s="1">
        <v>2.0000000000000002E-5</v>
      </c>
      <c r="IE18" s="1">
        <v>3.9999999999999998E-6</v>
      </c>
      <c r="IF18" s="1">
        <f>Table15[[#This Row],[Total_Cost_MUSD]]*Table15[[#This Row],[prob500-failure_rating1]]/500</f>
        <v>1.4224832000000001E-4</v>
      </c>
      <c r="IG18" s="1">
        <f>Table15[[#This Row],[Total_Cost_MUSD]]*Table15[[#This Row],[prob500-failure_rating2]]/500</f>
        <v>5.6899328000000009E-5</v>
      </c>
      <c r="IH18" s="1">
        <f>Table15[[#This Row],[Total_Cost_MUSD]]*Table15[[#This Row],[prob500-failure_rating3]]/500</f>
        <v>1.4224832000000002E-5</v>
      </c>
      <c r="II18" s="1">
        <f>Table15[[#This Row],[Total_Cost_MUSD]]*Table15[[#This Row],[prob500-failure_rating4]]/500</f>
        <v>2.2759731200000002E-6</v>
      </c>
      <c r="IJ18" s="1">
        <f>Table15[[#This Row],[Total_Cost_MUSD]]*Table15[[#This Row],[prob500-failure_rating5]]/500</f>
        <v>3.9829529599999996E-8</v>
      </c>
      <c r="IK18" s="1">
        <f>Table15[[#This Row],[Total_Cost_MUSD]]*Table15[[#This Row],[prob500-failure_rating6]]/500</f>
        <v>1.024187904E-6</v>
      </c>
      <c r="IL18" s="1">
        <f>Table15[[#This Row],[Total_Cost_MUSD]]*Table15[[#This Row],[prob500-failure_rating7]]/500</f>
        <v>1.024187904E-6</v>
      </c>
      <c r="IM18" s="1">
        <f>Table15[[#This Row],[Total_Cost_MUSD]]*Table15[[#This Row],[prob500-failure_rating8]]/500</f>
        <v>2.27597312E-8</v>
      </c>
      <c r="IN18" s="1">
        <f>Table15[[#This Row],[Total_Cost_MUSD]]*Table15[[#This Row],[prob500-failure_rating9]]/500</f>
        <v>1.4224832000000003E-8</v>
      </c>
      <c r="IO18" s="1">
        <f>Table15[[#This Row],[Total_Cost_MUSD]]*Table15[[#This Row],[prob100-failure_rating1]]/100</f>
        <v>3.5562080000000002E-4</v>
      </c>
      <c r="IP18" s="1">
        <f>Table15[[#This Row],[Total_Cost_MUSD]]*Table15[[#This Row],[prob100-failure_rating2]]/100</f>
        <v>1.7069798400000003E-4</v>
      </c>
      <c r="IQ18" s="1">
        <f>Table15[[#This Row],[Total_Cost_MUSD]]*Table15[[#This Row],[prob100-failure_rating3]]/100</f>
        <v>7.1124160000000003E-5</v>
      </c>
      <c r="IR18" s="1">
        <f>Table15[[#This Row],[Total_Cost_MUSD]]*Table15[[#This Row],[prob100-failure_rating4]]/100</f>
        <v>1.4224832000000001E-5</v>
      </c>
      <c r="IS18" s="1">
        <f>Table15[[#This Row],[Total_Cost_MUSD]]*Table15[[#This Row],[prob100-failure_rating5]]/100</f>
        <v>2.2759731199999999E-7</v>
      </c>
      <c r="IT18" s="1">
        <f>Table15[[#This Row],[Total_Cost_MUSD]]*Table15[[#This Row],[prob100-failure_rating6]]/100</f>
        <v>7.1124160000000003E-6</v>
      </c>
      <c r="IU18" s="1">
        <f>Table15[[#This Row],[Total_Cost_MUSD]]*Table15[[#This Row],[prob100-failure_rating7]]/100</f>
        <v>7.1124160000000003E-6</v>
      </c>
      <c r="IV18" s="1">
        <f>Table15[[#This Row],[Total_Cost_MUSD]]*Table15[[#This Row],[prob100-failure_rating8]]/100</f>
        <v>1.4224832000000001E-7</v>
      </c>
      <c r="IW18" s="1">
        <f>Table15[[#This Row],[Total_Cost_MUSD]]*Table15[[#This Row],[prob100-failure_rating9]]/100</f>
        <v>8.5348992000000003E-8</v>
      </c>
      <c r="IX18" s="1">
        <f>Table15[[#This Row],[Total_Cost_MUSD]]*Table15[[#This Row],[prob50-failure_rating1]]/50</f>
        <v>5.6899328000000002E-4</v>
      </c>
      <c r="IY18" s="1">
        <f>Table15[[#This Row],[Total_Cost_MUSD]]*Table15[[#This Row],[prob50-failure_rating2]]/50</f>
        <v>3.4139596800000007E-4</v>
      </c>
      <c r="IZ18" s="1">
        <f>Table15[[#This Row],[Total_Cost_MUSD]]*Table15[[#This Row],[prob50-failure_rating3]]/50</f>
        <v>7.3969126400000001E-5</v>
      </c>
      <c r="JA18" s="1">
        <f>Table15[[#This Row],[Total_Cost_MUSD]]*Table15[[#This Row],[prob50-failure_rating4]]/50</f>
        <v>2.8449664000000001E-5</v>
      </c>
      <c r="JB18" s="1">
        <f>Table15[[#This Row],[Total_Cost_MUSD]]*Table15[[#This Row],[prob50-failure_rating5]]/50</f>
        <v>4.5519462399999998E-7</v>
      </c>
      <c r="JC18" s="1">
        <f>Table15[[#This Row],[Total_Cost_MUSD]]*Table15[[#This Row],[prob50-failure_rating6]]/50</f>
        <v>1.4224832000000001E-5</v>
      </c>
      <c r="JD18" s="1">
        <f>Table15[[#This Row],[Total_Cost_MUSD]]*Table15[[#This Row],[prob50-failure_rating7]]/50</f>
        <v>1.4224832000000001E-5</v>
      </c>
      <c r="JE18" s="1">
        <f>Table15[[#This Row],[Total_Cost_MUSD]]*Table15[[#This Row],[prob50-failure_rating8]]/50</f>
        <v>2.8449664000000003E-7</v>
      </c>
      <c r="JF18" s="1">
        <f>Table15[[#This Row],[Total_Cost_MUSD]]*Table15[[#This Row],[prob50-failure_rating9]]/50</f>
        <v>1.7069798400000001E-7</v>
      </c>
      <c r="JG18" s="1">
        <f>Table15[[#This Row],[Total_Cost_MUSD]]*Table15[[#This Row],[prob10-failure_rating1]]/10</f>
        <v>2.8449664000000001E-3</v>
      </c>
      <c r="JH18" s="1">
        <f>Table15[[#This Row],[Total_Cost_MUSD]]*Table15[[#This Row],[prob10-failure_rating2]]/10</f>
        <v>2.2759731200000001E-3</v>
      </c>
      <c r="JI18" s="1">
        <f>Table15[[#This Row],[Total_Cost_MUSD]]*Table15[[#This Row],[prob10-failure_rating3]]/10</f>
        <v>4.5519462400000002E-4</v>
      </c>
      <c r="JJ18" s="1">
        <f>Table15[[#This Row],[Total_Cost_MUSD]]*Table15[[#This Row],[prob10-failure_rating4]]/10</f>
        <v>1.7069798399999998E-4</v>
      </c>
      <c r="JK18" s="1">
        <f>Table15[[#This Row],[Total_Cost_MUSD]]*Table15[[#This Row],[prob10-failure_rating5]]/10</f>
        <v>1.1379865600000002E-5</v>
      </c>
      <c r="JL18" s="1">
        <f>Table15[[#This Row],[Total_Cost_MUSD]]*Table15[[#This Row],[prob10-failure_rating6]]/10</f>
        <v>1.13798656E-4</v>
      </c>
      <c r="JM18" s="1">
        <f>Table15[[#This Row],[Total_Cost_MUSD]]*Table15[[#This Row],[prob10-failure_rating7]]/10</f>
        <v>1.13798656E-4</v>
      </c>
      <c r="JN18" s="1">
        <f>Table15[[#This Row],[Total_Cost_MUSD]]*Table15[[#This Row],[prob10-failure_rating8]]/10</f>
        <v>5.6899328000000008E-6</v>
      </c>
      <c r="JO18" s="1">
        <f>Table15[[#This Row],[Total_Cost_MUSD]]*Table15[[#This Row],[prob10-failure_rating9]]/10</f>
        <v>1.1379865599999999E-6</v>
      </c>
      <c r="JP18" s="1">
        <f>Table15[[#This Row],[FailureCost_Rating1]]</f>
        <v>2844.9664000000002</v>
      </c>
      <c r="JQ18" s="1">
        <f>Table15[[#This Row],[FailureCost_Rating2]]</f>
        <v>2844.9664000000002</v>
      </c>
      <c r="JR18" s="1">
        <f>(Table15[[#This Row],[failurecost500_rating2]]+Table15[[#This Row],[failurecost100_rating2]]+Table15[[#This Row],[failurecost50_rating2]]+Table15[[#This Row],[failurecost10_rating2]])*1000000</f>
        <v>2844.9664000000002</v>
      </c>
      <c r="JS18" s="1">
        <f>(Table15[[#This Row],[failurecost500_rating3]]+Table15[[#This Row],[failurecost100_rating3]]+Table15[[#This Row],[failurecost50_rating3]]+Table15[[#This Row],[failurecost10_rating3]])*1000000</f>
        <v>614.51274239999998</v>
      </c>
      <c r="JT18" s="1">
        <f>(Table15[[#This Row],[failurecost500_rating4]]+Table15[[#This Row],[failurecost100_rating4]]+Table15[[#This Row],[failurecost50_rating4]]+Table15[[#This Row],[failurecost10_rating4]])*1000000</f>
        <v>215.64845312</v>
      </c>
      <c r="JU18" s="1">
        <f>(Table15[[#This Row],[failurecost500_rating5]]+Table15[[#This Row],[failurecost100_rating5]]+Table15[[#This Row],[failurecost50_rating5]]+Table15[[#This Row],[failurecost10_rating5]])*1000000</f>
        <v>12.1024870656</v>
      </c>
      <c r="JV18" s="1">
        <f>(Table15[[#This Row],[failurecost500_rating6]]+Table15[[#This Row],[failurecost100_rating6]]+Table15[[#This Row],[failurecost50_rating6]]+Table15[[#This Row],[failurecost10_rating6]])*1000000</f>
        <v>136.16009190400001</v>
      </c>
      <c r="JW18" s="1">
        <f>(Table15[[#This Row],[failurecost500_rating7]]+Table15[[#This Row],[failurecost100_rating7]]+Table15[[#This Row],[failurecost50_rating7]]+Table15[[#This Row],[failurecost10_rating7]])*1000000</f>
        <v>136.16009190400001</v>
      </c>
      <c r="JX18" s="1">
        <f>(Table15[[#This Row],[failurecost500_rating8]]+Table15[[#This Row],[failurecost100_rating8]]+Table15[[#This Row],[failurecost50_rating8]]+Table15[[#This Row],[failurecost10_rating8]])*1000000</f>
        <v>6.1394374912000007</v>
      </c>
      <c r="JY18" s="1">
        <f>(Table15[[#This Row],[failurecost500_rating9]]+Table15[[#This Row],[failurecost100_rating9]]+Table15[[#This Row],[failurecost50_rating9]]+Table15[[#This Row],[failurecost10_rating9]])*1000000</f>
        <v>1.4082583679999998</v>
      </c>
    </row>
    <row r="19" spans="1:285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Table15[[#This Row],[Depth10_Soil_vol]]*(9.353+9.027)+(Table15[[#This Row],[Depth10_Soil_vol]]/2.5)*20*1.053+(PI()*Table15[[#This Row],[Depth10_Scour]])*Table15[[#This Row],[DECK_WIDTH_MT_052]]*1.062</f>
        <v>10223.699035708925</v>
      </c>
      <c r="AR19" s="1">
        <f>Table15[[#This Row],[Depth50_Soil_vol]]*(9.353+9.027)+(Table15[[#This Row],[Depth50_Soil_vol]]/2.5)*20*1.053+(PI()*Table15[[#This Row],[Depth50_Scour]])*Table15[[#This Row],[DECK_WIDTH_MT_052]]*1.062</f>
        <v>11295.880242844603</v>
      </c>
      <c r="AS19" s="1">
        <f>Table15[[#This Row],[Depth100_Soil_vol]]*(9.353+9.027)+(Table15[[#This Row],[Depth100_Soil_vol]]/2.5)*20*1.053+(PI()*Table15[[#This Row],[Depth100_Scour]])*Table15[[#This Row],[DECK_WIDTH_MT_052]]*1.062</f>
        <v>11757.366155411924</v>
      </c>
      <c r="AT19" s="1">
        <f>Table15[[#This Row],[Depth500_Soil_vol]]*(9.353+9.027)+(Table15[[#This Row],[Depth500_Soil_vol]]/2.5)*20*1.053+(PI()*Table15[[#This Row],[Depth500_Scour]])*Table15[[#This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0.79200000000000004</v>
      </c>
      <c r="GF19" s="1">
        <v>29.559959710000001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f>0.1*Table15[[#This Row],[Total_Cost_MUSD]]*10000</f>
        <v>29559.959710000003</v>
      </c>
      <c r="GM19" s="1">
        <f>0.09*Table15[[#This Row],[Total_Cost_MUSD]]*10000</f>
        <v>26603.963738999999</v>
      </c>
      <c r="GN19" s="1">
        <f>0.08*Table15[[#This Row],[Total_Cost_MUSD]]*10000</f>
        <v>23647.967767999999</v>
      </c>
      <c r="GO19" s="1">
        <f>0.06*Table15[[#This Row],[Total_Cost_MUSD]]*10000</f>
        <v>17735.975826000002</v>
      </c>
      <c r="GP19" s="1">
        <f>0.04*Table15[[#This Row],[Total_Cost_MUSD]]*10000</f>
        <v>11823.983883999999</v>
      </c>
      <c r="GQ19" s="1">
        <f>0.02*Table15[[#This Row],[Total_Cost_MUSD]]*10000</f>
        <v>5911.9919419999997</v>
      </c>
      <c r="GR19" s="1">
        <f>Table15[[#This Row],[Total_Cost_MUSD]]*0.001*100000</f>
        <v>2955.9959709999998</v>
      </c>
      <c r="GS19" s="1">
        <v>0</v>
      </c>
      <c r="GT19" s="1">
        <v>0</v>
      </c>
      <c r="GU19" s="1">
        <v>0</v>
      </c>
      <c r="GV19" s="1">
        <f t="shared" si="0"/>
        <v>2.5000000000000001E-2</v>
      </c>
      <c r="GW19" s="1">
        <v>0.01</v>
      </c>
      <c r="GX19" s="1">
        <v>2.5000000000000001E-3</v>
      </c>
      <c r="GY19" s="1">
        <v>4.0000000000000002E-4</v>
      </c>
      <c r="GZ19" s="1">
        <v>6.9999999999999999E-6</v>
      </c>
      <c r="HA19" s="1">
        <v>1.8000000000000001E-4</v>
      </c>
      <c r="HB19" s="1">
        <v>1.8000000000000001E-4</v>
      </c>
      <c r="HC19" s="1">
        <v>3.9999999999999998E-6</v>
      </c>
      <c r="HD19" s="1">
        <v>2.5000000000000002E-6</v>
      </c>
      <c r="HE19" s="1">
        <f t="shared" si="1"/>
        <v>1.2500000000000001E-2</v>
      </c>
      <c r="HF19" s="1">
        <v>6.0000000000000001E-3</v>
      </c>
      <c r="HG19" s="1">
        <v>2.5000000000000001E-3</v>
      </c>
      <c r="HH19" s="1">
        <v>5.0000000000000001E-4</v>
      </c>
      <c r="HI19" s="1">
        <v>7.9999999999999996E-6</v>
      </c>
      <c r="HJ19" s="1">
        <v>2.5000000000000001E-4</v>
      </c>
      <c r="HK19" s="1">
        <v>2.5000000000000001E-4</v>
      </c>
      <c r="HL19" s="1">
        <v>5.0000000000000004E-6</v>
      </c>
      <c r="HM19" s="1">
        <v>3.0000000000000001E-6</v>
      </c>
      <c r="HN19" s="1">
        <v>0.01</v>
      </c>
      <c r="HO19" s="1">
        <v>6.0000000000000001E-3</v>
      </c>
      <c r="HP19" s="1">
        <v>1.2999999999999999E-3</v>
      </c>
      <c r="HQ19" s="1">
        <v>5.0000000000000001E-4</v>
      </c>
      <c r="HR19" s="1">
        <v>7.9999999999999996E-6</v>
      </c>
      <c r="HS19" s="1">
        <v>2.5000000000000001E-4</v>
      </c>
      <c r="HT19" s="1">
        <v>2.5000000000000001E-4</v>
      </c>
      <c r="HU19" s="1">
        <v>5.0000000000000004E-6</v>
      </c>
      <c r="HV19" s="1">
        <v>3.0000000000000001E-6</v>
      </c>
      <c r="HW19" s="1">
        <v>0.01</v>
      </c>
      <c r="HX19" s="1">
        <v>8.0000000000000002E-3</v>
      </c>
      <c r="HY19" s="1">
        <v>1.6000000000000001E-3</v>
      </c>
      <c r="HZ19" s="1">
        <v>5.9999999999999995E-4</v>
      </c>
      <c r="IA19" s="1">
        <v>4.0000000000000003E-5</v>
      </c>
      <c r="IB19" s="1">
        <v>4.0000000000000002E-4</v>
      </c>
      <c r="IC19" s="1">
        <v>4.0000000000000002E-4</v>
      </c>
      <c r="ID19" s="1">
        <v>2.0000000000000002E-5</v>
      </c>
      <c r="IE19" s="1">
        <v>3.9999999999999998E-6</v>
      </c>
      <c r="IF19" s="1">
        <f>Table15[[#This Row],[Total_Cost_MUSD]]*Table15[[#This Row],[prob500-failure_rating1]]/500</f>
        <v>1.4779979855E-3</v>
      </c>
      <c r="IG19" s="1">
        <f>Table15[[#This Row],[Total_Cost_MUSD]]*Table15[[#This Row],[prob500-failure_rating2]]/500</f>
        <v>5.9119919419999998E-4</v>
      </c>
      <c r="IH19" s="1">
        <f>Table15[[#This Row],[Total_Cost_MUSD]]*Table15[[#This Row],[prob500-failure_rating3]]/500</f>
        <v>1.4779979855E-4</v>
      </c>
      <c r="II19" s="1">
        <f>Table15[[#This Row],[Total_Cost_MUSD]]*Table15[[#This Row],[prob500-failure_rating4]]/500</f>
        <v>2.3647967768000004E-5</v>
      </c>
      <c r="IJ19" s="1">
        <f>Table15[[#This Row],[Total_Cost_MUSD]]*Table15[[#This Row],[prob500-failure_rating5]]/500</f>
        <v>4.1383943594000002E-7</v>
      </c>
      <c r="IK19" s="1">
        <f>Table15[[#This Row],[Total_Cost_MUSD]]*Table15[[#This Row],[prob500-failure_rating6]]/500</f>
        <v>1.0641585495600001E-5</v>
      </c>
      <c r="IL19" s="1">
        <f>Table15[[#This Row],[Total_Cost_MUSD]]*Table15[[#This Row],[prob500-failure_rating7]]/500</f>
        <v>1.0641585495600001E-5</v>
      </c>
      <c r="IM19" s="1">
        <f>Table15[[#This Row],[Total_Cost_MUSD]]*Table15[[#This Row],[prob500-failure_rating8]]/500</f>
        <v>2.3647967768000001E-7</v>
      </c>
      <c r="IN19" s="1">
        <f>Table15[[#This Row],[Total_Cost_MUSD]]*Table15[[#This Row],[prob500-failure_rating9]]/500</f>
        <v>1.4779979855000003E-7</v>
      </c>
      <c r="IO19" s="1">
        <f>Table15[[#This Row],[Total_Cost_MUSD]]*Table15[[#This Row],[prob100-failure_rating1]]/100</f>
        <v>3.69499496375E-3</v>
      </c>
      <c r="IP19" s="1">
        <f>Table15[[#This Row],[Total_Cost_MUSD]]*Table15[[#This Row],[prob100-failure_rating2]]/100</f>
        <v>1.7735975825999999E-3</v>
      </c>
      <c r="IQ19" s="1">
        <f>Table15[[#This Row],[Total_Cost_MUSD]]*Table15[[#This Row],[prob100-failure_rating3]]/100</f>
        <v>7.3899899274999998E-4</v>
      </c>
      <c r="IR19" s="1">
        <f>Table15[[#This Row],[Total_Cost_MUSD]]*Table15[[#This Row],[prob100-failure_rating4]]/100</f>
        <v>1.4779979855E-4</v>
      </c>
      <c r="IS19" s="1">
        <f>Table15[[#This Row],[Total_Cost_MUSD]]*Table15[[#This Row],[prob100-failure_rating5]]/100</f>
        <v>2.3647967768000001E-6</v>
      </c>
      <c r="IT19" s="1">
        <f>Table15[[#This Row],[Total_Cost_MUSD]]*Table15[[#This Row],[prob100-failure_rating6]]/100</f>
        <v>7.3899899274999998E-5</v>
      </c>
      <c r="IU19" s="1">
        <f>Table15[[#This Row],[Total_Cost_MUSD]]*Table15[[#This Row],[prob100-failure_rating7]]/100</f>
        <v>7.3899899274999998E-5</v>
      </c>
      <c r="IV19" s="1">
        <f>Table15[[#This Row],[Total_Cost_MUSD]]*Table15[[#This Row],[prob100-failure_rating8]]/100</f>
        <v>1.4779979855000002E-6</v>
      </c>
      <c r="IW19" s="1">
        <f>Table15[[#This Row],[Total_Cost_MUSD]]*Table15[[#This Row],[prob100-failure_rating9]]/100</f>
        <v>8.867987913000001E-7</v>
      </c>
      <c r="IX19" s="1">
        <f>Table15[[#This Row],[Total_Cost_MUSD]]*Table15[[#This Row],[prob50-failure_rating1]]/50</f>
        <v>5.9119919419999998E-3</v>
      </c>
      <c r="IY19" s="1">
        <f>Table15[[#This Row],[Total_Cost_MUSD]]*Table15[[#This Row],[prob50-failure_rating2]]/50</f>
        <v>3.5471951651999999E-3</v>
      </c>
      <c r="IZ19" s="1">
        <f>Table15[[#This Row],[Total_Cost_MUSD]]*Table15[[#This Row],[prob50-failure_rating3]]/50</f>
        <v>7.6855895246000011E-4</v>
      </c>
      <c r="JA19" s="1">
        <f>Table15[[#This Row],[Total_Cost_MUSD]]*Table15[[#This Row],[prob50-failure_rating4]]/50</f>
        <v>2.9559959709999999E-4</v>
      </c>
      <c r="JB19" s="1">
        <f>Table15[[#This Row],[Total_Cost_MUSD]]*Table15[[#This Row],[prob50-failure_rating5]]/50</f>
        <v>4.7295935536000002E-6</v>
      </c>
      <c r="JC19" s="1">
        <f>Table15[[#This Row],[Total_Cost_MUSD]]*Table15[[#This Row],[prob50-failure_rating6]]/50</f>
        <v>1.4779979855E-4</v>
      </c>
      <c r="JD19" s="1">
        <f>Table15[[#This Row],[Total_Cost_MUSD]]*Table15[[#This Row],[prob50-failure_rating7]]/50</f>
        <v>1.4779979855E-4</v>
      </c>
      <c r="JE19" s="1">
        <f>Table15[[#This Row],[Total_Cost_MUSD]]*Table15[[#This Row],[prob50-failure_rating8]]/50</f>
        <v>2.9559959710000005E-6</v>
      </c>
      <c r="JF19" s="1">
        <f>Table15[[#This Row],[Total_Cost_MUSD]]*Table15[[#This Row],[prob50-failure_rating9]]/50</f>
        <v>1.7735975826000002E-6</v>
      </c>
      <c r="JG19" s="1">
        <f>Table15[[#This Row],[Total_Cost_MUSD]]*Table15[[#This Row],[prob10-failure_rating1]]/10</f>
        <v>2.955995971E-2</v>
      </c>
      <c r="JH19" s="1">
        <f>Table15[[#This Row],[Total_Cost_MUSD]]*Table15[[#This Row],[prob10-failure_rating2]]/10</f>
        <v>2.3647967767999999E-2</v>
      </c>
      <c r="JI19" s="1">
        <f>Table15[[#This Row],[Total_Cost_MUSD]]*Table15[[#This Row],[prob10-failure_rating3]]/10</f>
        <v>4.7295935536000007E-3</v>
      </c>
      <c r="JJ19" s="1">
        <f>Table15[[#This Row],[Total_Cost_MUSD]]*Table15[[#This Row],[prob10-failure_rating4]]/10</f>
        <v>1.7735975825999999E-3</v>
      </c>
      <c r="JK19" s="1">
        <f>Table15[[#This Row],[Total_Cost_MUSD]]*Table15[[#This Row],[prob10-failure_rating5]]/10</f>
        <v>1.1823983884000002E-4</v>
      </c>
      <c r="JL19" s="1">
        <f>Table15[[#This Row],[Total_Cost_MUSD]]*Table15[[#This Row],[prob10-failure_rating6]]/10</f>
        <v>1.1823983884000002E-3</v>
      </c>
      <c r="JM19" s="1">
        <f>Table15[[#This Row],[Total_Cost_MUSD]]*Table15[[#This Row],[prob10-failure_rating7]]/10</f>
        <v>1.1823983884000002E-3</v>
      </c>
      <c r="JN19" s="1">
        <f>Table15[[#This Row],[Total_Cost_MUSD]]*Table15[[#This Row],[prob10-failure_rating8]]/10</f>
        <v>5.9119919420000008E-5</v>
      </c>
      <c r="JO19" s="1">
        <f>Table15[[#This Row],[Total_Cost_MUSD]]*Table15[[#This Row],[prob10-failure_rating9]]/10</f>
        <v>1.1823983884E-5</v>
      </c>
      <c r="JP19" s="1">
        <f>Table15[[#This Row],[FailureCost_Rating1]]</f>
        <v>29559.959709999999</v>
      </c>
      <c r="JQ19" s="1">
        <f>Table15[[#This Row],[FailureCost_Rating2]]</f>
        <v>29559.959709999999</v>
      </c>
      <c r="JR19" s="1">
        <f>(Table15[[#This Row],[failurecost500_rating2]]+Table15[[#This Row],[failurecost100_rating2]]+Table15[[#This Row],[failurecost50_rating2]]+Table15[[#This Row],[failurecost10_rating2]])*1000000</f>
        <v>29559.959709999999</v>
      </c>
      <c r="JS19" s="1">
        <f>(Table15[[#This Row],[failurecost500_rating3]]+Table15[[#This Row],[failurecost100_rating3]]+Table15[[#This Row],[failurecost50_rating3]]+Table15[[#This Row],[failurecost10_rating3]])*1000000</f>
        <v>6384.9512973600013</v>
      </c>
      <c r="JT19" s="1">
        <f>(Table15[[#This Row],[failurecost500_rating4]]+Table15[[#This Row],[failurecost100_rating4]]+Table15[[#This Row],[failurecost50_rating4]]+Table15[[#This Row],[failurecost10_rating4]])*1000000</f>
        <v>2240.6449460180002</v>
      </c>
      <c r="JU19" s="1">
        <f>(Table15[[#This Row],[failurecost500_rating5]]+Table15[[#This Row],[failurecost100_rating5]]+Table15[[#This Row],[failurecost50_rating5]]+Table15[[#This Row],[failurecost10_rating5]])*1000000</f>
        <v>125.74806860634003</v>
      </c>
      <c r="JV19" s="1">
        <f>(Table15[[#This Row],[failurecost500_rating6]]+Table15[[#This Row],[failurecost100_rating6]]+Table15[[#This Row],[failurecost50_rating6]]+Table15[[#This Row],[failurecost10_rating6]])*1000000</f>
        <v>1414.7396717206</v>
      </c>
      <c r="JW19" s="1">
        <f>(Table15[[#This Row],[failurecost500_rating7]]+Table15[[#This Row],[failurecost100_rating7]]+Table15[[#This Row],[failurecost50_rating7]]+Table15[[#This Row],[failurecost10_rating7]])*1000000</f>
        <v>1414.7396717206</v>
      </c>
      <c r="JX19" s="1">
        <f>(Table15[[#This Row],[failurecost500_rating8]]+Table15[[#This Row],[failurecost100_rating8]]+Table15[[#This Row],[failurecost50_rating8]]+Table15[[#This Row],[failurecost10_rating8]])*1000000</f>
        <v>63.790393054180008</v>
      </c>
      <c r="JY19" s="1">
        <f>(Table15[[#This Row],[failurecost500_rating9]]+Table15[[#This Row],[failurecost100_rating9]]+Table15[[#This Row],[failurecost50_rating9]]+Table15[[#This Row],[failurecost10_rating9]])*1000000</f>
        <v>14.63218005645</v>
      </c>
    </row>
    <row r="20" spans="1:285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Table15[[#This Row],[Depth10_Soil_vol]]*(9.353+9.027)+(Table15[[#This Row],[Depth10_Soil_vol]]/2.5)*20*1.053+(PI()*Table15[[#This Row],[Depth10_Scour]])*Table15[[#This Row],[DECK_WIDTH_MT_052]]*1.062</f>
        <v>13853.451944603266</v>
      </c>
      <c r="AR20" s="1">
        <f>Table15[[#This Row],[Depth50_Soil_vol]]*(9.353+9.027)+(Table15[[#This Row],[Depth50_Soil_vol]]/2.5)*20*1.053+(PI()*Table15[[#This Row],[Depth50_Scour]])*Table15[[#This Row],[DECK_WIDTH_MT_052]]*1.062</f>
        <v>14885.488907843239</v>
      </c>
      <c r="AS20" s="1">
        <f>Table15[[#This Row],[Depth100_Soil_vol]]*(9.353+9.027)+(Table15[[#This Row],[Depth100_Soil_vol]]/2.5)*20*1.053+(PI()*Table15[[#This Row],[Depth100_Scour]])*Table15[[#This Row],[DECK_WIDTH_MT_052]]*1.062</f>
        <v>15342.083437730904</v>
      </c>
      <c r="AT20" s="1">
        <f>Table15[[#This Row],[Depth500_Soil_vol]]*(9.353+9.027)+(Table15[[#This Row],[Depth500_Soil_vol]]/2.5)*20*1.053+(PI()*Table15[[#This Row],[Depth500_Scour]])*Table15[[#This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MAX(0,(Table15[[#This Row],[Current_rating]]-Table15[[#This Row],[Depth10_Rating]])/10+(Table15[[#This Row],[Current_rating]]-Table15[[#This Row],[Depth50_Rating]])/50+(Table15[[#This Row],[Current_rating]]-Table15[[#This Row],[Depth100_Rating]])/100+(Table15[[#This Row],[Current_rating]]-Table15[[#This Row],[Depth500_Rating]])/500)</f>
        <v>0.26400000000000001</v>
      </c>
      <c r="GF20" s="1">
        <v>38.312809770000001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f>0.1*Table15[[#This Row],[Total_Cost_MUSD]]*10000</f>
        <v>38312.809770000007</v>
      </c>
      <c r="GM20" s="1">
        <f>0.09*Table15[[#This Row],[Total_Cost_MUSD]]*10000</f>
        <v>34481.528792999998</v>
      </c>
      <c r="GN20" s="1">
        <f>0.08*Table15[[#This Row],[Total_Cost_MUSD]]*10000</f>
        <v>30650.247815999999</v>
      </c>
      <c r="GO20" s="1">
        <f>0.06*Table15[[#This Row],[Total_Cost_MUSD]]*10000</f>
        <v>22987.685861999998</v>
      </c>
      <c r="GP20" s="1">
        <f>0.04*Table15[[#This Row],[Total_Cost_MUSD]]*10000</f>
        <v>15325.123908</v>
      </c>
      <c r="GQ20" s="1">
        <f>0.02*Table15[[#This Row],[Total_Cost_MUSD]]*10000</f>
        <v>7662.5619539999998</v>
      </c>
      <c r="GR20" s="1">
        <f>Table15[[#This Row],[Total_Cost_MUSD]]*0.001*100000</f>
        <v>3831.2809770000003</v>
      </c>
      <c r="GS20" s="1">
        <v>0</v>
      </c>
      <c r="GT20" s="1">
        <v>0</v>
      </c>
      <c r="GU20" s="1">
        <v>0</v>
      </c>
      <c r="GV20" s="1">
        <f t="shared" si="0"/>
        <v>2.5000000000000001E-2</v>
      </c>
      <c r="GW20" s="1">
        <v>0.01</v>
      </c>
      <c r="GX20" s="1">
        <v>2.5000000000000001E-3</v>
      </c>
      <c r="GY20" s="1">
        <v>4.0000000000000002E-4</v>
      </c>
      <c r="GZ20" s="1">
        <v>6.9999999999999999E-6</v>
      </c>
      <c r="HA20" s="1">
        <v>1.8000000000000001E-4</v>
      </c>
      <c r="HB20" s="1">
        <v>1.8000000000000001E-4</v>
      </c>
      <c r="HC20" s="1">
        <v>3.9999999999999998E-6</v>
      </c>
      <c r="HD20" s="1">
        <v>2.5000000000000002E-6</v>
      </c>
      <c r="HE20" s="1">
        <f t="shared" si="1"/>
        <v>1.2500000000000001E-2</v>
      </c>
      <c r="HF20" s="1">
        <v>6.0000000000000001E-3</v>
      </c>
      <c r="HG20" s="1">
        <v>2.5000000000000001E-3</v>
      </c>
      <c r="HH20" s="1">
        <v>5.0000000000000001E-4</v>
      </c>
      <c r="HI20" s="1">
        <v>7.9999999999999996E-6</v>
      </c>
      <c r="HJ20" s="1">
        <v>2.5000000000000001E-4</v>
      </c>
      <c r="HK20" s="1">
        <v>2.5000000000000001E-4</v>
      </c>
      <c r="HL20" s="1">
        <v>5.0000000000000004E-6</v>
      </c>
      <c r="HM20" s="1">
        <v>3.0000000000000001E-6</v>
      </c>
      <c r="HN20" s="1">
        <v>0.01</v>
      </c>
      <c r="HO20" s="1">
        <v>6.0000000000000001E-3</v>
      </c>
      <c r="HP20" s="1">
        <v>1.2999999999999999E-3</v>
      </c>
      <c r="HQ20" s="1">
        <v>5.0000000000000001E-4</v>
      </c>
      <c r="HR20" s="1">
        <v>7.9999999999999996E-6</v>
      </c>
      <c r="HS20" s="1">
        <v>2.5000000000000001E-4</v>
      </c>
      <c r="HT20" s="1">
        <v>2.5000000000000001E-4</v>
      </c>
      <c r="HU20" s="1">
        <v>5.0000000000000004E-6</v>
      </c>
      <c r="HV20" s="1">
        <v>3.0000000000000001E-6</v>
      </c>
      <c r="HW20" s="1">
        <v>0.01</v>
      </c>
      <c r="HX20" s="1">
        <v>8.0000000000000002E-3</v>
      </c>
      <c r="HY20" s="1">
        <v>1.6000000000000001E-3</v>
      </c>
      <c r="HZ20" s="1">
        <v>5.9999999999999995E-4</v>
      </c>
      <c r="IA20" s="1">
        <v>4.0000000000000003E-5</v>
      </c>
      <c r="IB20" s="1">
        <v>4.0000000000000002E-4</v>
      </c>
      <c r="IC20" s="1">
        <v>4.0000000000000002E-4</v>
      </c>
      <c r="ID20" s="1">
        <v>2.0000000000000002E-5</v>
      </c>
      <c r="IE20" s="1">
        <v>3.9999999999999998E-6</v>
      </c>
      <c r="IF20" s="1">
        <f>Table15[[#This Row],[Total_Cost_MUSD]]*Table15[[#This Row],[prob500-failure_rating1]]/500</f>
        <v>1.9156404885000001E-3</v>
      </c>
      <c r="IG20" s="1">
        <f>Table15[[#This Row],[Total_Cost_MUSD]]*Table15[[#This Row],[prob500-failure_rating2]]/500</f>
        <v>7.6625619539999999E-4</v>
      </c>
      <c r="IH20" s="1">
        <f>Table15[[#This Row],[Total_Cost_MUSD]]*Table15[[#This Row],[prob500-failure_rating3]]/500</f>
        <v>1.9156404885E-4</v>
      </c>
      <c r="II20" s="1">
        <f>Table15[[#This Row],[Total_Cost_MUSD]]*Table15[[#This Row],[prob500-failure_rating4]]/500</f>
        <v>3.0650247816E-5</v>
      </c>
      <c r="IJ20" s="1">
        <f>Table15[[#This Row],[Total_Cost_MUSD]]*Table15[[#This Row],[prob500-failure_rating5]]/500</f>
        <v>5.3637933677999999E-7</v>
      </c>
      <c r="IK20" s="1">
        <f>Table15[[#This Row],[Total_Cost_MUSD]]*Table15[[#This Row],[prob500-failure_rating6]]/500</f>
        <v>1.3792611517200001E-5</v>
      </c>
      <c r="IL20" s="1">
        <f>Table15[[#This Row],[Total_Cost_MUSD]]*Table15[[#This Row],[prob500-failure_rating7]]/500</f>
        <v>1.3792611517200001E-5</v>
      </c>
      <c r="IM20" s="1">
        <f>Table15[[#This Row],[Total_Cost_MUSD]]*Table15[[#This Row],[prob500-failure_rating8]]/500</f>
        <v>3.0650247816000001E-7</v>
      </c>
      <c r="IN20" s="1">
        <f>Table15[[#This Row],[Total_Cost_MUSD]]*Table15[[#This Row],[prob500-failure_rating9]]/500</f>
        <v>1.9156404885000002E-7</v>
      </c>
      <c r="IO20" s="1">
        <f>Table15[[#This Row],[Total_Cost_MUSD]]*Table15[[#This Row],[prob100-failure_rating1]]/100</f>
        <v>4.7891012212500006E-3</v>
      </c>
      <c r="IP20" s="1">
        <f>Table15[[#This Row],[Total_Cost_MUSD]]*Table15[[#This Row],[prob100-failure_rating2]]/100</f>
        <v>2.2987685862000001E-3</v>
      </c>
      <c r="IQ20" s="1">
        <f>Table15[[#This Row],[Total_Cost_MUSD]]*Table15[[#This Row],[prob100-failure_rating3]]/100</f>
        <v>9.5782024424999996E-4</v>
      </c>
      <c r="IR20" s="1">
        <f>Table15[[#This Row],[Total_Cost_MUSD]]*Table15[[#This Row],[prob100-failure_rating4]]/100</f>
        <v>1.9156404885000002E-4</v>
      </c>
      <c r="IS20" s="1">
        <f>Table15[[#This Row],[Total_Cost_MUSD]]*Table15[[#This Row],[prob100-failure_rating5]]/100</f>
        <v>3.0650247815999999E-6</v>
      </c>
      <c r="IT20" s="1">
        <f>Table15[[#This Row],[Total_Cost_MUSD]]*Table15[[#This Row],[prob100-failure_rating6]]/100</f>
        <v>9.5782024425000012E-5</v>
      </c>
      <c r="IU20" s="1">
        <f>Table15[[#This Row],[Total_Cost_MUSD]]*Table15[[#This Row],[prob100-failure_rating7]]/100</f>
        <v>9.5782024425000012E-5</v>
      </c>
      <c r="IV20" s="1">
        <f>Table15[[#This Row],[Total_Cost_MUSD]]*Table15[[#This Row],[prob100-failure_rating8]]/100</f>
        <v>1.9156404885000004E-6</v>
      </c>
      <c r="IW20" s="1">
        <f>Table15[[#This Row],[Total_Cost_MUSD]]*Table15[[#This Row],[prob100-failure_rating9]]/100</f>
        <v>1.1493842930999999E-6</v>
      </c>
      <c r="IX20" s="1">
        <f>Table15[[#This Row],[Total_Cost_MUSD]]*Table15[[#This Row],[prob50-failure_rating1]]/50</f>
        <v>7.6625619539999997E-3</v>
      </c>
      <c r="IY20" s="1">
        <f>Table15[[#This Row],[Total_Cost_MUSD]]*Table15[[#This Row],[prob50-failure_rating2]]/50</f>
        <v>4.5975371724000002E-3</v>
      </c>
      <c r="IZ20" s="1">
        <f>Table15[[#This Row],[Total_Cost_MUSD]]*Table15[[#This Row],[prob50-failure_rating3]]/50</f>
        <v>9.9613305402000002E-4</v>
      </c>
      <c r="JA20" s="1">
        <f>Table15[[#This Row],[Total_Cost_MUSD]]*Table15[[#This Row],[prob50-failure_rating4]]/50</f>
        <v>3.8312809770000005E-4</v>
      </c>
      <c r="JB20" s="1">
        <f>Table15[[#This Row],[Total_Cost_MUSD]]*Table15[[#This Row],[prob50-failure_rating5]]/50</f>
        <v>6.1300495631999998E-6</v>
      </c>
      <c r="JC20" s="1">
        <f>Table15[[#This Row],[Total_Cost_MUSD]]*Table15[[#This Row],[prob50-failure_rating6]]/50</f>
        <v>1.9156404885000002E-4</v>
      </c>
      <c r="JD20" s="1">
        <f>Table15[[#This Row],[Total_Cost_MUSD]]*Table15[[#This Row],[prob50-failure_rating7]]/50</f>
        <v>1.9156404885000002E-4</v>
      </c>
      <c r="JE20" s="1">
        <f>Table15[[#This Row],[Total_Cost_MUSD]]*Table15[[#This Row],[prob50-failure_rating8]]/50</f>
        <v>3.8312809770000008E-6</v>
      </c>
      <c r="JF20" s="1">
        <f>Table15[[#This Row],[Total_Cost_MUSD]]*Table15[[#This Row],[prob50-failure_rating9]]/50</f>
        <v>2.2987685861999998E-6</v>
      </c>
      <c r="JG20" s="1">
        <f>Table15[[#This Row],[Total_Cost_MUSD]]*Table15[[#This Row],[prob10-failure_rating1]]/10</f>
        <v>3.8312809769999998E-2</v>
      </c>
      <c r="JH20" s="1">
        <f>Table15[[#This Row],[Total_Cost_MUSD]]*Table15[[#This Row],[prob10-failure_rating2]]/10</f>
        <v>3.0650247816000002E-2</v>
      </c>
      <c r="JI20" s="1">
        <f>Table15[[#This Row],[Total_Cost_MUSD]]*Table15[[#This Row],[prob10-failure_rating3]]/10</f>
        <v>6.1300495632000008E-3</v>
      </c>
      <c r="JJ20" s="1">
        <f>Table15[[#This Row],[Total_Cost_MUSD]]*Table15[[#This Row],[prob10-failure_rating4]]/10</f>
        <v>2.2987685862000001E-3</v>
      </c>
      <c r="JK20" s="1">
        <f>Table15[[#This Row],[Total_Cost_MUSD]]*Table15[[#This Row],[prob10-failure_rating5]]/10</f>
        <v>1.5325123908000002E-4</v>
      </c>
      <c r="JL20" s="1">
        <f>Table15[[#This Row],[Total_Cost_MUSD]]*Table15[[#This Row],[prob10-failure_rating6]]/10</f>
        <v>1.5325123908000002E-3</v>
      </c>
      <c r="JM20" s="1">
        <f>Table15[[#This Row],[Total_Cost_MUSD]]*Table15[[#This Row],[prob10-failure_rating7]]/10</f>
        <v>1.5325123908000002E-3</v>
      </c>
      <c r="JN20" s="1">
        <f>Table15[[#This Row],[Total_Cost_MUSD]]*Table15[[#This Row],[prob10-failure_rating8]]/10</f>
        <v>7.662561954000001E-5</v>
      </c>
      <c r="JO20" s="1">
        <f>Table15[[#This Row],[Total_Cost_MUSD]]*Table15[[#This Row],[prob10-failure_rating9]]/10</f>
        <v>1.5325123908E-5</v>
      </c>
      <c r="JP20" s="1">
        <f>Table15[[#This Row],[FailureCost_Rating1]]</f>
        <v>38312.809770000007</v>
      </c>
      <c r="JQ20" s="1">
        <f>Table15[[#This Row],[FailureCost_Rating2]]</f>
        <v>38312.809770000007</v>
      </c>
      <c r="JR20" s="1">
        <f>(Table15[[#This Row],[failurecost500_rating2]]+Table15[[#This Row],[failurecost100_rating2]]+Table15[[#This Row],[failurecost50_rating2]]+Table15[[#This Row],[failurecost10_rating2]])*1000000</f>
        <v>38312.809770000007</v>
      </c>
      <c r="JS20" s="1">
        <f>(Table15[[#This Row],[failurecost500_rating3]]+Table15[[#This Row],[failurecost100_rating3]]+Table15[[#This Row],[failurecost50_rating3]]+Table15[[#This Row],[failurecost10_rating3]])*1000000</f>
        <v>8275.5669103200016</v>
      </c>
      <c r="JT20" s="1">
        <f>(Table15[[#This Row],[failurecost500_rating4]]+Table15[[#This Row],[failurecost100_rating4]]+Table15[[#This Row],[failurecost50_rating4]]+Table15[[#This Row],[failurecost10_rating4]])*1000000</f>
        <v>2904.1109805659999</v>
      </c>
      <c r="JU20" s="1">
        <f>(Table15[[#This Row],[failurecost500_rating5]]+Table15[[#This Row],[failurecost100_rating5]]+Table15[[#This Row],[failurecost50_rating5]]+Table15[[#This Row],[failurecost10_rating5]])*1000000</f>
        <v>162.98269276158004</v>
      </c>
      <c r="JV20" s="1">
        <f>(Table15[[#This Row],[failurecost500_rating6]]+Table15[[#This Row],[failurecost100_rating6]]+Table15[[#This Row],[failurecost50_rating6]]+Table15[[#This Row],[failurecost10_rating6]])*1000000</f>
        <v>1833.6510755922002</v>
      </c>
      <c r="JW20" s="1">
        <f>(Table15[[#This Row],[failurecost500_rating7]]+Table15[[#This Row],[failurecost100_rating7]]+Table15[[#This Row],[failurecost50_rating7]]+Table15[[#This Row],[failurecost10_rating7]])*1000000</f>
        <v>1833.6510755922002</v>
      </c>
      <c r="JX20" s="1">
        <f>(Table15[[#This Row],[failurecost500_rating8]]+Table15[[#This Row],[failurecost100_rating8]]+Table15[[#This Row],[failurecost50_rating8]]+Table15[[#This Row],[failurecost10_rating8]])*1000000</f>
        <v>82.67904348366001</v>
      </c>
      <c r="JY20" s="1">
        <f>(Table15[[#This Row],[failurecost500_rating9]]+Table15[[#This Row],[failurecost100_rating9]]+Table15[[#This Row],[failurecost50_rating9]]+Table15[[#This Row],[failurecost10_rating9]])*1000000</f>
        <v>18.96484083615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5DC3-BE1B-4C1A-A130-2CB1A7CDF59E}">
  <dimension ref="A1:JY20"/>
  <sheetViews>
    <sheetView topLeftCell="JB1" workbookViewId="0">
      <selection activeCell="GE33" sqref="GE33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Table156[[#This Row],[Depth10_Soil_vol]]*(9.353+9.027)+(Table156[[#This Row],[Depth10_Soil_vol]]/2.5)*20*1.053+(PI()*Table156[[#This Row],[Depth10_Scour]])*Table156[[#This Row],[DECK_WIDTH_MT_052]]*1.062</f>
        <v>11998.897701083155</v>
      </c>
      <c r="AR2" s="1">
        <f>Table156[[#This Row],[Depth50_Soil_vol]]*(9.353+9.027)+(Table156[[#This Row],[Depth50_Soil_vol]]/2.5)*20*1.053+(PI()*Table156[[#This Row],[Depth50_Scour]])*Table156[[#This Row],[DECK_WIDTH_MT_052]]*1.062</f>
        <v>12798.983727608316</v>
      </c>
      <c r="AS2" s="1">
        <f>Table156[[#This Row],[Depth100_Soil_vol]]*(9.353+9.027)+(Table156[[#This Row],[Depth100_Soil_vol]]/2.5)*20*1.053+(PI()*Table156[[#This Row],[Depth100_Scour]])*Table156[[#This Row],[DECK_WIDTH_MT_052]]*1.062</f>
        <v>13156.203147223239</v>
      </c>
      <c r="AT2" s="1">
        <f>Table156[[#This Row],[Depth500_Soil_vol]]*(9.353+9.027)+(Table156[[#This Row],[Depth500_Soil_vol]]/2.5)*20*1.053+(PI()*Table156[[#This Row],[Depth500_Scour]])*Table156[[#This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0.39600000000000002</v>
      </c>
      <c r="GF2" s="1">
        <v>28.990788219999999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v>9663.5960733333322</v>
      </c>
      <c r="GM2" s="1">
        <v>8697.2364660000003</v>
      </c>
      <c r="GN2" s="1">
        <v>7730.8768586666674</v>
      </c>
      <c r="GO2" s="1">
        <v>5798.157643999999</v>
      </c>
      <c r="GP2" s="1">
        <v>3865.4384293333337</v>
      </c>
      <c r="GQ2" s="1">
        <v>1932.7192146666669</v>
      </c>
      <c r="GR2" s="1">
        <v>966.35960733333332</v>
      </c>
      <c r="GS2" s="1">
        <v>0</v>
      </c>
      <c r="GT2" s="1">
        <v>0</v>
      </c>
      <c r="GU2" s="1">
        <v>0</v>
      </c>
      <c r="GV2" s="1">
        <f>2.5/100</f>
        <v>2.5000000000000001E-2</v>
      </c>
      <c r="GW2" s="1">
        <v>0.01</v>
      </c>
      <c r="GX2" s="1">
        <v>2.5000000000000001E-3</v>
      </c>
      <c r="GY2" s="1">
        <v>4.0000000000000002E-4</v>
      </c>
      <c r="GZ2" s="1">
        <v>6.9999999999999999E-6</v>
      </c>
      <c r="HA2" s="1">
        <v>1.8000000000000001E-4</v>
      </c>
      <c r="HB2" s="1">
        <v>1.8000000000000001E-4</v>
      </c>
      <c r="HC2" s="1">
        <v>3.9999999999999998E-6</v>
      </c>
      <c r="HD2" s="1">
        <v>2.5000000000000002E-6</v>
      </c>
      <c r="HE2" s="1">
        <f>1.25/100</f>
        <v>1.2500000000000001E-2</v>
      </c>
      <c r="HF2" s="1">
        <v>6.0000000000000001E-3</v>
      </c>
      <c r="HG2" s="1">
        <v>2.5000000000000001E-3</v>
      </c>
      <c r="HH2" s="1">
        <v>5.0000000000000001E-4</v>
      </c>
      <c r="HI2" s="1">
        <v>7.9999999999999996E-6</v>
      </c>
      <c r="HJ2" s="1">
        <v>2.5000000000000001E-4</v>
      </c>
      <c r="HK2" s="1">
        <v>2.5000000000000001E-4</v>
      </c>
      <c r="HL2" s="1">
        <v>5.0000000000000004E-6</v>
      </c>
      <c r="HM2" s="1">
        <v>3.0000000000000001E-6</v>
      </c>
      <c r="HN2" s="1">
        <v>0.01</v>
      </c>
      <c r="HO2" s="1">
        <v>6.0000000000000001E-3</v>
      </c>
      <c r="HP2" s="1">
        <v>1.2999999999999999E-3</v>
      </c>
      <c r="HQ2" s="1">
        <v>5.0000000000000001E-4</v>
      </c>
      <c r="HR2" s="1">
        <v>7.9999999999999996E-6</v>
      </c>
      <c r="HS2" s="1">
        <v>2.5000000000000001E-4</v>
      </c>
      <c r="HT2" s="1">
        <v>2.5000000000000001E-4</v>
      </c>
      <c r="HU2" s="1">
        <v>5.0000000000000004E-6</v>
      </c>
      <c r="HV2" s="1">
        <v>3.0000000000000001E-6</v>
      </c>
      <c r="HW2" s="1">
        <v>0.01</v>
      </c>
      <c r="HX2" s="1">
        <v>8.0000000000000002E-3</v>
      </c>
      <c r="HY2" s="1">
        <v>1.6000000000000001E-3</v>
      </c>
      <c r="HZ2" s="1">
        <v>5.9999999999999995E-4</v>
      </c>
      <c r="IA2" s="1">
        <v>4.0000000000000003E-5</v>
      </c>
      <c r="IB2" s="1">
        <v>4.0000000000000002E-4</v>
      </c>
      <c r="IC2" s="1">
        <v>4.0000000000000002E-4</v>
      </c>
      <c r="ID2" s="1">
        <v>2.0000000000000002E-5</v>
      </c>
      <c r="IE2" s="1">
        <v>3.9999999999999998E-6</v>
      </c>
      <c r="IF2" s="1">
        <f>Table156[[#This Row],[Total_Cost_MUSD]]*Table156[[#This Row],[prob500-failure_rating1]]/500</f>
        <v>1.449539411E-3</v>
      </c>
      <c r="IG2" s="1">
        <f>Table156[[#This Row],[Total_Cost_MUSD]]*Table156[[#This Row],[prob500-failure_rating2]]/500</f>
        <v>5.7981576440000002E-4</v>
      </c>
      <c r="IH2" s="1">
        <f>Table156[[#This Row],[Total_Cost_MUSD]]*Table156[[#This Row],[prob500-failure_rating3]]/500</f>
        <v>1.4495394110000001E-4</v>
      </c>
      <c r="II2" s="1">
        <f>Table156[[#This Row],[Total_Cost_MUSD]]*Table156[[#This Row],[prob500-failure_rating4]]/500</f>
        <v>2.3192630576E-5</v>
      </c>
      <c r="IJ2" s="1">
        <f>Table156[[#This Row],[Total_Cost_MUSD]]*Table156[[#This Row],[prob500-failure_rating5]]/500</f>
        <v>4.0587103507999995E-7</v>
      </c>
      <c r="IK2" s="1">
        <f>Table156[[#This Row],[Total_Cost_MUSD]]*Table156[[#This Row],[prob500-failure_rating6]]/500</f>
        <v>1.0436683759199999E-5</v>
      </c>
      <c r="IL2" s="1">
        <f>Table156[[#This Row],[Total_Cost_MUSD]]*Table156[[#This Row],[prob500-failure_rating7]]/500</f>
        <v>1.0436683759199999E-5</v>
      </c>
      <c r="IM2" s="1">
        <f>Table156[[#This Row],[Total_Cost_MUSD]]*Table156[[#This Row],[prob500-failure_rating8]]/500</f>
        <v>2.3192630575999997E-7</v>
      </c>
      <c r="IN2" s="1">
        <f>Table156[[#This Row],[Total_Cost_MUSD]]*Table156[[#This Row],[prob500-failure_rating9]]/500</f>
        <v>1.4495394110000001E-7</v>
      </c>
      <c r="IO2" s="1">
        <f>Table156[[#This Row],[Total_Cost_MUSD]]*Table156[[#This Row],[prob100-failure_rating1]]/100</f>
        <v>3.6238485274999997E-3</v>
      </c>
      <c r="IP2" s="1">
        <f>Table156[[#This Row],[Total_Cost_MUSD]]*Table156[[#This Row],[prob100-failure_rating2]]/100</f>
        <v>1.7394472932E-3</v>
      </c>
      <c r="IQ2" s="1">
        <f>Table156[[#This Row],[Total_Cost_MUSD]]*Table156[[#This Row],[prob100-failure_rating3]]/100</f>
        <v>7.2476970550000011E-4</v>
      </c>
      <c r="IR2" s="1">
        <f>Table156[[#This Row],[Total_Cost_MUSD]]*Table156[[#This Row],[prob100-failure_rating4]]/100</f>
        <v>1.4495394110000001E-4</v>
      </c>
      <c r="IS2" s="1">
        <f>Table156[[#This Row],[Total_Cost_MUSD]]*Table156[[#This Row],[prob100-failure_rating5]]/100</f>
        <v>2.3192630575999997E-6</v>
      </c>
      <c r="IT2" s="1">
        <f>Table156[[#This Row],[Total_Cost_MUSD]]*Table156[[#This Row],[prob100-failure_rating6]]/100</f>
        <v>7.2476970550000003E-5</v>
      </c>
      <c r="IU2" s="1">
        <f>Table156[[#This Row],[Total_Cost_MUSD]]*Table156[[#This Row],[prob100-failure_rating7]]/100</f>
        <v>7.2476970550000003E-5</v>
      </c>
      <c r="IV2" s="1">
        <f>Table156[[#This Row],[Total_Cost_MUSD]]*Table156[[#This Row],[prob100-failure_rating8]]/100</f>
        <v>1.449539411E-6</v>
      </c>
      <c r="IW2" s="1">
        <f>Table156[[#This Row],[Total_Cost_MUSD]]*Table156[[#This Row],[prob100-failure_rating9]]/100</f>
        <v>8.6972364659999994E-7</v>
      </c>
      <c r="IX2" s="1">
        <f>Table156[[#This Row],[Total_Cost_MUSD]]*Table156[[#This Row],[prob50-failure_rating1]]/50</f>
        <v>5.7981576440000009E-3</v>
      </c>
      <c r="IY2" s="1">
        <f>Table156[[#This Row],[Total_Cost_MUSD]]*Table156[[#This Row],[prob50-failure_rating2]]/50</f>
        <v>3.4788945863999999E-3</v>
      </c>
      <c r="IZ2" s="1">
        <f>Table156[[#This Row],[Total_Cost_MUSD]]*Table156[[#This Row],[prob50-failure_rating3]]/50</f>
        <v>7.5376049371999991E-4</v>
      </c>
      <c r="JA2" s="1">
        <f>Table156[[#This Row],[Total_Cost_MUSD]]*Table156[[#This Row],[prob50-failure_rating4]]/50</f>
        <v>2.8990788220000001E-4</v>
      </c>
      <c r="JB2" s="1">
        <f>Table156[[#This Row],[Total_Cost_MUSD]]*Table156[[#This Row],[prob50-failure_rating5]]/50</f>
        <v>4.6385261151999994E-6</v>
      </c>
      <c r="JC2" s="1">
        <f>Table156[[#This Row],[Total_Cost_MUSD]]*Table156[[#This Row],[prob50-failure_rating6]]/50</f>
        <v>1.4495394110000001E-4</v>
      </c>
      <c r="JD2" s="1">
        <f>Table156[[#This Row],[Total_Cost_MUSD]]*Table156[[#This Row],[prob50-failure_rating7]]/50</f>
        <v>1.4495394110000001E-4</v>
      </c>
      <c r="JE2" s="1">
        <f>Table156[[#This Row],[Total_Cost_MUSD]]*Table156[[#This Row],[prob50-failure_rating8]]/50</f>
        <v>2.899078822E-6</v>
      </c>
      <c r="JF2" s="1">
        <f>Table156[[#This Row],[Total_Cost_MUSD]]*Table156[[#This Row],[prob50-failure_rating9]]/50</f>
        <v>1.7394472931999999E-6</v>
      </c>
      <c r="JG2" s="1">
        <f>Table156[[#This Row],[Total_Cost_MUSD]]*Table156[[#This Row],[prob10-failure_rating1]]/10</f>
        <v>2.8990788220000001E-2</v>
      </c>
      <c r="JH2" s="1">
        <f>Table156[[#This Row],[Total_Cost_MUSD]]*Table156[[#This Row],[prob10-failure_rating2]]/10</f>
        <v>2.3192630576E-2</v>
      </c>
      <c r="JI2" s="1">
        <f>Table156[[#This Row],[Total_Cost_MUSD]]*Table156[[#This Row],[prob10-failure_rating3]]/10</f>
        <v>4.6385261152000002E-3</v>
      </c>
      <c r="JJ2" s="1">
        <f>Table156[[#This Row],[Total_Cost_MUSD]]*Table156[[#This Row],[prob10-failure_rating4]]/10</f>
        <v>1.7394472932E-3</v>
      </c>
      <c r="JK2" s="1">
        <f>Table156[[#This Row],[Total_Cost_MUSD]]*Table156[[#This Row],[prob10-failure_rating5]]/10</f>
        <v>1.1596315288E-4</v>
      </c>
      <c r="JL2" s="1">
        <f>Table156[[#This Row],[Total_Cost_MUSD]]*Table156[[#This Row],[prob10-failure_rating6]]/10</f>
        <v>1.1596315288E-3</v>
      </c>
      <c r="JM2" s="1">
        <f>Table156[[#This Row],[Total_Cost_MUSD]]*Table156[[#This Row],[prob10-failure_rating7]]/10</f>
        <v>1.1596315288E-3</v>
      </c>
      <c r="JN2" s="1">
        <f>Table156[[#This Row],[Total_Cost_MUSD]]*Table156[[#This Row],[prob10-failure_rating8]]/10</f>
        <v>5.7981576440000001E-5</v>
      </c>
      <c r="JO2" s="1">
        <f>Table156[[#This Row],[Total_Cost_MUSD]]*Table156[[#This Row],[prob10-failure_rating9]]/10</f>
        <v>1.1596315287999998E-5</v>
      </c>
      <c r="JP2" s="1">
        <f>Table156[[#This Row],[FailureCost_Rating1]]</f>
        <v>28990.788220000002</v>
      </c>
      <c r="JQ2" s="1">
        <f>Table156[[#This Row],[FailureCost_Rating2]]</f>
        <v>28990.788220000002</v>
      </c>
      <c r="JR2" s="1">
        <f>(Table156[[#This Row],[failurecost500_rating2]]+Table156[[#This Row],[failurecost100_rating2]]+Table156[[#This Row],[failurecost50_rating2]]+Table156[[#This Row],[failurecost10_rating2]])*1000000</f>
        <v>28990.788220000002</v>
      </c>
      <c r="JS2" s="1">
        <f>(Table156[[#This Row],[failurecost500_rating3]]+Table156[[#This Row],[failurecost100_rating3]]+Table156[[#This Row],[failurecost50_rating3]]+Table156[[#This Row],[failurecost10_rating3]])*1000000</f>
        <v>6262.0102555200001</v>
      </c>
      <c r="JT2" s="1">
        <f>(Table156[[#This Row],[failurecost500_rating4]]+Table156[[#This Row],[failurecost100_rating4]]+Table156[[#This Row],[failurecost50_rating4]]+Table156[[#This Row],[failurecost10_rating4]])*1000000</f>
        <v>2197.5017470760004</v>
      </c>
      <c r="JU2" s="1">
        <f>(Table156[[#This Row],[failurecost500_rating5]]+Table156[[#This Row],[failurecost100_rating5]]+Table156[[#This Row],[failurecost50_rating5]]+Table156[[#This Row],[failurecost10_rating5]])*1000000</f>
        <v>123.32681308788</v>
      </c>
      <c r="JV2" s="1">
        <f>(Table156[[#This Row],[failurecost500_rating6]]+Table156[[#This Row],[failurecost100_rating6]]+Table156[[#This Row],[failurecost50_rating6]]+Table156[[#This Row],[failurecost10_rating6]])*1000000</f>
        <v>1387.4991242092001</v>
      </c>
      <c r="JW2" s="1">
        <f>(Table156[[#This Row],[failurecost500_rating7]]+Table156[[#This Row],[failurecost100_rating7]]+Table156[[#This Row],[failurecost50_rating7]]+Table156[[#This Row],[failurecost10_rating7]])*1000000</f>
        <v>1387.4991242092001</v>
      </c>
      <c r="JX2" s="1">
        <f>(Table156[[#This Row],[failurecost500_rating8]]+Table156[[#This Row],[failurecost100_rating8]]+Table156[[#This Row],[failurecost50_rating8]]+Table156[[#This Row],[failurecost10_rating8]])*1000000</f>
        <v>62.562120978759999</v>
      </c>
      <c r="JY2" s="1">
        <f>(Table156[[#This Row],[failurecost500_rating9]]+Table156[[#This Row],[failurecost100_rating9]]+Table156[[#This Row],[failurecost50_rating9]]+Table156[[#This Row],[failurecost10_rating9]])*1000000</f>
        <v>14.350440168899997</v>
      </c>
    </row>
    <row r="3" spans="1:285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Table156[[#This Row],[Depth10_Soil_vol]]*(9.353+9.027)+(Table156[[#This Row],[Depth10_Soil_vol]]/2.5)*20*1.053+(PI()*Table156[[#This Row],[Depth10_Scour]])*Table156[[#This Row],[DECK_WIDTH_MT_052]]*1.062</f>
        <v>0</v>
      </c>
      <c r="AR3" s="1">
        <f>Table156[[#This Row],[Depth50_Soil_vol]]*(9.353+9.027)+(Table156[[#This Row],[Depth50_Soil_vol]]/2.5)*20*1.053+(PI()*Table156[[#This Row],[Depth50_Scour]])*Table156[[#This Row],[DECK_WIDTH_MT_052]]*1.062</f>
        <v>9520.728233804819</v>
      </c>
      <c r="AS3" s="1">
        <f>Table156[[#This Row],[Depth100_Soil_vol]]*(9.353+9.027)+(Table156[[#This Row],[Depth100_Soil_vol]]/2.5)*20*1.053+(PI()*Table156[[#This Row],[Depth100_Scour]])*Table156[[#This Row],[DECK_WIDTH_MT_052]]*1.062</f>
        <v>9985.7559384332872</v>
      </c>
      <c r="AT3" s="1">
        <f>Table156[[#This Row],[Depth500_Soil_vol]]*(9.353+9.027)+(Table156[[#This Row],[Depth500_Soil_vol]]/2.5)*20*1.053+(PI()*Table156[[#This Row],[Depth500_Scour]])*Table156[[#This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3" s="1">
        <v>18.95289927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v>6317.6330900000003</v>
      </c>
      <c r="GM3" s="1">
        <v>5685.8697810000003</v>
      </c>
      <c r="GN3" s="1">
        <v>5054.1064720000004</v>
      </c>
      <c r="GO3" s="1">
        <v>3790.5798539999996</v>
      </c>
      <c r="GP3" s="1">
        <v>2527.0532360000002</v>
      </c>
      <c r="GQ3" s="1">
        <v>1263.5266180000001</v>
      </c>
      <c r="GR3" s="1">
        <v>631.76330900000005</v>
      </c>
      <c r="GS3" s="1">
        <v>0</v>
      </c>
      <c r="GT3" s="1">
        <v>0</v>
      </c>
      <c r="GU3" s="1">
        <v>0</v>
      </c>
      <c r="GV3" s="1">
        <f t="shared" ref="GV3:GV20" si="0">2.5/100</f>
        <v>2.5000000000000001E-2</v>
      </c>
      <c r="GW3" s="1">
        <v>0.01</v>
      </c>
      <c r="GX3" s="1">
        <v>2.5000000000000001E-3</v>
      </c>
      <c r="GY3" s="1">
        <v>4.0000000000000002E-4</v>
      </c>
      <c r="GZ3" s="1">
        <v>6.9999999999999999E-6</v>
      </c>
      <c r="HA3" s="1">
        <v>1.8000000000000001E-4</v>
      </c>
      <c r="HB3" s="1">
        <v>1.8000000000000001E-4</v>
      </c>
      <c r="HC3" s="1">
        <v>3.9999999999999998E-6</v>
      </c>
      <c r="HD3" s="1">
        <v>2.5000000000000002E-6</v>
      </c>
      <c r="HE3" s="1">
        <f t="shared" ref="HE3:HE20" si="1">1.25/100</f>
        <v>1.2500000000000001E-2</v>
      </c>
      <c r="HF3" s="1">
        <v>6.0000000000000001E-3</v>
      </c>
      <c r="HG3" s="1">
        <v>2.5000000000000001E-3</v>
      </c>
      <c r="HH3" s="1">
        <v>5.0000000000000001E-4</v>
      </c>
      <c r="HI3" s="1">
        <v>7.9999999999999996E-6</v>
      </c>
      <c r="HJ3" s="1">
        <v>2.5000000000000001E-4</v>
      </c>
      <c r="HK3" s="1">
        <v>2.5000000000000001E-4</v>
      </c>
      <c r="HL3" s="1">
        <v>5.0000000000000004E-6</v>
      </c>
      <c r="HM3" s="1">
        <v>3.0000000000000001E-6</v>
      </c>
      <c r="HN3" s="1">
        <v>0.01</v>
      </c>
      <c r="HO3" s="1">
        <v>6.0000000000000001E-3</v>
      </c>
      <c r="HP3" s="1">
        <v>1.2999999999999999E-3</v>
      </c>
      <c r="HQ3" s="1">
        <v>5.0000000000000001E-4</v>
      </c>
      <c r="HR3" s="1">
        <v>7.9999999999999996E-6</v>
      </c>
      <c r="HS3" s="1">
        <v>2.5000000000000001E-4</v>
      </c>
      <c r="HT3" s="1">
        <v>2.5000000000000001E-4</v>
      </c>
      <c r="HU3" s="1">
        <v>5.0000000000000004E-6</v>
      </c>
      <c r="HV3" s="1">
        <v>3.0000000000000001E-6</v>
      </c>
      <c r="HW3" s="1">
        <v>0.01</v>
      </c>
      <c r="HX3" s="1">
        <v>8.0000000000000002E-3</v>
      </c>
      <c r="HY3" s="1">
        <v>1.6000000000000001E-3</v>
      </c>
      <c r="HZ3" s="1">
        <v>5.9999999999999995E-4</v>
      </c>
      <c r="IA3" s="1">
        <v>4.0000000000000003E-5</v>
      </c>
      <c r="IB3" s="1">
        <v>4.0000000000000002E-4</v>
      </c>
      <c r="IC3" s="1">
        <v>4.0000000000000002E-4</v>
      </c>
      <c r="ID3" s="1">
        <v>2.0000000000000002E-5</v>
      </c>
      <c r="IE3" s="1">
        <v>3.9999999999999998E-6</v>
      </c>
      <c r="IF3" s="1">
        <f>Table156[[#This Row],[Total_Cost_MUSD]]*Table156[[#This Row],[prob500-failure_rating1]]/500</f>
        <v>9.4764496350000004E-4</v>
      </c>
      <c r="IG3" s="1">
        <f>Table156[[#This Row],[Total_Cost_MUSD]]*Table156[[#This Row],[prob500-failure_rating2]]/500</f>
        <v>3.7905798540000001E-4</v>
      </c>
      <c r="IH3" s="1">
        <f>Table156[[#This Row],[Total_Cost_MUSD]]*Table156[[#This Row],[prob500-failure_rating3]]/500</f>
        <v>9.4764496350000004E-5</v>
      </c>
      <c r="II3" s="1">
        <f>Table156[[#This Row],[Total_Cost_MUSD]]*Table156[[#This Row],[prob500-failure_rating4]]/500</f>
        <v>1.5162319416000001E-5</v>
      </c>
      <c r="IJ3" s="1">
        <f>Table156[[#This Row],[Total_Cost_MUSD]]*Table156[[#This Row],[prob500-failure_rating5]]/500</f>
        <v>2.6534058977999996E-7</v>
      </c>
      <c r="IK3" s="1">
        <f>Table156[[#This Row],[Total_Cost_MUSD]]*Table156[[#This Row],[prob500-failure_rating6]]/500</f>
        <v>6.8230437372000009E-6</v>
      </c>
      <c r="IL3" s="1">
        <f>Table156[[#This Row],[Total_Cost_MUSD]]*Table156[[#This Row],[prob500-failure_rating7]]/500</f>
        <v>6.8230437372000009E-6</v>
      </c>
      <c r="IM3" s="1">
        <f>Table156[[#This Row],[Total_Cost_MUSD]]*Table156[[#This Row],[prob500-failure_rating8]]/500</f>
        <v>1.5162319415999999E-7</v>
      </c>
      <c r="IN3" s="1">
        <f>Table156[[#This Row],[Total_Cost_MUSD]]*Table156[[#This Row],[prob500-failure_rating9]]/500</f>
        <v>9.4764496350000009E-8</v>
      </c>
      <c r="IO3" s="1">
        <f>Table156[[#This Row],[Total_Cost_MUSD]]*Table156[[#This Row],[prob100-failure_rating1]]/100</f>
        <v>2.36911240875E-3</v>
      </c>
      <c r="IP3" s="1">
        <f>Table156[[#This Row],[Total_Cost_MUSD]]*Table156[[#This Row],[prob100-failure_rating2]]/100</f>
        <v>1.1371739562E-3</v>
      </c>
      <c r="IQ3" s="1">
        <f>Table156[[#This Row],[Total_Cost_MUSD]]*Table156[[#This Row],[prob100-failure_rating3]]/100</f>
        <v>4.7382248175000002E-4</v>
      </c>
      <c r="IR3" s="1">
        <f>Table156[[#This Row],[Total_Cost_MUSD]]*Table156[[#This Row],[prob100-failure_rating4]]/100</f>
        <v>9.4764496350000004E-5</v>
      </c>
      <c r="IS3" s="1">
        <f>Table156[[#This Row],[Total_Cost_MUSD]]*Table156[[#This Row],[prob100-failure_rating5]]/100</f>
        <v>1.5162319415999999E-6</v>
      </c>
      <c r="IT3" s="1">
        <f>Table156[[#This Row],[Total_Cost_MUSD]]*Table156[[#This Row],[prob100-failure_rating6]]/100</f>
        <v>4.7382248175000002E-5</v>
      </c>
      <c r="IU3" s="1">
        <f>Table156[[#This Row],[Total_Cost_MUSD]]*Table156[[#This Row],[prob100-failure_rating7]]/100</f>
        <v>4.7382248175000002E-5</v>
      </c>
      <c r="IV3" s="1">
        <f>Table156[[#This Row],[Total_Cost_MUSD]]*Table156[[#This Row],[prob100-failure_rating8]]/100</f>
        <v>9.4764496350000004E-7</v>
      </c>
      <c r="IW3" s="1">
        <f>Table156[[#This Row],[Total_Cost_MUSD]]*Table156[[#This Row],[prob100-failure_rating9]]/100</f>
        <v>5.685869781E-7</v>
      </c>
      <c r="IX3" s="1">
        <f>Table156[[#This Row],[Total_Cost_MUSD]]*Table156[[#This Row],[prob50-failure_rating1]]/50</f>
        <v>3.7905798540000001E-3</v>
      </c>
      <c r="IY3" s="1">
        <f>Table156[[#This Row],[Total_Cost_MUSD]]*Table156[[#This Row],[prob50-failure_rating2]]/50</f>
        <v>2.2743479124000001E-3</v>
      </c>
      <c r="IZ3" s="1">
        <f>Table156[[#This Row],[Total_Cost_MUSD]]*Table156[[#This Row],[prob50-failure_rating3]]/50</f>
        <v>4.9277538101999993E-4</v>
      </c>
      <c r="JA3" s="1">
        <f>Table156[[#This Row],[Total_Cost_MUSD]]*Table156[[#This Row],[prob50-failure_rating4]]/50</f>
        <v>1.8952899270000001E-4</v>
      </c>
      <c r="JB3" s="1">
        <f>Table156[[#This Row],[Total_Cost_MUSD]]*Table156[[#This Row],[prob50-failure_rating5]]/50</f>
        <v>3.0324638831999999E-6</v>
      </c>
      <c r="JC3" s="1">
        <f>Table156[[#This Row],[Total_Cost_MUSD]]*Table156[[#This Row],[prob50-failure_rating6]]/50</f>
        <v>9.4764496350000004E-5</v>
      </c>
      <c r="JD3" s="1">
        <f>Table156[[#This Row],[Total_Cost_MUSD]]*Table156[[#This Row],[prob50-failure_rating7]]/50</f>
        <v>9.4764496350000004E-5</v>
      </c>
      <c r="JE3" s="1">
        <f>Table156[[#This Row],[Total_Cost_MUSD]]*Table156[[#This Row],[prob50-failure_rating8]]/50</f>
        <v>1.8952899270000001E-6</v>
      </c>
      <c r="JF3" s="1">
        <f>Table156[[#This Row],[Total_Cost_MUSD]]*Table156[[#This Row],[prob50-failure_rating9]]/50</f>
        <v>1.1371739562E-6</v>
      </c>
      <c r="JG3" s="1">
        <f>Table156[[#This Row],[Total_Cost_MUSD]]*Table156[[#This Row],[prob10-failure_rating1]]/10</f>
        <v>1.895289927E-2</v>
      </c>
      <c r="JH3" s="1">
        <f>Table156[[#This Row],[Total_Cost_MUSD]]*Table156[[#This Row],[prob10-failure_rating2]]/10</f>
        <v>1.5162319416000001E-2</v>
      </c>
      <c r="JI3" s="1">
        <f>Table156[[#This Row],[Total_Cost_MUSD]]*Table156[[#This Row],[prob10-failure_rating3]]/10</f>
        <v>3.0324638832000001E-3</v>
      </c>
      <c r="JJ3" s="1">
        <f>Table156[[#This Row],[Total_Cost_MUSD]]*Table156[[#This Row],[prob10-failure_rating4]]/10</f>
        <v>1.1371739561999998E-3</v>
      </c>
      <c r="JK3" s="1">
        <f>Table156[[#This Row],[Total_Cost_MUSD]]*Table156[[#This Row],[prob10-failure_rating5]]/10</f>
        <v>7.5811597080000008E-5</v>
      </c>
      <c r="JL3" s="1">
        <f>Table156[[#This Row],[Total_Cost_MUSD]]*Table156[[#This Row],[prob10-failure_rating6]]/10</f>
        <v>7.5811597080000003E-4</v>
      </c>
      <c r="JM3" s="1">
        <f>Table156[[#This Row],[Total_Cost_MUSD]]*Table156[[#This Row],[prob10-failure_rating7]]/10</f>
        <v>7.5811597080000003E-4</v>
      </c>
      <c r="JN3" s="1">
        <f>Table156[[#This Row],[Total_Cost_MUSD]]*Table156[[#This Row],[prob10-failure_rating8]]/10</f>
        <v>3.7905798540000004E-5</v>
      </c>
      <c r="JO3" s="1">
        <f>Table156[[#This Row],[Total_Cost_MUSD]]*Table156[[#This Row],[prob10-failure_rating9]]/10</f>
        <v>7.5811597079999995E-6</v>
      </c>
      <c r="JP3" s="1">
        <f>Table156[[#This Row],[FailureCost_Rating1]]</f>
        <v>18952.899270000002</v>
      </c>
      <c r="JQ3" s="1">
        <f>Table156[[#This Row],[FailureCost_Rating2]]</f>
        <v>18952.899270000002</v>
      </c>
      <c r="JR3" s="1">
        <f>(Table156[[#This Row],[failurecost500_rating2]]+Table156[[#This Row],[failurecost100_rating2]]+Table156[[#This Row],[failurecost50_rating2]]+Table156[[#This Row],[failurecost10_rating2]])*1000000</f>
        <v>18952.899270000002</v>
      </c>
      <c r="JS3" s="1">
        <f>(Table156[[#This Row],[failurecost500_rating3]]+Table156[[#This Row],[failurecost100_rating3]]+Table156[[#This Row],[failurecost50_rating3]]+Table156[[#This Row],[failurecost10_rating3]])*1000000</f>
        <v>4093.8262423199999</v>
      </c>
      <c r="JT3" s="1">
        <f>(Table156[[#This Row],[failurecost500_rating4]]+Table156[[#This Row],[failurecost100_rating4]]+Table156[[#This Row],[failurecost50_rating4]]+Table156[[#This Row],[failurecost10_rating4]])*1000000</f>
        <v>1436.6297646659998</v>
      </c>
      <c r="JU3" s="1">
        <f>(Table156[[#This Row],[failurecost500_rating5]]+Table156[[#This Row],[failurecost100_rating5]]+Table156[[#This Row],[failurecost50_rating5]]+Table156[[#This Row],[failurecost10_rating5]])*1000000</f>
        <v>80.625633494580001</v>
      </c>
      <c r="JV3" s="1">
        <f>(Table156[[#This Row],[failurecost500_rating6]]+Table156[[#This Row],[failurecost100_rating6]]+Table156[[#This Row],[failurecost50_rating6]]+Table156[[#This Row],[failurecost10_rating6]])*1000000</f>
        <v>907.08575906219994</v>
      </c>
      <c r="JW3" s="1">
        <f>(Table156[[#This Row],[failurecost500_rating7]]+Table156[[#This Row],[failurecost100_rating7]]+Table156[[#This Row],[failurecost50_rating7]]+Table156[[#This Row],[failurecost10_rating7]])*1000000</f>
        <v>907.08575906219994</v>
      </c>
      <c r="JX3" s="1">
        <f>(Table156[[#This Row],[failurecost500_rating8]]+Table156[[#This Row],[failurecost100_rating8]]+Table156[[#This Row],[failurecost50_rating8]]+Table156[[#This Row],[failurecost10_rating8]])*1000000</f>
        <v>40.900356624660006</v>
      </c>
      <c r="JY3" s="1">
        <f>(Table156[[#This Row],[failurecost500_rating9]]+Table156[[#This Row],[failurecost100_rating9]]+Table156[[#This Row],[failurecost50_rating9]]+Table156[[#This Row],[failurecost10_rating9]])*1000000</f>
        <v>9.3816851386499991</v>
      </c>
    </row>
    <row r="4" spans="1:285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Table156[[#This Row],[Depth10_Soil_vol]]*(9.353+9.027)+(Table156[[#This Row],[Depth10_Soil_vol]]/2.5)*20*1.053+(PI()*Table156[[#This Row],[Depth10_Scour]])*Table156[[#This Row],[DECK_WIDTH_MT_052]]*1.062</f>
        <v>0</v>
      </c>
      <c r="AR4" s="1">
        <f>Table156[[#This Row],[Depth50_Soil_vol]]*(9.353+9.027)+(Table156[[#This Row],[Depth50_Soil_vol]]/2.5)*20*1.053+(PI()*Table156[[#This Row],[Depth50_Scour]])*Table156[[#This Row],[DECK_WIDTH_MT_052]]*1.062</f>
        <v>5183.5345730170238</v>
      </c>
      <c r="AS4" s="1">
        <f>Table156[[#This Row],[Depth100_Soil_vol]]*(9.353+9.027)+(Table156[[#This Row],[Depth100_Soil_vol]]/2.5)*20*1.053+(PI()*Table156[[#This Row],[Depth100_Scour]])*Table156[[#This Row],[DECK_WIDTH_MT_052]]*1.062</f>
        <v>5452.2219529566692</v>
      </c>
      <c r="AT4" s="1">
        <f>Table156[[#This Row],[Depth500_Soil_vol]]*(9.353+9.027)+(Table156[[#This Row],[Depth500_Soil_vol]]/2.5)*20*1.053+(PI()*Table156[[#This Row],[Depth500_Scour]])*Table156[[#This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9.6000000000000002E-2</v>
      </c>
      <c r="GF4" s="1">
        <v>36.37292137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v>12124.307123333334</v>
      </c>
      <c r="GM4" s="1">
        <v>10911.876410999999</v>
      </c>
      <c r="GN4" s="1">
        <v>9699.4456986666664</v>
      </c>
      <c r="GO4" s="1">
        <v>7274.5842739999998</v>
      </c>
      <c r="GP4" s="1">
        <v>4849.7228493333332</v>
      </c>
      <c r="GQ4" s="1">
        <v>2424.8614246666666</v>
      </c>
      <c r="GR4" s="1">
        <v>1212.4307123333333</v>
      </c>
      <c r="GS4" s="1">
        <v>0</v>
      </c>
      <c r="GT4" s="1">
        <v>0</v>
      </c>
      <c r="GU4" s="1">
        <v>0</v>
      </c>
      <c r="GV4" s="1">
        <f t="shared" si="0"/>
        <v>2.5000000000000001E-2</v>
      </c>
      <c r="GW4" s="1">
        <v>0.01</v>
      </c>
      <c r="GX4" s="1">
        <v>2.5000000000000001E-3</v>
      </c>
      <c r="GY4" s="1">
        <v>4.0000000000000002E-4</v>
      </c>
      <c r="GZ4" s="1">
        <v>6.9999999999999999E-6</v>
      </c>
      <c r="HA4" s="1">
        <v>1.8000000000000001E-4</v>
      </c>
      <c r="HB4" s="1">
        <v>1.8000000000000001E-4</v>
      </c>
      <c r="HC4" s="1">
        <v>3.9999999999999998E-6</v>
      </c>
      <c r="HD4" s="1">
        <v>2.5000000000000002E-6</v>
      </c>
      <c r="HE4" s="1">
        <f t="shared" si="1"/>
        <v>1.2500000000000001E-2</v>
      </c>
      <c r="HF4" s="1">
        <v>6.0000000000000001E-3</v>
      </c>
      <c r="HG4" s="1">
        <v>2.5000000000000001E-3</v>
      </c>
      <c r="HH4" s="1">
        <v>5.0000000000000001E-4</v>
      </c>
      <c r="HI4" s="1">
        <v>7.9999999999999996E-6</v>
      </c>
      <c r="HJ4" s="1">
        <v>2.5000000000000001E-4</v>
      </c>
      <c r="HK4" s="1">
        <v>2.5000000000000001E-4</v>
      </c>
      <c r="HL4" s="1">
        <v>5.0000000000000004E-6</v>
      </c>
      <c r="HM4" s="1">
        <v>3.0000000000000001E-6</v>
      </c>
      <c r="HN4" s="1">
        <v>0.01</v>
      </c>
      <c r="HO4" s="1">
        <v>6.0000000000000001E-3</v>
      </c>
      <c r="HP4" s="1">
        <v>1.2999999999999999E-3</v>
      </c>
      <c r="HQ4" s="1">
        <v>5.0000000000000001E-4</v>
      </c>
      <c r="HR4" s="1">
        <v>7.9999999999999996E-6</v>
      </c>
      <c r="HS4" s="1">
        <v>2.5000000000000001E-4</v>
      </c>
      <c r="HT4" s="1">
        <v>2.5000000000000001E-4</v>
      </c>
      <c r="HU4" s="1">
        <v>5.0000000000000004E-6</v>
      </c>
      <c r="HV4" s="1">
        <v>3.0000000000000001E-6</v>
      </c>
      <c r="HW4" s="1">
        <v>0.01</v>
      </c>
      <c r="HX4" s="1">
        <v>8.0000000000000002E-3</v>
      </c>
      <c r="HY4" s="1">
        <v>1.6000000000000001E-3</v>
      </c>
      <c r="HZ4" s="1">
        <v>5.9999999999999995E-4</v>
      </c>
      <c r="IA4" s="1">
        <v>4.0000000000000003E-5</v>
      </c>
      <c r="IB4" s="1">
        <v>4.0000000000000002E-4</v>
      </c>
      <c r="IC4" s="1">
        <v>4.0000000000000002E-4</v>
      </c>
      <c r="ID4" s="1">
        <v>2.0000000000000002E-5</v>
      </c>
      <c r="IE4" s="1">
        <v>3.9999999999999998E-6</v>
      </c>
      <c r="IF4" s="1">
        <f>Table156[[#This Row],[Total_Cost_MUSD]]*Table156[[#This Row],[prob500-failure_rating1]]/500</f>
        <v>1.8186460685000001E-3</v>
      </c>
      <c r="IG4" s="1">
        <f>Table156[[#This Row],[Total_Cost_MUSD]]*Table156[[#This Row],[prob500-failure_rating2]]/500</f>
        <v>7.2745842739999999E-4</v>
      </c>
      <c r="IH4" s="1">
        <f>Table156[[#This Row],[Total_Cost_MUSD]]*Table156[[#This Row],[prob500-failure_rating3]]/500</f>
        <v>1.8186460685E-4</v>
      </c>
      <c r="II4" s="1">
        <f>Table156[[#This Row],[Total_Cost_MUSD]]*Table156[[#This Row],[prob500-failure_rating4]]/500</f>
        <v>2.9098337096E-5</v>
      </c>
      <c r="IJ4" s="1">
        <f>Table156[[#This Row],[Total_Cost_MUSD]]*Table156[[#This Row],[prob500-failure_rating5]]/500</f>
        <v>5.0922089918000004E-7</v>
      </c>
      <c r="IK4" s="1">
        <f>Table156[[#This Row],[Total_Cost_MUSD]]*Table156[[#This Row],[prob500-failure_rating6]]/500</f>
        <v>1.3094251693200001E-5</v>
      </c>
      <c r="IL4" s="1">
        <f>Table156[[#This Row],[Total_Cost_MUSD]]*Table156[[#This Row],[prob500-failure_rating7]]/500</f>
        <v>1.3094251693200001E-5</v>
      </c>
      <c r="IM4" s="1">
        <f>Table156[[#This Row],[Total_Cost_MUSD]]*Table156[[#This Row],[prob500-failure_rating8]]/500</f>
        <v>2.9098337096000001E-7</v>
      </c>
      <c r="IN4" s="1">
        <f>Table156[[#This Row],[Total_Cost_MUSD]]*Table156[[#This Row],[prob500-failure_rating9]]/500</f>
        <v>1.8186460685000002E-7</v>
      </c>
      <c r="IO4" s="1">
        <f>Table156[[#This Row],[Total_Cost_MUSD]]*Table156[[#This Row],[prob100-failure_rating1]]/100</f>
        <v>4.5466151712500007E-3</v>
      </c>
      <c r="IP4" s="1">
        <f>Table156[[#This Row],[Total_Cost_MUSD]]*Table156[[#This Row],[prob100-failure_rating2]]/100</f>
        <v>2.1823752822000002E-3</v>
      </c>
      <c r="IQ4" s="1">
        <f>Table156[[#This Row],[Total_Cost_MUSD]]*Table156[[#This Row],[prob100-failure_rating3]]/100</f>
        <v>9.0932303425000005E-4</v>
      </c>
      <c r="IR4" s="1">
        <f>Table156[[#This Row],[Total_Cost_MUSD]]*Table156[[#This Row],[prob100-failure_rating4]]/100</f>
        <v>1.8186460685E-4</v>
      </c>
      <c r="IS4" s="1">
        <f>Table156[[#This Row],[Total_Cost_MUSD]]*Table156[[#This Row],[prob100-failure_rating5]]/100</f>
        <v>2.9098337095999999E-6</v>
      </c>
      <c r="IT4" s="1">
        <f>Table156[[#This Row],[Total_Cost_MUSD]]*Table156[[#This Row],[prob100-failure_rating6]]/100</f>
        <v>9.0932303424999999E-5</v>
      </c>
      <c r="IU4" s="1">
        <f>Table156[[#This Row],[Total_Cost_MUSD]]*Table156[[#This Row],[prob100-failure_rating7]]/100</f>
        <v>9.0932303424999999E-5</v>
      </c>
      <c r="IV4" s="1">
        <f>Table156[[#This Row],[Total_Cost_MUSD]]*Table156[[#This Row],[prob100-failure_rating8]]/100</f>
        <v>1.8186460685000002E-6</v>
      </c>
      <c r="IW4" s="1">
        <f>Table156[[#This Row],[Total_Cost_MUSD]]*Table156[[#This Row],[prob100-failure_rating9]]/100</f>
        <v>1.0911876411000001E-6</v>
      </c>
      <c r="IX4" s="1">
        <f>Table156[[#This Row],[Total_Cost_MUSD]]*Table156[[#This Row],[prob50-failure_rating1]]/50</f>
        <v>7.2745842740000004E-3</v>
      </c>
      <c r="IY4" s="1">
        <f>Table156[[#This Row],[Total_Cost_MUSD]]*Table156[[#This Row],[prob50-failure_rating2]]/50</f>
        <v>4.3647505644000004E-3</v>
      </c>
      <c r="IZ4" s="1">
        <f>Table156[[#This Row],[Total_Cost_MUSD]]*Table156[[#This Row],[prob50-failure_rating3]]/50</f>
        <v>9.4569595561999999E-4</v>
      </c>
      <c r="JA4" s="1">
        <f>Table156[[#This Row],[Total_Cost_MUSD]]*Table156[[#This Row],[prob50-failure_rating4]]/50</f>
        <v>3.637292137E-4</v>
      </c>
      <c r="JB4" s="1">
        <f>Table156[[#This Row],[Total_Cost_MUSD]]*Table156[[#This Row],[prob50-failure_rating5]]/50</f>
        <v>5.8196674191999998E-6</v>
      </c>
      <c r="JC4" s="1">
        <f>Table156[[#This Row],[Total_Cost_MUSD]]*Table156[[#This Row],[prob50-failure_rating6]]/50</f>
        <v>1.8186460685E-4</v>
      </c>
      <c r="JD4" s="1">
        <f>Table156[[#This Row],[Total_Cost_MUSD]]*Table156[[#This Row],[prob50-failure_rating7]]/50</f>
        <v>1.8186460685E-4</v>
      </c>
      <c r="JE4" s="1">
        <f>Table156[[#This Row],[Total_Cost_MUSD]]*Table156[[#This Row],[prob50-failure_rating8]]/50</f>
        <v>3.6372921370000005E-6</v>
      </c>
      <c r="JF4" s="1">
        <f>Table156[[#This Row],[Total_Cost_MUSD]]*Table156[[#This Row],[prob50-failure_rating9]]/50</f>
        <v>2.1823752822000001E-6</v>
      </c>
      <c r="JG4" s="1">
        <f>Table156[[#This Row],[Total_Cost_MUSD]]*Table156[[#This Row],[prob10-failure_rating1]]/10</f>
        <v>3.6372921369999998E-2</v>
      </c>
      <c r="JH4" s="1">
        <f>Table156[[#This Row],[Total_Cost_MUSD]]*Table156[[#This Row],[prob10-failure_rating2]]/10</f>
        <v>2.9098337095999998E-2</v>
      </c>
      <c r="JI4" s="1">
        <f>Table156[[#This Row],[Total_Cost_MUSD]]*Table156[[#This Row],[prob10-failure_rating3]]/10</f>
        <v>5.8196674192E-3</v>
      </c>
      <c r="JJ4" s="1">
        <f>Table156[[#This Row],[Total_Cost_MUSD]]*Table156[[#This Row],[prob10-failure_rating4]]/10</f>
        <v>2.1823752821999998E-3</v>
      </c>
      <c r="JK4" s="1">
        <f>Table156[[#This Row],[Total_Cost_MUSD]]*Table156[[#This Row],[prob10-failure_rating5]]/10</f>
        <v>1.4549168548000003E-4</v>
      </c>
      <c r="JL4" s="1">
        <f>Table156[[#This Row],[Total_Cost_MUSD]]*Table156[[#This Row],[prob10-failure_rating6]]/10</f>
        <v>1.4549168548E-3</v>
      </c>
      <c r="JM4" s="1">
        <f>Table156[[#This Row],[Total_Cost_MUSD]]*Table156[[#This Row],[prob10-failure_rating7]]/10</f>
        <v>1.4549168548E-3</v>
      </c>
      <c r="JN4" s="1">
        <f>Table156[[#This Row],[Total_Cost_MUSD]]*Table156[[#This Row],[prob10-failure_rating8]]/10</f>
        <v>7.2745842740000013E-5</v>
      </c>
      <c r="JO4" s="1">
        <f>Table156[[#This Row],[Total_Cost_MUSD]]*Table156[[#This Row],[prob10-failure_rating9]]/10</f>
        <v>1.4549168548E-5</v>
      </c>
      <c r="JP4" s="1">
        <f>Table156[[#This Row],[FailureCost_Rating1]]</f>
        <v>36372.921369999996</v>
      </c>
      <c r="JQ4" s="1">
        <f>Table156[[#This Row],[FailureCost_Rating2]]</f>
        <v>36372.921369999996</v>
      </c>
      <c r="JR4" s="1">
        <f>(Table156[[#This Row],[failurecost500_rating2]]+Table156[[#This Row],[failurecost100_rating2]]+Table156[[#This Row],[failurecost50_rating2]]+Table156[[#This Row],[failurecost10_rating2]])*1000000</f>
        <v>36372.921369999996</v>
      </c>
      <c r="JS4" s="1">
        <f>(Table156[[#This Row],[failurecost500_rating3]]+Table156[[#This Row],[failurecost100_rating3]]+Table156[[#This Row],[failurecost50_rating3]]+Table156[[#This Row],[failurecost10_rating3]])*1000000</f>
        <v>7856.5510159199994</v>
      </c>
      <c r="JT4" s="1">
        <f>(Table156[[#This Row],[failurecost500_rating4]]+Table156[[#This Row],[failurecost100_rating4]]+Table156[[#This Row],[failurecost50_rating4]]+Table156[[#This Row],[failurecost10_rating4]])*1000000</f>
        <v>2757.0674398459996</v>
      </c>
      <c r="JU4" s="1">
        <f>(Table156[[#This Row],[failurecost500_rating5]]+Table156[[#This Row],[failurecost100_rating5]]+Table156[[#This Row],[failurecost50_rating5]]+Table156[[#This Row],[failurecost10_rating5]])*1000000</f>
        <v>154.73040750798003</v>
      </c>
      <c r="JV4" s="1">
        <f>(Table156[[#This Row],[failurecost500_rating6]]+Table156[[#This Row],[failurecost100_rating6]]+Table156[[#This Row],[failurecost50_rating6]]+Table156[[#This Row],[failurecost10_rating6]])*1000000</f>
        <v>1740.8080167682001</v>
      </c>
      <c r="JW4" s="1">
        <f>(Table156[[#This Row],[failurecost500_rating7]]+Table156[[#This Row],[failurecost100_rating7]]+Table156[[#This Row],[failurecost50_rating7]]+Table156[[#This Row],[failurecost10_rating7]])*1000000</f>
        <v>1740.8080167682001</v>
      </c>
      <c r="JX4" s="1">
        <f>(Table156[[#This Row],[failurecost500_rating8]]+Table156[[#This Row],[failurecost100_rating8]]+Table156[[#This Row],[failurecost50_rating8]]+Table156[[#This Row],[failurecost10_rating8]])*1000000</f>
        <v>78.492764316460011</v>
      </c>
      <c r="JY4" s="1">
        <f>(Table156[[#This Row],[failurecost500_rating9]]+Table156[[#This Row],[failurecost100_rating9]]+Table156[[#This Row],[failurecost50_rating9]]+Table156[[#This Row],[failurecost10_rating9]])*1000000</f>
        <v>18.004596078150001</v>
      </c>
    </row>
    <row r="5" spans="1:285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Table156[[#This Row],[Depth10_Soil_vol]]*(9.353+9.027)+(Table156[[#This Row],[Depth10_Soil_vol]]/2.5)*20*1.053+(PI()*Table156[[#This Row],[Depth10_Scour]])*Table156[[#This Row],[DECK_WIDTH_MT_052]]*1.062</f>
        <v>0</v>
      </c>
      <c r="AR5" s="1">
        <f>Table156[[#This Row],[Depth50_Soil_vol]]*(9.353+9.027)+(Table156[[#This Row],[Depth50_Soil_vol]]/2.5)*20*1.053+(PI()*Table156[[#This Row],[Depth50_Scour]])*Table156[[#This Row],[DECK_WIDTH_MT_052]]*1.062</f>
        <v>8698.4034732067958</v>
      </c>
      <c r="AS5" s="1">
        <f>Table156[[#This Row],[Depth100_Soil_vol]]*(9.353+9.027)+(Table156[[#This Row],[Depth100_Soil_vol]]/2.5)*20*1.053+(PI()*Table156[[#This Row],[Depth100_Scour]])*Table156[[#This Row],[DECK_WIDTH_MT_052]]*1.062</f>
        <v>10436.848001870483</v>
      </c>
      <c r="AT5" s="1">
        <f>Table156[[#This Row],[Depth500_Soil_vol]]*(9.353+9.027)+(Table156[[#This Row],[Depth500_Soil_vol]]/2.5)*20*1.053+(PI()*Table156[[#This Row],[Depth500_Scour]])*Table156[[#This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9.6000000000000002E-2</v>
      </c>
      <c r="GF5" s="1">
        <v>16.12521495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v>5375.0716500000008</v>
      </c>
      <c r="GM5" s="1">
        <v>4837.5644849999999</v>
      </c>
      <c r="GN5" s="1">
        <v>4300.0573199999999</v>
      </c>
      <c r="GO5" s="1">
        <v>3225.0429899999999</v>
      </c>
      <c r="GP5" s="1">
        <v>2150.0286599999999</v>
      </c>
      <c r="GQ5" s="1">
        <v>1075.01433</v>
      </c>
      <c r="GR5" s="1">
        <v>537.5071650000001</v>
      </c>
      <c r="GS5" s="1">
        <v>0</v>
      </c>
      <c r="GT5" s="1">
        <v>0</v>
      </c>
      <c r="GU5" s="1">
        <v>0</v>
      </c>
      <c r="GV5" s="1">
        <f t="shared" si="0"/>
        <v>2.5000000000000001E-2</v>
      </c>
      <c r="GW5" s="1">
        <v>0.01</v>
      </c>
      <c r="GX5" s="1">
        <v>2.5000000000000001E-3</v>
      </c>
      <c r="GY5" s="1">
        <v>4.0000000000000002E-4</v>
      </c>
      <c r="GZ5" s="1">
        <v>6.9999999999999999E-6</v>
      </c>
      <c r="HA5" s="1">
        <v>1.8000000000000001E-4</v>
      </c>
      <c r="HB5" s="1">
        <v>1.8000000000000001E-4</v>
      </c>
      <c r="HC5" s="1">
        <v>3.9999999999999998E-6</v>
      </c>
      <c r="HD5" s="1">
        <v>2.5000000000000002E-6</v>
      </c>
      <c r="HE5" s="1">
        <f t="shared" si="1"/>
        <v>1.2500000000000001E-2</v>
      </c>
      <c r="HF5" s="1">
        <v>6.0000000000000001E-3</v>
      </c>
      <c r="HG5" s="1">
        <v>2.5000000000000001E-3</v>
      </c>
      <c r="HH5" s="1">
        <v>5.0000000000000001E-4</v>
      </c>
      <c r="HI5" s="1">
        <v>7.9999999999999996E-6</v>
      </c>
      <c r="HJ5" s="1">
        <v>2.5000000000000001E-4</v>
      </c>
      <c r="HK5" s="1">
        <v>2.5000000000000001E-4</v>
      </c>
      <c r="HL5" s="1">
        <v>5.0000000000000004E-6</v>
      </c>
      <c r="HM5" s="1">
        <v>3.0000000000000001E-6</v>
      </c>
      <c r="HN5" s="1">
        <v>0.01</v>
      </c>
      <c r="HO5" s="1">
        <v>6.0000000000000001E-3</v>
      </c>
      <c r="HP5" s="1">
        <v>1.2999999999999999E-3</v>
      </c>
      <c r="HQ5" s="1">
        <v>5.0000000000000001E-4</v>
      </c>
      <c r="HR5" s="1">
        <v>7.9999999999999996E-6</v>
      </c>
      <c r="HS5" s="1">
        <v>2.5000000000000001E-4</v>
      </c>
      <c r="HT5" s="1">
        <v>2.5000000000000001E-4</v>
      </c>
      <c r="HU5" s="1">
        <v>5.0000000000000004E-6</v>
      </c>
      <c r="HV5" s="1">
        <v>3.0000000000000001E-6</v>
      </c>
      <c r="HW5" s="1">
        <v>0.01</v>
      </c>
      <c r="HX5" s="1">
        <v>8.0000000000000002E-3</v>
      </c>
      <c r="HY5" s="1">
        <v>1.6000000000000001E-3</v>
      </c>
      <c r="HZ5" s="1">
        <v>5.9999999999999995E-4</v>
      </c>
      <c r="IA5" s="1">
        <v>4.0000000000000003E-5</v>
      </c>
      <c r="IB5" s="1">
        <v>4.0000000000000002E-4</v>
      </c>
      <c r="IC5" s="1">
        <v>4.0000000000000002E-4</v>
      </c>
      <c r="ID5" s="1">
        <v>2.0000000000000002E-5</v>
      </c>
      <c r="IE5" s="1">
        <v>3.9999999999999998E-6</v>
      </c>
      <c r="IF5" s="1">
        <f>Table156[[#This Row],[Total_Cost_MUSD]]*Table156[[#This Row],[prob500-failure_rating1]]/500</f>
        <v>8.062607475000001E-4</v>
      </c>
      <c r="IG5" s="1">
        <f>Table156[[#This Row],[Total_Cost_MUSD]]*Table156[[#This Row],[prob500-failure_rating2]]/500</f>
        <v>3.2250429899999999E-4</v>
      </c>
      <c r="IH5" s="1">
        <f>Table156[[#This Row],[Total_Cost_MUSD]]*Table156[[#This Row],[prob500-failure_rating3]]/500</f>
        <v>8.0626074749999996E-5</v>
      </c>
      <c r="II5" s="1">
        <f>Table156[[#This Row],[Total_Cost_MUSD]]*Table156[[#This Row],[prob500-failure_rating4]]/500</f>
        <v>1.2900171960000001E-5</v>
      </c>
      <c r="IJ5" s="1">
        <f>Table156[[#This Row],[Total_Cost_MUSD]]*Table156[[#This Row],[prob500-failure_rating5]]/500</f>
        <v>2.2575300930000001E-7</v>
      </c>
      <c r="IK5" s="1">
        <f>Table156[[#This Row],[Total_Cost_MUSD]]*Table156[[#This Row],[prob500-failure_rating6]]/500</f>
        <v>5.8050773820000009E-6</v>
      </c>
      <c r="IL5" s="1">
        <f>Table156[[#This Row],[Total_Cost_MUSD]]*Table156[[#This Row],[prob500-failure_rating7]]/500</f>
        <v>5.8050773820000009E-6</v>
      </c>
      <c r="IM5" s="1">
        <f>Table156[[#This Row],[Total_Cost_MUSD]]*Table156[[#This Row],[prob500-failure_rating8]]/500</f>
        <v>1.2900171959999999E-7</v>
      </c>
      <c r="IN5" s="1">
        <f>Table156[[#This Row],[Total_Cost_MUSD]]*Table156[[#This Row],[prob500-failure_rating9]]/500</f>
        <v>8.0626074750000003E-8</v>
      </c>
      <c r="IO5" s="1">
        <f>Table156[[#This Row],[Total_Cost_MUSD]]*Table156[[#This Row],[prob100-failure_rating1]]/100</f>
        <v>2.0156518687500001E-3</v>
      </c>
      <c r="IP5" s="1">
        <f>Table156[[#This Row],[Total_Cost_MUSD]]*Table156[[#This Row],[prob100-failure_rating2]]/100</f>
        <v>9.6751289700000012E-4</v>
      </c>
      <c r="IQ5" s="1">
        <f>Table156[[#This Row],[Total_Cost_MUSD]]*Table156[[#This Row],[prob100-failure_rating3]]/100</f>
        <v>4.0313037375E-4</v>
      </c>
      <c r="IR5" s="1">
        <f>Table156[[#This Row],[Total_Cost_MUSD]]*Table156[[#This Row],[prob100-failure_rating4]]/100</f>
        <v>8.062607475000001E-5</v>
      </c>
      <c r="IS5" s="1">
        <f>Table156[[#This Row],[Total_Cost_MUSD]]*Table156[[#This Row],[prob100-failure_rating5]]/100</f>
        <v>1.2900171959999998E-6</v>
      </c>
      <c r="IT5" s="1">
        <f>Table156[[#This Row],[Total_Cost_MUSD]]*Table156[[#This Row],[prob100-failure_rating6]]/100</f>
        <v>4.0313037375000005E-5</v>
      </c>
      <c r="IU5" s="1">
        <f>Table156[[#This Row],[Total_Cost_MUSD]]*Table156[[#This Row],[prob100-failure_rating7]]/100</f>
        <v>4.0313037375000005E-5</v>
      </c>
      <c r="IV5" s="1">
        <f>Table156[[#This Row],[Total_Cost_MUSD]]*Table156[[#This Row],[prob100-failure_rating8]]/100</f>
        <v>8.0626074750000009E-7</v>
      </c>
      <c r="IW5" s="1">
        <f>Table156[[#This Row],[Total_Cost_MUSD]]*Table156[[#This Row],[prob100-failure_rating9]]/100</f>
        <v>4.8375644849999997E-7</v>
      </c>
      <c r="IX5" s="1">
        <f>Table156[[#This Row],[Total_Cost_MUSD]]*Table156[[#This Row],[prob50-failure_rating1]]/50</f>
        <v>3.22504299E-3</v>
      </c>
      <c r="IY5" s="1">
        <f>Table156[[#This Row],[Total_Cost_MUSD]]*Table156[[#This Row],[prob50-failure_rating2]]/50</f>
        <v>1.9350257940000002E-3</v>
      </c>
      <c r="IZ5" s="1">
        <f>Table156[[#This Row],[Total_Cost_MUSD]]*Table156[[#This Row],[prob50-failure_rating3]]/50</f>
        <v>4.1925558869999999E-4</v>
      </c>
      <c r="JA5" s="1">
        <f>Table156[[#This Row],[Total_Cost_MUSD]]*Table156[[#This Row],[prob50-failure_rating4]]/50</f>
        <v>1.6125214950000002E-4</v>
      </c>
      <c r="JB5" s="1">
        <f>Table156[[#This Row],[Total_Cost_MUSD]]*Table156[[#This Row],[prob50-failure_rating5]]/50</f>
        <v>2.5800343919999997E-6</v>
      </c>
      <c r="JC5" s="1">
        <f>Table156[[#This Row],[Total_Cost_MUSD]]*Table156[[#This Row],[prob50-failure_rating6]]/50</f>
        <v>8.062607475000001E-5</v>
      </c>
      <c r="JD5" s="1">
        <f>Table156[[#This Row],[Total_Cost_MUSD]]*Table156[[#This Row],[prob50-failure_rating7]]/50</f>
        <v>8.062607475000001E-5</v>
      </c>
      <c r="JE5" s="1">
        <f>Table156[[#This Row],[Total_Cost_MUSD]]*Table156[[#This Row],[prob50-failure_rating8]]/50</f>
        <v>1.6125214950000002E-6</v>
      </c>
      <c r="JF5" s="1">
        <f>Table156[[#This Row],[Total_Cost_MUSD]]*Table156[[#This Row],[prob50-failure_rating9]]/50</f>
        <v>9.6751289699999993E-7</v>
      </c>
      <c r="JG5" s="1">
        <f>Table156[[#This Row],[Total_Cost_MUSD]]*Table156[[#This Row],[prob10-failure_rating1]]/10</f>
        <v>1.6125214950000001E-2</v>
      </c>
      <c r="JH5" s="1">
        <f>Table156[[#This Row],[Total_Cost_MUSD]]*Table156[[#This Row],[prob10-failure_rating2]]/10</f>
        <v>1.2900171960000002E-2</v>
      </c>
      <c r="JI5" s="1">
        <f>Table156[[#This Row],[Total_Cost_MUSD]]*Table156[[#This Row],[prob10-failure_rating3]]/10</f>
        <v>2.5800343920000003E-3</v>
      </c>
      <c r="JJ5" s="1">
        <f>Table156[[#This Row],[Total_Cost_MUSD]]*Table156[[#This Row],[prob10-failure_rating4]]/10</f>
        <v>9.675128969999999E-4</v>
      </c>
      <c r="JK5" s="1">
        <f>Table156[[#This Row],[Total_Cost_MUSD]]*Table156[[#This Row],[prob10-failure_rating5]]/10</f>
        <v>6.4500859800000005E-5</v>
      </c>
      <c r="JL5" s="1">
        <f>Table156[[#This Row],[Total_Cost_MUSD]]*Table156[[#This Row],[prob10-failure_rating6]]/10</f>
        <v>6.4500859800000008E-4</v>
      </c>
      <c r="JM5" s="1">
        <f>Table156[[#This Row],[Total_Cost_MUSD]]*Table156[[#This Row],[prob10-failure_rating7]]/10</f>
        <v>6.4500859800000008E-4</v>
      </c>
      <c r="JN5" s="1">
        <f>Table156[[#This Row],[Total_Cost_MUSD]]*Table156[[#This Row],[prob10-failure_rating8]]/10</f>
        <v>3.2250429900000003E-5</v>
      </c>
      <c r="JO5" s="1">
        <f>Table156[[#This Row],[Total_Cost_MUSD]]*Table156[[#This Row],[prob10-failure_rating9]]/10</f>
        <v>6.450085979999999E-6</v>
      </c>
      <c r="JP5" s="1">
        <f>Table156[[#This Row],[FailureCost_Rating1]]</f>
        <v>16125.214950000001</v>
      </c>
      <c r="JQ5" s="1">
        <f>Table156[[#This Row],[FailureCost_Rating2]]</f>
        <v>16125.214950000001</v>
      </c>
      <c r="JR5" s="1">
        <f>(Table156[[#This Row],[failurecost500_rating2]]+Table156[[#This Row],[failurecost100_rating2]]+Table156[[#This Row],[failurecost50_rating2]]+Table156[[#This Row],[failurecost10_rating2]])*1000000</f>
        <v>16125.214950000001</v>
      </c>
      <c r="JS5" s="1">
        <f>(Table156[[#This Row],[failurecost500_rating3]]+Table156[[#This Row],[failurecost100_rating3]]+Table156[[#This Row],[failurecost50_rating3]]+Table156[[#This Row],[failurecost10_rating3]])*1000000</f>
        <v>3483.0464292000001</v>
      </c>
      <c r="JT5" s="1">
        <f>(Table156[[#This Row],[failurecost500_rating4]]+Table156[[#This Row],[failurecost100_rating4]]+Table156[[#This Row],[failurecost50_rating4]]+Table156[[#This Row],[failurecost10_rating4]])*1000000</f>
        <v>1222.29129321</v>
      </c>
      <c r="JU5" s="1">
        <f>(Table156[[#This Row],[failurecost500_rating5]]+Table156[[#This Row],[failurecost100_rating5]]+Table156[[#This Row],[failurecost50_rating5]]+Table156[[#This Row],[failurecost10_rating5]])*1000000</f>
        <v>68.596664397300003</v>
      </c>
      <c r="JV5" s="1">
        <f>(Table156[[#This Row],[failurecost500_rating6]]+Table156[[#This Row],[failurecost100_rating6]]+Table156[[#This Row],[failurecost50_rating6]]+Table156[[#This Row],[failurecost10_rating6]])*1000000</f>
        <v>771.75278750699999</v>
      </c>
      <c r="JW5" s="1">
        <f>(Table156[[#This Row],[failurecost500_rating7]]+Table156[[#This Row],[failurecost100_rating7]]+Table156[[#This Row],[failurecost50_rating7]]+Table156[[#This Row],[failurecost10_rating7]])*1000000</f>
        <v>771.75278750699999</v>
      </c>
      <c r="JX5" s="1">
        <f>(Table156[[#This Row],[failurecost500_rating8]]+Table156[[#This Row],[failurecost100_rating8]]+Table156[[#This Row],[failurecost50_rating8]]+Table156[[#This Row],[failurecost10_rating8]])*1000000</f>
        <v>34.798213862099999</v>
      </c>
      <c r="JY5" s="1">
        <f>(Table156[[#This Row],[failurecost500_rating9]]+Table156[[#This Row],[failurecost100_rating9]]+Table156[[#This Row],[failurecost50_rating9]]+Table156[[#This Row],[failurecost10_rating9]])*1000000</f>
        <v>7.9819814002499987</v>
      </c>
    </row>
    <row r="6" spans="1:285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Table156[[#This Row],[Depth10_Soil_vol]]*(9.353+9.027)+(Table156[[#This Row],[Depth10_Soil_vol]]/2.5)*20*1.053+(PI()*Table156[[#This Row],[Depth10_Scour]])*Table156[[#This Row],[DECK_WIDTH_MT_052]]*1.062</f>
        <v>16919.4190908581</v>
      </c>
      <c r="AR6" s="1">
        <f>Table156[[#This Row],[Depth50_Soil_vol]]*(9.353+9.027)+(Table156[[#This Row],[Depth50_Soil_vol]]/2.5)*20*1.053+(PI()*Table156[[#This Row],[Depth50_Scour]])*Table156[[#This Row],[DECK_WIDTH_MT_052]]*1.062</f>
        <v>18202.748839783562</v>
      </c>
      <c r="AS6" s="1">
        <f>Table156[[#This Row],[Depth100_Soil_vol]]*(9.353+9.027)+(Table156[[#This Row],[Depth100_Soil_vol]]/2.5)*20*1.053+(PI()*Table156[[#This Row],[Depth100_Scour]])*Table156[[#This Row],[DECK_WIDTH_MT_052]]*1.062</f>
        <v>18769.361851972091</v>
      </c>
      <c r="AT6" s="1">
        <f>Table156[[#This Row],[Depth500_Soil_vol]]*(9.353+9.027)+(Table156[[#This Row],[Depth500_Soil_vol]]/2.5)*20*1.053+(PI()*Table156[[#This Row],[Depth500_Scour]])*Table156[[#This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6" s="1">
        <v>24.57844167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v>8192.8138899999994</v>
      </c>
      <c r="GM6" s="1">
        <v>7373.5325009999988</v>
      </c>
      <c r="GN6" s="1">
        <v>6554.2511120000008</v>
      </c>
      <c r="GO6" s="1">
        <v>4915.6883339999995</v>
      </c>
      <c r="GP6" s="1">
        <v>3277.1255560000004</v>
      </c>
      <c r="GQ6" s="1">
        <v>1638.5627780000002</v>
      </c>
      <c r="GR6" s="1">
        <v>819.28138899999988</v>
      </c>
      <c r="GS6" s="1">
        <v>0</v>
      </c>
      <c r="GT6" s="1">
        <v>0</v>
      </c>
      <c r="GU6" s="1">
        <v>0</v>
      </c>
      <c r="GV6" s="1">
        <f t="shared" si="0"/>
        <v>2.5000000000000001E-2</v>
      </c>
      <c r="GW6" s="1">
        <v>0.01</v>
      </c>
      <c r="GX6" s="1">
        <v>2.5000000000000001E-3</v>
      </c>
      <c r="GY6" s="1">
        <v>4.0000000000000002E-4</v>
      </c>
      <c r="GZ6" s="1">
        <v>6.9999999999999999E-6</v>
      </c>
      <c r="HA6" s="1">
        <v>1.8000000000000001E-4</v>
      </c>
      <c r="HB6" s="1">
        <v>1.8000000000000001E-4</v>
      </c>
      <c r="HC6" s="1">
        <v>3.9999999999999998E-6</v>
      </c>
      <c r="HD6" s="1">
        <v>2.5000000000000002E-6</v>
      </c>
      <c r="HE6" s="1">
        <f t="shared" si="1"/>
        <v>1.2500000000000001E-2</v>
      </c>
      <c r="HF6" s="1">
        <v>6.0000000000000001E-3</v>
      </c>
      <c r="HG6" s="1">
        <v>2.5000000000000001E-3</v>
      </c>
      <c r="HH6" s="1">
        <v>5.0000000000000001E-4</v>
      </c>
      <c r="HI6" s="1">
        <v>7.9999999999999996E-6</v>
      </c>
      <c r="HJ6" s="1">
        <v>2.5000000000000001E-4</v>
      </c>
      <c r="HK6" s="1">
        <v>2.5000000000000001E-4</v>
      </c>
      <c r="HL6" s="1">
        <v>5.0000000000000004E-6</v>
      </c>
      <c r="HM6" s="1">
        <v>3.0000000000000001E-6</v>
      </c>
      <c r="HN6" s="1">
        <v>0.01</v>
      </c>
      <c r="HO6" s="1">
        <v>6.0000000000000001E-3</v>
      </c>
      <c r="HP6" s="1">
        <v>1.2999999999999999E-3</v>
      </c>
      <c r="HQ6" s="1">
        <v>5.0000000000000001E-4</v>
      </c>
      <c r="HR6" s="1">
        <v>7.9999999999999996E-6</v>
      </c>
      <c r="HS6" s="1">
        <v>2.5000000000000001E-4</v>
      </c>
      <c r="HT6" s="1">
        <v>2.5000000000000001E-4</v>
      </c>
      <c r="HU6" s="1">
        <v>5.0000000000000004E-6</v>
      </c>
      <c r="HV6" s="1">
        <v>3.0000000000000001E-6</v>
      </c>
      <c r="HW6" s="1">
        <v>0.01</v>
      </c>
      <c r="HX6" s="1">
        <v>8.0000000000000002E-3</v>
      </c>
      <c r="HY6" s="1">
        <v>1.6000000000000001E-3</v>
      </c>
      <c r="HZ6" s="1">
        <v>5.9999999999999995E-4</v>
      </c>
      <c r="IA6" s="1">
        <v>4.0000000000000003E-5</v>
      </c>
      <c r="IB6" s="1">
        <v>4.0000000000000002E-4</v>
      </c>
      <c r="IC6" s="1">
        <v>4.0000000000000002E-4</v>
      </c>
      <c r="ID6" s="1">
        <v>2.0000000000000002E-5</v>
      </c>
      <c r="IE6" s="1">
        <v>3.9999999999999998E-6</v>
      </c>
      <c r="IF6" s="1">
        <f>Table156[[#This Row],[Total_Cost_MUSD]]*Table156[[#This Row],[prob500-failure_rating1]]/500</f>
        <v>1.2289220835E-3</v>
      </c>
      <c r="IG6" s="1">
        <f>Table156[[#This Row],[Total_Cost_MUSD]]*Table156[[#This Row],[prob500-failure_rating2]]/500</f>
        <v>4.9156883340000001E-4</v>
      </c>
      <c r="IH6" s="1">
        <f>Table156[[#This Row],[Total_Cost_MUSD]]*Table156[[#This Row],[prob500-failure_rating3]]/500</f>
        <v>1.2289220835E-4</v>
      </c>
      <c r="II6" s="1">
        <f>Table156[[#This Row],[Total_Cost_MUSD]]*Table156[[#This Row],[prob500-failure_rating4]]/500</f>
        <v>1.9662753336000002E-5</v>
      </c>
      <c r="IJ6" s="1">
        <f>Table156[[#This Row],[Total_Cost_MUSD]]*Table156[[#This Row],[prob500-failure_rating5]]/500</f>
        <v>3.4409818337999999E-7</v>
      </c>
      <c r="IK6" s="1">
        <f>Table156[[#This Row],[Total_Cost_MUSD]]*Table156[[#This Row],[prob500-failure_rating6]]/500</f>
        <v>8.8482390012000012E-6</v>
      </c>
      <c r="IL6" s="1">
        <f>Table156[[#This Row],[Total_Cost_MUSD]]*Table156[[#This Row],[prob500-failure_rating7]]/500</f>
        <v>8.8482390012000012E-6</v>
      </c>
      <c r="IM6" s="1">
        <f>Table156[[#This Row],[Total_Cost_MUSD]]*Table156[[#This Row],[prob500-failure_rating8]]/500</f>
        <v>1.9662753335999999E-7</v>
      </c>
      <c r="IN6" s="1">
        <f>Table156[[#This Row],[Total_Cost_MUSD]]*Table156[[#This Row],[prob500-failure_rating9]]/500</f>
        <v>1.2289220835E-7</v>
      </c>
      <c r="IO6" s="1">
        <f>Table156[[#This Row],[Total_Cost_MUSD]]*Table156[[#This Row],[prob100-failure_rating1]]/100</f>
        <v>3.0723052087500004E-3</v>
      </c>
      <c r="IP6" s="1">
        <f>Table156[[#This Row],[Total_Cost_MUSD]]*Table156[[#This Row],[prob100-failure_rating2]]/100</f>
        <v>1.4747065002E-3</v>
      </c>
      <c r="IQ6" s="1">
        <f>Table156[[#This Row],[Total_Cost_MUSD]]*Table156[[#This Row],[prob100-failure_rating3]]/100</f>
        <v>6.1446104175000001E-4</v>
      </c>
      <c r="IR6" s="1">
        <f>Table156[[#This Row],[Total_Cost_MUSD]]*Table156[[#This Row],[prob100-failure_rating4]]/100</f>
        <v>1.2289220835E-4</v>
      </c>
      <c r="IS6" s="1">
        <f>Table156[[#This Row],[Total_Cost_MUSD]]*Table156[[#This Row],[prob100-failure_rating5]]/100</f>
        <v>1.9662753335999999E-6</v>
      </c>
      <c r="IT6" s="1">
        <f>Table156[[#This Row],[Total_Cost_MUSD]]*Table156[[#This Row],[prob100-failure_rating6]]/100</f>
        <v>6.1446104175000001E-5</v>
      </c>
      <c r="IU6" s="1">
        <f>Table156[[#This Row],[Total_Cost_MUSD]]*Table156[[#This Row],[prob100-failure_rating7]]/100</f>
        <v>6.1446104175000001E-5</v>
      </c>
      <c r="IV6" s="1">
        <f>Table156[[#This Row],[Total_Cost_MUSD]]*Table156[[#This Row],[prob100-failure_rating8]]/100</f>
        <v>1.2289220835000001E-6</v>
      </c>
      <c r="IW6" s="1">
        <f>Table156[[#This Row],[Total_Cost_MUSD]]*Table156[[#This Row],[prob100-failure_rating9]]/100</f>
        <v>7.3735325010000003E-7</v>
      </c>
      <c r="IX6" s="1">
        <f>Table156[[#This Row],[Total_Cost_MUSD]]*Table156[[#This Row],[prob50-failure_rating1]]/50</f>
        <v>4.9156883340000001E-3</v>
      </c>
      <c r="IY6" s="1">
        <f>Table156[[#This Row],[Total_Cost_MUSD]]*Table156[[#This Row],[prob50-failure_rating2]]/50</f>
        <v>2.9494130004E-3</v>
      </c>
      <c r="IZ6" s="1">
        <f>Table156[[#This Row],[Total_Cost_MUSD]]*Table156[[#This Row],[prob50-failure_rating3]]/50</f>
        <v>6.3903948341999999E-4</v>
      </c>
      <c r="JA6" s="1">
        <f>Table156[[#This Row],[Total_Cost_MUSD]]*Table156[[#This Row],[prob50-failure_rating4]]/50</f>
        <v>2.457844167E-4</v>
      </c>
      <c r="JB6" s="1">
        <f>Table156[[#This Row],[Total_Cost_MUSD]]*Table156[[#This Row],[prob50-failure_rating5]]/50</f>
        <v>3.9325506671999999E-6</v>
      </c>
      <c r="JC6" s="1">
        <f>Table156[[#This Row],[Total_Cost_MUSD]]*Table156[[#This Row],[prob50-failure_rating6]]/50</f>
        <v>1.2289220835E-4</v>
      </c>
      <c r="JD6" s="1">
        <f>Table156[[#This Row],[Total_Cost_MUSD]]*Table156[[#This Row],[prob50-failure_rating7]]/50</f>
        <v>1.2289220835E-4</v>
      </c>
      <c r="JE6" s="1">
        <f>Table156[[#This Row],[Total_Cost_MUSD]]*Table156[[#This Row],[prob50-failure_rating8]]/50</f>
        <v>2.4578441670000002E-6</v>
      </c>
      <c r="JF6" s="1">
        <f>Table156[[#This Row],[Total_Cost_MUSD]]*Table156[[#This Row],[prob50-failure_rating9]]/50</f>
        <v>1.4747065002000001E-6</v>
      </c>
      <c r="JG6" s="1">
        <f>Table156[[#This Row],[Total_Cost_MUSD]]*Table156[[#This Row],[prob10-failure_rating1]]/10</f>
        <v>2.4578441669999999E-2</v>
      </c>
      <c r="JH6" s="1">
        <f>Table156[[#This Row],[Total_Cost_MUSD]]*Table156[[#This Row],[prob10-failure_rating2]]/10</f>
        <v>1.9662753336E-2</v>
      </c>
      <c r="JI6" s="1">
        <f>Table156[[#This Row],[Total_Cost_MUSD]]*Table156[[#This Row],[prob10-failure_rating3]]/10</f>
        <v>3.9325506672E-3</v>
      </c>
      <c r="JJ6" s="1">
        <f>Table156[[#This Row],[Total_Cost_MUSD]]*Table156[[#This Row],[prob10-failure_rating4]]/10</f>
        <v>1.4747065002E-3</v>
      </c>
      <c r="JK6" s="1">
        <f>Table156[[#This Row],[Total_Cost_MUSD]]*Table156[[#This Row],[prob10-failure_rating5]]/10</f>
        <v>9.8313766679999996E-5</v>
      </c>
      <c r="JL6" s="1">
        <f>Table156[[#This Row],[Total_Cost_MUSD]]*Table156[[#This Row],[prob10-failure_rating6]]/10</f>
        <v>9.8313766680000001E-4</v>
      </c>
      <c r="JM6" s="1">
        <f>Table156[[#This Row],[Total_Cost_MUSD]]*Table156[[#This Row],[prob10-failure_rating7]]/10</f>
        <v>9.8313766680000001E-4</v>
      </c>
      <c r="JN6" s="1">
        <f>Table156[[#This Row],[Total_Cost_MUSD]]*Table156[[#This Row],[prob10-failure_rating8]]/10</f>
        <v>4.9156883339999998E-5</v>
      </c>
      <c r="JO6" s="1">
        <f>Table156[[#This Row],[Total_Cost_MUSD]]*Table156[[#This Row],[prob10-failure_rating9]]/10</f>
        <v>9.8313766679999992E-6</v>
      </c>
      <c r="JP6" s="1">
        <f>Table156[[#This Row],[FailureCost_Rating1]]</f>
        <v>24578.44167</v>
      </c>
      <c r="JQ6" s="1">
        <f>Table156[[#This Row],[FailureCost_Rating2]]</f>
        <v>24578.44167</v>
      </c>
      <c r="JR6" s="1">
        <f>(Table156[[#This Row],[failurecost500_rating2]]+Table156[[#This Row],[failurecost100_rating2]]+Table156[[#This Row],[failurecost50_rating2]]+Table156[[#This Row],[failurecost10_rating2]])*1000000</f>
        <v>24578.44167</v>
      </c>
      <c r="JS6" s="1">
        <f>(Table156[[#This Row],[failurecost500_rating3]]+Table156[[#This Row],[failurecost100_rating3]]+Table156[[#This Row],[failurecost50_rating3]]+Table156[[#This Row],[failurecost10_rating3]])*1000000</f>
        <v>5308.9434007200007</v>
      </c>
      <c r="JT6" s="1">
        <f>(Table156[[#This Row],[failurecost500_rating4]]+Table156[[#This Row],[failurecost100_rating4]]+Table156[[#This Row],[failurecost50_rating4]]+Table156[[#This Row],[failurecost10_rating4]])*1000000</f>
        <v>1863.0458785860001</v>
      </c>
      <c r="JU6" s="1">
        <f>(Table156[[#This Row],[failurecost500_rating5]]+Table156[[#This Row],[failurecost100_rating5]]+Table156[[#This Row],[failurecost50_rating5]]+Table156[[#This Row],[failurecost10_rating5]])*1000000</f>
        <v>104.55669086418</v>
      </c>
      <c r="JV6" s="1">
        <f>(Table156[[#This Row],[failurecost500_rating6]]+Table156[[#This Row],[failurecost100_rating6]]+Table156[[#This Row],[failurecost50_rating6]]+Table156[[#This Row],[failurecost10_rating6]])*1000000</f>
        <v>1176.3242183262</v>
      </c>
      <c r="JW6" s="1">
        <f>(Table156[[#This Row],[failurecost500_rating7]]+Table156[[#This Row],[failurecost100_rating7]]+Table156[[#This Row],[failurecost50_rating7]]+Table156[[#This Row],[failurecost10_rating7]])*1000000</f>
        <v>1176.3242183262</v>
      </c>
      <c r="JX6" s="1">
        <f>(Table156[[#This Row],[failurecost500_rating8]]+Table156[[#This Row],[failurecost100_rating8]]+Table156[[#This Row],[failurecost50_rating8]]+Table156[[#This Row],[failurecost10_rating8]])*1000000</f>
        <v>53.040277123860001</v>
      </c>
      <c r="JY6" s="1">
        <f>(Table156[[#This Row],[failurecost500_rating9]]+Table156[[#This Row],[failurecost100_rating9]]+Table156[[#This Row],[failurecost50_rating9]]+Table156[[#This Row],[failurecost10_rating9]])*1000000</f>
        <v>12.166328626649999</v>
      </c>
    </row>
    <row r="7" spans="1:285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Table156[[#This Row],[Depth10_Soil_vol]]*(9.353+9.027)+(Table156[[#This Row],[Depth10_Soil_vol]]/2.5)*20*1.053+(PI()*Table156[[#This Row],[Depth10_Scour]])*Table156[[#This Row],[DECK_WIDTH_MT_052]]*1.062</f>
        <v>11407.250817613454</v>
      </c>
      <c r="AR7" s="1">
        <f>Table156[[#This Row],[Depth50_Soil_vol]]*(9.353+9.027)+(Table156[[#This Row],[Depth50_Soil_vol]]/2.5)*20*1.053+(PI()*Table156[[#This Row],[Depth50_Scour]])*Table156[[#This Row],[DECK_WIDTH_MT_052]]*1.062</f>
        <v>12369.739122689782</v>
      </c>
      <c r="AS7" s="1">
        <f>Table156[[#This Row],[Depth100_Soil_vol]]*(9.353+9.027)+(Table156[[#This Row],[Depth100_Soil_vol]]/2.5)*20*1.053+(PI()*Table156[[#This Row],[Depth100_Scour]])*Table156[[#This Row],[DECK_WIDTH_MT_052]]*1.062</f>
        <v>14750.148906789464</v>
      </c>
      <c r="AT7" s="1">
        <f>Table156[[#This Row],[Depth500_Soil_vol]]*(9.353+9.027)+(Table156[[#This Row],[Depth500_Soil_vol]]/2.5)*20*1.053+(PI()*Table156[[#This Row],[Depth500_Scour]])*Table156[[#This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0.39600000000000002</v>
      </c>
      <c r="GF7" s="1">
        <v>9.2416624370000005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v>3080.554145666667</v>
      </c>
      <c r="GM7" s="1">
        <v>2772.4987311</v>
      </c>
      <c r="GN7" s="1">
        <v>2464.4433165333335</v>
      </c>
      <c r="GO7" s="1">
        <v>1848.3324874</v>
      </c>
      <c r="GP7" s="1">
        <v>1232.2216582666667</v>
      </c>
      <c r="GQ7" s="1">
        <v>616.11082913333337</v>
      </c>
      <c r="GR7" s="1">
        <v>308.05541456666668</v>
      </c>
      <c r="GS7" s="1">
        <v>0</v>
      </c>
      <c r="GT7" s="1">
        <v>0</v>
      </c>
      <c r="GU7" s="1">
        <v>0</v>
      </c>
      <c r="GV7" s="1">
        <f t="shared" si="0"/>
        <v>2.5000000000000001E-2</v>
      </c>
      <c r="GW7" s="1">
        <v>0.01</v>
      </c>
      <c r="GX7" s="1">
        <v>2.5000000000000001E-3</v>
      </c>
      <c r="GY7" s="1">
        <v>4.0000000000000002E-4</v>
      </c>
      <c r="GZ7" s="1">
        <v>6.9999999999999999E-6</v>
      </c>
      <c r="HA7" s="1">
        <v>1.8000000000000001E-4</v>
      </c>
      <c r="HB7" s="1">
        <v>1.8000000000000001E-4</v>
      </c>
      <c r="HC7" s="1">
        <v>3.9999999999999998E-6</v>
      </c>
      <c r="HD7" s="1">
        <v>2.5000000000000002E-6</v>
      </c>
      <c r="HE7" s="1">
        <f t="shared" si="1"/>
        <v>1.2500000000000001E-2</v>
      </c>
      <c r="HF7" s="1">
        <v>6.0000000000000001E-3</v>
      </c>
      <c r="HG7" s="1">
        <v>2.5000000000000001E-3</v>
      </c>
      <c r="HH7" s="1">
        <v>5.0000000000000001E-4</v>
      </c>
      <c r="HI7" s="1">
        <v>7.9999999999999996E-6</v>
      </c>
      <c r="HJ7" s="1">
        <v>2.5000000000000001E-4</v>
      </c>
      <c r="HK7" s="1">
        <v>2.5000000000000001E-4</v>
      </c>
      <c r="HL7" s="1">
        <v>5.0000000000000004E-6</v>
      </c>
      <c r="HM7" s="1">
        <v>3.0000000000000001E-6</v>
      </c>
      <c r="HN7" s="1">
        <v>0.01</v>
      </c>
      <c r="HO7" s="1">
        <v>6.0000000000000001E-3</v>
      </c>
      <c r="HP7" s="1">
        <v>1.2999999999999999E-3</v>
      </c>
      <c r="HQ7" s="1">
        <v>5.0000000000000001E-4</v>
      </c>
      <c r="HR7" s="1">
        <v>7.9999999999999996E-6</v>
      </c>
      <c r="HS7" s="1">
        <v>2.5000000000000001E-4</v>
      </c>
      <c r="HT7" s="1">
        <v>2.5000000000000001E-4</v>
      </c>
      <c r="HU7" s="1">
        <v>5.0000000000000004E-6</v>
      </c>
      <c r="HV7" s="1">
        <v>3.0000000000000001E-6</v>
      </c>
      <c r="HW7" s="1">
        <v>0.01</v>
      </c>
      <c r="HX7" s="1">
        <v>8.0000000000000002E-3</v>
      </c>
      <c r="HY7" s="1">
        <v>1.6000000000000001E-3</v>
      </c>
      <c r="HZ7" s="1">
        <v>5.9999999999999995E-4</v>
      </c>
      <c r="IA7" s="1">
        <v>4.0000000000000003E-5</v>
      </c>
      <c r="IB7" s="1">
        <v>4.0000000000000002E-4</v>
      </c>
      <c r="IC7" s="1">
        <v>4.0000000000000002E-4</v>
      </c>
      <c r="ID7" s="1">
        <v>2.0000000000000002E-5</v>
      </c>
      <c r="IE7" s="1">
        <v>3.9999999999999998E-6</v>
      </c>
      <c r="IF7" s="1">
        <f>Table156[[#This Row],[Total_Cost_MUSD]]*Table156[[#This Row],[prob500-failure_rating1]]/500</f>
        <v>4.6208312185000005E-4</v>
      </c>
      <c r="IG7" s="1">
        <f>Table156[[#This Row],[Total_Cost_MUSD]]*Table156[[#This Row],[prob500-failure_rating2]]/500</f>
        <v>1.8483324874E-4</v>
      </c>
      <c r="IH7" s="1">
        <f>Table156[[#This Row],[Total_Cost_MUSD]]*Table156[[#This Row],[prob500-failure_rating3]]/500</f>
        <v>4.6208312185000001E-5</v>
      </c>
      <c r="II7" s="1">
        <f>Table156[[#This Row],[Total_Cost_MUSD]]*Table156[[#This Row],[prob500-failure_rating4]]/500</f>
        <v>7.393329949600001E-6</v>
      </c>
      <c r="IJ7" s="1">
        <f>Table156[[#This Row],[Total_Cost_MUSD]]*Table156[[#This Row],[prob500-failure_rating5]]/500</f>
        <v>1.29383274118E-7</v>
      </c>
      <c r="IK7" s="1">
        <f>Table156[[#This Row],[Total_Cost_MUSD]]*Table156[[#This Row],[prob500-failure_rating6]]/500</f>
        <v>3.3269984773200001E-6</v>
      </c>
      <c r="IL7" s="1">
        <f>Table156[[#This Row],[Total_Cost_MUSD]]*Table156[[#This Row],[prob500-failure_rating7]]/500</f>
        <v>3.3269984773200001E-6</v>
      </c>
      <c r="IM7" s="1">
        <f>Table156[[#This Row],[Total_Cost_MUSD]]*Table156[[#This Row],[prob500-failure_rating8]]/500</f>
        <v>7.3933299496000012E-8</v>
      </c>
      <c r="IN7" s="1">
        <f>Table156[[#This Row],[Total_Cost_MUSD]]*Table156[[#This Row],[prob500-failure_rating9]]/500</f>
        <v>4.6208312185000009E-8</v>
      </c>
      <c r="IO7" s="1">
        <f>Table156[[#This Row],[Total_Cost_MUSD]]*Table156[[#This Row],[prob100-failure_rating1]]/100</f>
        <v>1.1552078046250002E-3</v>
      </c>
      <c r="IP7" s="1">
        <f>Table156[[#This Row],[Total_Cost_MUSD]]*Table156[[#This Row],[prob100-failure_rating2]]/100</f>
        <v>5.5449974622000004E-4</v>
      </c>
      <c r="IQ7" s="1">
        <f>Table156[[#This Row],[Total_Cost_MUSD]]*Table156[[#This Row],[prob100-failure_rating3]]/100</f>
        <v>2.3104156092500002E-4</v>
      </c>
      <c r="IR7" s="1">
        <f>Table156[[#This Row],[Total_Cost_MUSD]]*Table156[[#This Row],[prob100-failure_rating4]]/100</f>
        <v>4.6208312185000001E-5</v>
      </c>
      <c r="IS7" s="1">
        <f>Table156[[#This Row],[Total_Cost_MUSD]]*Table156[[#This Row],[prob100-failure_rating5]]/100</f>
        <v>7.3933299496000004E-7</v>
      </c>
      <c r="IT7" s="1">
        <f>Table156[[#This Row],[Total_Cost_MUSD]]*Table156[[#This Row],[prob100-failure_rating6]]/100</f>
        <v>2.31041560925E-5</v>
      </c>
      <c r="IU7" s="1">
        <f>Table156[[#This Row],[Total_Cost_MUSD]]*Table156[[#This Row],[prob100-failure_rating7]]/100</f>
        <v>2.31041560925E-5</v>
      </c>
      <c r="IV7" s="1">
        <f>Table156[[#This Row],[Total_Cost_MUSD]]*Table156[[#This Row],[prob100-failure_rating8]]/100</f>
        <v>4.6208312185000006E-7</v>
      </c>
      <c r="IW7" s="1">
        <f>Table156[[#This Row],[Total_Cost_MUSD]]*Table156[[#This Row],[prob100-failure_rating9]]/100</f>
        <v>2.7724987311000003E-7</v>
      </c>
      <c r="IX7" s="1">
        <f>Table156[[#This Row],[Total_Cost_MUSD]]*Table156[[#This Row],[prob50-failure_rating1]]/50</f>
        <v>1.8483324874000002E-3</v>
      </c>
      <c r="IY7" s="1">
        <f>Table156[[#This Row],[Total_Cost_MUSD]]*Table156[[#This Row],[prob50-failure_rating2]]/50</f>
        <v>1.1089994924400001E-3</v>
      </c>
      <c r="IZ7" s="1">
        <f>Table156[[#This Row],[Total_Cost_MUSD]]*Table156[[#This Row],[prob50-failure_rating3]]/50</f>
        <v>2.40283223362E-4</v>
      </c>
      <c r="JA7" s="1">
        <f>Table156[[#This Row],[Total_Cost_MUSD]]*Table156[[#This Row],[prob50-failure_rating4]]/50</f>
        <v>9.2416624370000001E-5</v>
      </c>
      <c r="JB7" s="1">
        <f>Table156[[#This Row],[Total_Cost_MUSD]]*Table156[[#This Row],[prob50-failure_rating5]]/50</f>
        <v>1.4786659899200001E-6</v>
      </c>
      <c r="JC7" s="1">
        <f>Table156[[#This Row],[Total_Cost_MUSD]]*Table156[[#This Row],[prob50-failure_rating6]]/50</f>
        <v>4.6208312185000001E-5</v>
      </c>
      <c r="JD7" s="1">
        <f>Table156[[#This Row],[Total_Cost_MUSD]]*Table156[[#This Row],[prob50-failure_rating7]]/50</f>
        <v>4.6208312185000001E-5</v>
      </c>
      <c r="JE7" s="1">
        <f>Table156[[#This Row],[Total_Cost_MUSD]]*Table156[[#This Row],[prob50-failure_rating8]]/50</f>
        <v>9.2416624370000012E-7</v>
      </c>
      <c r="JF7" s="1">
        <f>Table156[[#This Row],[Total_Cost_MUSD]]*Table156[[#This Row],[prob50-failure_rating9]]/50</f>
        <v>5.5449974622000005E-7</v>
      </c>
      <c r="JG7" s="1">
        <f>Table156[[#This Row],[Total_Cost_MUSD]]*Table156[[#This Row],[prob10-failure_rating1]]/10</f>
        <v>9.2416624369999999E-3</v>
      </c>
      <c r="JH7" s="1">
        <f>Table156[[#This Row],[Total_Cost_MUSD]]*Table156[[#This Row],[prob10-failure_rating2]]/10</f>
        <v>7.3933299495999999E-3</v>
      </c>
      <c r="JI7" s="1">
        <f>Table156[[#This Row],[Total_Cost_MUSD]]*Table156[[#This Row],[prob10-failure_rating3]]/10</f>
        <v>1.4786659899200002E-3</v>
      </c>
      <c r="JJ7" s="1">
        <f>Table156[[#This Row],[Total_Cost_MUSD]]*Table156[[#This Row],[prob10-failure_rating4]]/10</f>
        <v>5.5449974622000004E-4</v>
      </c>
      <c r="JK7" s="1">
        <f>Table156[[#This Row],[Total_Cost_MUSD]]*Table156[[#This Row],[prob10-failure_rating5]]/10</f>
        <v>3.6966649748000003E-5</v>
      </c>
      <c r="JL7" s="1">
        <f>Table156[[#This Row],[Total_Cost_MUSD]]*Table156[[#This Row],[prob10-failure_rating6]]/10</f>
        <v>3.6966649748000006E-4</v>
      </c>
      <c r="JM7" s="1">
        <f>Table156[[#This Row],[Total_Cost_MUSD]]*Table156[[#This Row],[prob10-failure_rating7]]/10</f>
        <v>3.6966649748000006E-4</v>
      </c>
      <c r="JN7" s="1">
        <f>Table156[[#This Row],[Total_Cost_MUSD]]*Table156[[#This Row],[prob10-failure_rating8]]/10</f>
        <v>1.8483324874000002E-5</v>
      </c>
      <c r="JO7" s="1">
        <f>Table156[[#This Row],[Total_Cost_MUSD]]*Table156[[#This Row],[prob10-failure_rating9]]/10</f>
        <v>3.6966649748000005E-6</v>
      </c>
      <c r="JP7" s="1">
        <f>Table156[[#This Row],[FailureCost_Rating1]]</f>
        <v>9241.662436999999</v>
      </c>
      <c r="JQ7" s="1">
        <f>Table156[[#This Row],[FailureCost_Rating2]]</f>
        <v>9241.662436999999</v>
      </c>
      <c r="JR7" s="1">
        <f>(Table156[[#This Row],[failurecost500_rating2]]+Table156[[#This Row],[failurecost100_rating2]]+Table156[[#This Row],[failurecost50_rating2]]+Table156[[#This Row],[failurecost10_rating2]])*1000000</f>
        <v>9241.662436999999</v>
      </c>
      <c r="JS7" s="1">
        <f>(Table156[[#This Row],[failurecost500_rating3]]+Table156[[#This Row],[failurecost100_rating3]]+Table156[[#This Row],[failurecost50_rating3]]+Table156[[#This Row],[failurecost10_rating3]])*1000000</f>
        <v>1996.199086392</v>
      </c>
      <c r="JT7" s="1">
        <f>(Table156[[#This Row],[failurecost500_rating4]]+Table156[[#This Row],[failurecost100_rating4]]+Table156[[#This Row],[failurecost50_rating4]]+Table156[[#This Row],[failurecost10_rating4]])*1000000</f>
        <v>700.5180127246</v>
      </c>
      <c r="JU7" s="1">
        <f>(Table156[[#This Row],[failurecost500_rating5]]+Table156[[#This Row],[failurecost100_rating5]]+Table156[[#This Row],[failurecost50_rating5]]+Table156[[#This Row],[failurecost10_rating5]])*1000000</f>
        <v>39.314032006997998</v>
      </c>
      <c r="JV7" s="1">
        <f>(Table156[[#This Row],[failurecost500_rating6]]+Table156[[#This Row],[failurecost100_rating6]]+Table156[[#This Row],[failurecost50_rating6]]+Table156[[#This Row],[failurecost10_rating6]])*1000000</f>
        <v>442.30596423482007</v>
      </c>
      <c r="JW7" s="1">
        <f>(Table156[[#This Row],[failurecost500_rating7]]+Table156[[#This Row],[failurecost100_rating7]]+Table156[[#This Row],[failurecost50_rating7]]+Table156[[#This Row],[failurecost10_rating7]])*1000000</f>
        <v>442.30596423482007</v>
      </c>
      <c r="JX7" s="1">
        <f>(Table156[[#This Row],[failurecost500_rating8]]+Table156[[#This Row],[failurecost100_rating8]]+Table156[[#This Row],[failurecost50_rating8]]+Table156[[#This Row],[failurecost10_rating8]])*1000000</f>
        <v>19.943507539046003</v>
      </c>
      <c r="JY7" s="1">
        <f>(Table156[[#This Row],[failurecost500_rating9]]+Table156[[#This Row],[failurecost100_rating9]]+Table156[[#This Row],[failurecost50_rating9]]+Table156[[#This Row],[failurecost10_rating9]])*1000000</f>
        <v>4.5746229063150006</v>
      </c>
    </row>
    <row r="8" spans="1:285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Table156[[#This Row],[Depth10_Soil_vol]]*(9.353+9.027)+(Table156[[#This Row],[Depth10_Soil_vol]]/2.5)*20*1.053+(PI()*Table156[[#This Row],[Depth10_Scour]])*Table156[[#This Row],[DECK_WIDTH_MT_052]]*1.062</f>
        <v>16463.256386162553</v>
      </c>
      <c r="AR8" s="1">
        <f>Table156[[#This Row],[Depth50_Soil_vol]]*(9.353+9.027)+(Table156[[#This Row],[Depth50_Soil_vol]]/2.5)*20*1.053+(PI()*Table156[[#This Row],[Depth50_Scour]])*Table156[[#This Row],[DECK_WIDTH_MT_052]]*1.062</f>
        <v>18935.802677782114</v>
      </c>
      <c r="AS8" s="1">
        <f>Table156[[#This Row],[Depth100_Soil_vol]]*(9.353+9.027)+(Table156[[#This Row],[Depth100_Soil_vol]]/2.5)*20*1.053+(PI()*Table156[[#This Row],[Depth100_Scour]])*Table156[[#This Row],[DECK_WIDTH_MT_052]]*1.062</f>
        <v>19959.892643325038</v>
      </c>
      <c r="AT8" s="1">
        <f>Table156[[#This Row],[Depth500_Soil_vol]]*(9.353+9.027)+(Table156[[#This Row],[Depth500_Soil_vol]]/2.5)*20*1.053+(PI()*Table156[[#This Row],[Depth500_Scour]])*Table156[[#This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0.52800000000000002</v>
      </c>
      <c r="GF8" s="1">
        <v>47.935071469999997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v>15978.357156666665</v>
      </c>
      <c r="GM8" s="1">
        <v>14380.521440999999</v>
      </c>
      <c r="GN8" s="1">
        <v>12782.685725333331</v>
      </c>
      <c r="GO8" s="1">
        <v>9587.0142939999987</v>
      </c>
      <c r="GP8" s="1">
        <v>6391.3428626666655</v>
      </c>
      <c r="GQ8" s="1">
        <v>3195.6714313333327</v>
      </c>
      <c r="GR8" s="1">
        <v>1597.8357156666668</v>
      </c>
      <c r="GS8" s="1">
        <v>0</v>
      </c>
      <c r="GT8" s="1">
        <v>0</v>
      </c>
      <c r="GU8" s="1">
        <v>0</v>
      </c>
      <c r="GV8" s="1">
        <f t="shared" si="0"/>
        <v>2.5000000000000001E-2</v>
      </c>
      <c r="GW8" s="1">
        <v>0.01</v>
      </c>
      <c r="GX8" s="1">
        <v>2.5000000000000001E-3</v>
      </c>
      <c r="GY8" s="1">
        <v>4.0000000000000002E-4</v>
      </c>
      <c r="GZ8" s="1">
        <v>6.9999999999999999E-6</v>
      </c>
      <c r="HA8" s="1">
        <v>1.8000000000000001E-4</v>
      </c>
      <c r="HB8" s="1">
        <v>1.8000000000000001E-4</v>
      </c>
      <c r="HC8" s="1">
        <v>3.9999999999999998E-6</v>
      </c>
      <c r="HD8" s="1">
        <v>2.5000000000000002E-6</v>
      </c>
      <c r="HE8" s="1">
        <f t="shared" si="1"/>
        <v>1.2500000000000001E-2</v>
      </c>
      <c r="HF8" s="1">
        <v>6.0000000000000001E-3</v>
      </c>
      <c r="HG8" s="1">
        <v>2.5000000000000001E-3</v>
      </c>
      <c r="HH8" s="1">
        <v>5.0000000000000001E-4</v>
      </c>
      <c r="HI8" s="1">
        <v>7.9999999999999996E-6</v>
      </c>
      <c r="HJ8" s="1">
        <v>2.5000000000000001E-4</v>
      </c>
      <c r="HK8" s="1">
        <v>2.5000000000000001E-4</v>
      </c>
      <c r="HL8" s="1">
        <v>5.0000000000000004E-6</v>
      </c>
      <c r="HM8" s="1">
        <v>3.0000000000000001E-6</v>
      </c>
      <c r="HN8" s="1">
        <v>0.01</v>
      </c>
      <c r="HO8" s="1">
        <v>6.0000000000000001E-3</v>
      </c>
      <c r="HP8" s="1">
        <v>1.2999999999999999E-3</v>
      </c>
      <c r="HQ8" s="1">
        <v>5.0000000000000001E-4</v>
      </c>
      <c r="HR8" s="1">
        <v>7.9999999999999996E-6</v>
      </c>
      <c r="HS8" s="1">
        <v>2.5000000000000001E-4</v>
      </c>
      <c r="HT8" s="1">
        <v>2.5000000000000001E-4</v>
      </c>
      <c r="HU8" s="1">
        <v>5.0000000000000004E-6</v>
      </c>
      <c r="HV8" s="1">
        <v>3.0000000000000001E-6</v>
      </c>
      <c r="HW8" s="1">
        <v>0.01</v>
      </c>
      <c r="HX8" s="1">
        <v>8.0000000000000002E-3</v>
      </c>
      <c r="HY8" s="1">
        <v>1.6000000000000001E-3</v>
      </c>
      <c r="HZ8" s="1">
        <v>5.9999999999999995E-4</v>
      </c>
      <c r="IA8" s="1">
        <v>4.0000000000000003E-5</v>
      </c>
      <c r="IB8" s="1">
        <v>4.0000000000000002E-4</v>
      </c>
      <c r="IC8" s="1">
        <v>4.0000000000000002E-4</v>
      </c>
      <c r="ID8" s="1">
        <v>2.0000000000000002E-5</v>
      </c>
      <c r="IE8" s="1">
        <v>3.9999999999999998E-6</v>
      </c>
      <c r="IF8" s="1">
        <f>Table156[[#This Row],[Total_Cost_MUSD]]*Table156[[#This Row],[prob500-failure_rating1]]/500</f>
        <v>2.3967535734999998E-3</v>
      </c>
      <c r="IG8" s="1">
        <f>Table156[[#This Row],[Total_Cost_MUSD]]*Table156[[#This Row],[prob500-failure_rating2]]/500</f>
        <v>9.5870142939999989E-4</v>
      </c>
      <c r="IH8" s="1">
        <f>Table156[[#This Row],[Total_Cost_MUSD]]*Table156[[#This Row],[prob500-failure_rating3]]/500</f>
        <v>2.3967535734999997E-4</v>
      </c>
      <c r="II8" s="1">
        <f>Table156[[#This Row],[Total_Cost_MUSD]]*Table156[[#This Row],[prob500-failure_rating4]]/500</f>
        <v>3.8348057175999998E-5</v>
      </c>
      <c r="IJ8" s="1">
        <f>Table156[[#This Row],[Total_Cost_MUSD]]*Table156[[#This Row],[prob500-failure_rating5]]/500</f>
        <v>6.7109100057999997E-7</v>
      </c>
      <c r="IK8" s="1">
        <f>Table156[[#This Row],[Total_Cost_MUSD]]*Table156[[#This Row],[prob500-failure_rating6]]/500</f>
        <v>1.72566257292E-5</v>
      </c>
      <c r="IL8" s="1">
        <f>Table156[[#This Row],[Total_Cost_MUSD]]*Table156[[#This Row],[prob500-failure_rating7]]/500</f>
        <v>1.72566257292E-5</v>
      </c>
      <c r="IM8" s="1">
        <f>Table156[[#This Row],[Total_Cost_MUSD]]*Table156[[#This Row],[prob500-failure_rating8]]/500</f>
        <v>3.8348057175999999E-7</v>
      </c>
      <c r="IN8" s="1">
        <f>Table156[[#This Row],[Total_Cost_MUSD]]*Table156[[#This Row],[prob500-failure_rating9]]/500</f>
        <v>2.3967535734999997E-7</v>
      </c>
      <c r="IO8" s="1">
        <f>Table156[[#This Row],[Total_Cost_MUSD]]*Table156[[#This Row],[prob100-failure_rating1]]/100</f>
        <v>5.99188393375E-3</v>
      </c>
      <c r="IP8" s="1">
        <f>Table156[[#This Row],[Total_Cost_MUSD]]*Table156[[#This Row],[prob100-failure_rating2]]/100</f>
        <v>2.8761042881999999E-3</v>
      </c>
      <c r="IQ8" s="1">
        <f>Table156[[#This Row],[Total_Cost_MUSD]]*Table156[[#This Row],[prob100-failure_rating3]]/100</f>
        <v>1.1983767867499999E-3</v>
      </c>
      <c r="IR8" s="1">
        <f>Table156[[#This Row],[Total_Cost_MUSD]]*Table156[[#This Row],[prob100-failure_rating4]]/100</f>
        <v>2.3967535735E-4</v>
      </c>
      <c r="IS8" s="1">
        <f>Table156[[#This Row],[Total_Cost_MUSD]]*Table156[[#This Row],[prob100-failure_rating5]]/100</f>
        <v>3.8348057175999996E-6</v>
      </c>
      <c r="IT8" s="1">
        <f>Table156[[#This Row],[Total_Cost_MUSD]]*Table156[[#This Row],[prob100-failure_rating6]]/100</f>
        <v>1.19837678675E-4</v>
      </c>
      <c r="IU8" s="1">
        <f>Table156[[#This Row],[Total_Cost_MUSD]]*Table156[[#This Row],[prob100-failure_rating7]]/100</f>
        <v>1.19837678675E-4</v>
      </c>
      <c r="IV8" s="1">
        <f>Table156[[#This Row],[Total_Cost_MUSD]]*Table156[[#This Row],[prob100-failure_rating8]]/100</f>
        <v>2.3967535734999999E-6</v>
      </c>
      <c r="IW8" s="1">
        <f>Table156[[#This Row],[Total_Cost_MUSD]]*Table156[[#This Row],[prob100-failure_rating9]]/100</f>
        <v>1.4380521441E-6</v>
      </c>
      <c r="IX8" s="1">
        <f>Table156[[#This Row],[Total_Cost_MUSD]]*Table156[[#This Row],[prob50-failure_rating1]]/50</f>
        <v>9.5870142939999993E-3</v>
      </c>
      <c r="IY8" s="1">
        <f>Table156[[#This Row],[Total_Cost_MUSD]]*Table156[[#This Row],[prob50-failure_rating2]]/50</f>
        <v>5.7522085763999998E-3</v>
      </c>
      <c r="IZ8" s="1">
        <f>Table156[[#This Row],[Total_Cost_MUSD]]*Table156[[#This Row],[prob50-failure_rating3]]/50</f>
        <v>1.2463118582199998E-3</v>
      </c>
      <c r="JA8" s="1">
        <f>Table156[[#This Row],[Total_Cost_MUSD]]*Table156[[#This Row],[prob50-failure_rating4]]/50</f>
        <v>4.793507147E-4</v>
      </c>
      <c r="JB8" s="1">
        <f>Table156[[#This Row],[Total_Cost_MUSD]]*Table156[[#This Row],[prob50-failure_rating5]]/50</f>
        <v>7.6696114351999992E-6</v>
      </c>
      <c r="JC8" s="1">
        <f>Table156[[#This Row],[Total_Cost_MUSD]]*Table156[[#This Row],[prob50-failure_rating6]]/50</f>
        <v>2.3967535735E-4</v>
      </c>
      <c r="JD8" s="1">
        <f>Table156[[#This Row],[Total_Cost_MUSD]]*Table156[[#This Row],[prob50-failure_rating7]]/50</f>
        <v>2.3967535735E-4</v>
      </c>
      <c r="JE8" s="1">
        <f>Table156[[#This Row],[Total_Cost_MUSD]]*Table156[[#This Row],[prob50-failure_rating8]]/50</f>
        <v>4.7935071469999997E-6</v>
      </c>
      <c r="JF8" s="1">
        <f>Table156[[#This Row],[Total_Cost_MUSD]]*Table156[[#This Row],[prob50-failure_rating9]]/50</f>
        <v>2.8761042881999999E-6</v>
      </c>
      <c r="JG8" s="1">
        <f>Table156[[#This Row],[Total_Cost_MUSD]]*Table156[[#This Row],[prob10-failure_rating1]]/10</f>
        <v>4.7935071469999993E-2</v>
      </c>
      <c r="JH8" s="1">
        <f>Table156[[#This Row],[Total_Cost_MUSD]]*Table156[[#This Row],[prob10-failure_rating2]]/10</f>
        <v>3.8348057175999997E-2</v>
      </c>
      <c r="JI8" s="1">
        <f>Table156[[#This Row],[Total_Cost_MUSD]]*Table156[[#This Row],[prob10-failure_rating3]]/10</f>
        <v>7.6696114351999991E-3</v>
      </c>
      <c r="JJ8" s="1">
        <f>Table156[[#This Row],[Total_Cost_MUSD]]*Table156[[#This Row],[prob10-failure_rating4]]/10</f>
        <v>2.8761042881999994E-3</v>
      </c>
      <c r="JK8" s="1">
        <f>Table156[[#This Row],[Total_Cost_MUSD]]*Table156[[#This Row],[prob10-failure_rating5]]/10</f>
        <v>1.9174028587999999E-4</v>
      </c>
      <c r="JL8" s="1">
        <f>Table156[[#This Row],[Total_Cost_MUSD]]*Table156[[#This Row],[prob10-failure_rating6]]/10</f>
        <v>1.9174028587999998E-3</v>
      </c>
      <c r="JM8" s="1">
        <f>Table156[[#This Row],[Total_Cost_MUSD]]*Table156[[#This Row],[prob10-failure_rating7]]/10</f>
        <v>1.9174028587999998E-3</v>
      </c>
      <c r="JN8" s="1">
        <f>Table156[[#This Row],[Total_Cost_MUSD]]*Table156[[#This Row],[prob10-failure_rating8]]/10</f>
        <v>9.5870142939999994E-5</v>
      </c>
      <c r="JO8" s="1">
        <f>Table156[[#This Row],[Total_Cost_MUSD]]*Table156[[#This Row],[prob10-failure_rating9]]/10</f>
        <v>1.9174028587999999E-5</v>
      </c>
      <c r="JP8" s="1">
        <f>Table156[[#This Row],[FailureCost_Rating1]]</f>
        <v>47935.071469999995</v>
      </c>
      <c r="JQ8" s="1">
        <f>Table156[[#This Row],[FailureCost_Rating2]]</f>
        <v>47935.071469999995</v>
      </c>
      <c r="JR8" s="1">
        <f>(Table156[[#This Row],[failurecost500_rating2]]+Table156[[#This Row],[failurecost100_rating2]]+Table156[[#This Row],[failurecost50_rating2]]+Table156[[#This Row],[failurecost10_rating2]])*1000000</f>
        <v>47935.071469999995</v>
      </c>
      <c r="JS8" s="1">
        <f>(Table156[[#This Row],[failurecost500_rating3]]+Table156[[#This Row],[failurecost100_rating3]]+Table156[[#This Row],[failurecost50_rating3]]+Table156[[#This Row],[failurecost10_rating3]])*1000000</f>
        <v>10353.975437519999</v>
      </c>
      <c r="JT8" s="1">
        <f>(Table156[[#This Row],[failurecost500_rating4]]+Table156[[#This Row],[failurecost100_rating4]]+Table156[[#This Row],[failurecost50_rating4]]+Table156[[#This Row],[failurecost10_rating4]])*1000000</f>
        <v>3633.4784174259994</v>
      </c>
      <c r="JU8" s="1">
        <f>(Table156[[#This Row],[failurecost500_rating5]]+Table156[[#This Row],[failurecost100_rating5]]+Table156[[#This Row],[failurecost50_rating5]]+Table156[[#This Row],[failurecost10_rating5]])*1000000</f>
        <v>203.91579403338</v>
      </c>
      <c r="JV8" s="1">
        <f>(Table156[[#This Row],[failurecost500_rating6]]+Table156[[#This Row],[failurecost100_rating6]]+Table156[[#This Row],[failurecost50_rating6]]+Table156[[#This Row],[failurecost10_rating6]])*1000000</f>
        <v>2294.1725205541998</v>
      </c>
      <c r="JW8" s="1">
        <f>(Table156[[#This Row],[failurecost500_rating7]]+Table156[[#This Row],[failurecost100_rating7]]+Table156[[#This Row],[failurecost50_rating7]]+Table156[[#This Row],[failurecost10_rating7]])*1000000</f>
        <v>2294.1725205541998</v>
      </c>
      <c r="JX8" s="1">
        <f>(Table156[[#This Row],[failurecost500_rating8]]+Table156[[#This Row],[failurecost100_rating8]]+Table156[[#This Row],[failurecost50_rating8]]+Table156[[#This Row],[failurecost10_rating8]])*1000000</f>
        <v>103.44388423225999</v>
      </c>
      <c r="JY8" s="1">
        <f>(Table156[[#This Row],[failurecost500_rating9]]+Table156[[#This Row],[failurecost100_rating9]]+Table156[[#This Row],[failurecost50_rating9]]+Table156[[#This Row],[failurecost10_rating9]])*1000000</f>
        <v>23.72786037765</v>
      </c>
    </row>
    <row r="9" spans="1:285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Table156[[#This Row],[Depth10_Soil_vol]]*(9.353+9.027)+(Table156[[#This Row],[Depth10_Soil_vol]]/2.5)*20*1.053+(PI()*Table156[[#This Row],[Depth10_Scour]])*Table156[[#This Row],[DECK_WIDTH_MT_052]]*1.062</f>
        <v>6829.712539120831</v>
      </c>
      <c r="AR9" s="1">
        <f>Table156[[#This Row],[Depth50_Soil_vol]]*(9.353+9.027)+(Table156[[#This Row],[Depth50_Soil_vol]]/2.5)*20*1.053+(PI()*Table156[[#This Row],[Depth50_Scour]])*Table156[[#This Row],[DECK_WIDTH_MT_052]]*1.062</f>
        <v>7284.9335218547822</v>
      </c>
      <c r="AS9" s="1">
        <f>Table156[[#This Row],[Depth100_Soil_vol]]*(9.353+9.027)+(Table156[[#This Row],[Depth100_Soil_vol]]/2.5)*20*1.053+(PI()*Table156[[#This Row],[Depth100_Scour]])*Table156[[#This Row],[DECK_WIDTH_MT_052]]*1.062</f>
        <v>7678.6049905512346</v>
      </c>
      <c r="AT9" s="1">
        <f>Table156[[#This Row],[Depth500_Soil_vol]]*(9.353+9.027)+(Table156[[#This Row],[Depth500_Soil_vol]]/2.5)*20*1.053+(PI()*Table156[[#This Row],[Depth500_Scour]])*Table156[[#This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9" s="1">
        <v>42.732621100000003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v>14244.207033333334</v>
      </c>
      <c r="GM9" s="1">
        <v>12819.786330000001</v>
      </c>
      <c r="GN9" s="1">
        <v>11395.365626666666</v>
      </c>
      <c r="GO9" s="1">
        <v>8546.5242200000012</v>
      </c>
      <c r="GP9" s="1">
        <v>5697.6828133333329</v>
      </c>
      <c r="GQ9" s="1">
        <v>2848.8414066666664</v>
      </c>
      <c r="GR9" s="1">
        <v>1424.4207033333334</v>
      </c>
      <c r="GS9" s="1">
        <v>0</v>
      </c>
      <c r="GT9" s="1">
        <v>0</v>
      </c>
      <c r="GU9" s="1">
        <v>0</v>
      </c>
      <c r="GV9" s="1">
        <f t="shared" si="0"/>
        <v>2.5000000000000001E-2</v>
      </c>
      <c r="GW9" s="1">
        <v>0.01</v>
      </c>
      <c r="GX9" s="1">
        <v>2.5000000000000001E-3</v>
      </c>
      <c r="GY9" s="1">
        <v>4.0000000000000002E-4</v>
      </c>
      <c r="GZ9" s="1">
        <v>6.9999999999999999E-6</v>
      </c>
      <c r="HA9" s="1">
        <v>1.8000000000000001E-4</v>
      </c>
      <c r="HB9" s="1">
        <v>1.8000000000000001E-4</v>
      </c>
      <c r="HC9" s="1">
        <v>3.9999999999999998E-6</v>
      </c>
      <c r="HD9" s="1">
        <v>2.5000000000000002E-6</v>
      </c>
      <c r="HE9" s="1">
        <f t="shared" si="1"/>
        <v>1.2500000000000001E-2</v>
      </c>
      <c r="HF9" s="1">
        <v>6.0000000000000001E-3</v>
      </c>
      <c r="HG9" s="1">
        <v>2.5000000000000001E-3</v>
      </c>
      <c r="HH9" s="1">
        <v>5.0000000000000001E-4</v>
      </c>
      <c r="HI9" s="1">
        <v>7.9999999999999996E-6</v>
      </c>
      <c r="HJ9" s="1">
        <v>2.5000000000000001E-4</v>
      </c>
      <c r="HK9" s="1">
        <v>2.5000000000000001E-4</v>
      </c>
      <c r="HL9" s="1">
        <v>5.0000000000000004E-6</v>
      </c>
      <c r="HM9" s="1">
        <v>3.0000000000000001E-6</v>
      </c>
      <c r="HN9" s="1">
        <v>0.01</v>
      </c>
      <c r="HO9" s="1">
        <v>6.0000000000000001E-3</v>
      </c>
      <c r="HP9" s="1">
        <v>1.2999999999999999E-3</v>
      </c>
      <c r="HQ9" s="1">
        <v>5.0000000000000001E-4</v>
      </c>
      <c r="HR9" s="1">
        <v>7.9999999999999996E-6</v>
      </c>
      <c r="HS9" s="1">
        <v>2.5000000000000001E-4</v>
      </c>
      <c r="HT9" s="1">
        <v>2.5000000000000001E-4</v>
      </c>
      <c r="HU9" s="1">
        <v>5.0000000000000004E-6</v>
      </c>
      <c r="HV9" s="1">
        <v>3.0000000000000001E-6</v>
      </c>
      <c r="HW9" s="1">
        <v>0.01</v>
      </c>
      <c r="HX9" s="1">
        <v>8.0000000000000002E-3</v>
      </c>
      <c r="HY9" s="1">
        <v>1.6000000000000001E-3</v>
      </c>
      <c r="HZ9" s="1">
        <v>5.9999999999999995E-4</v>
      </c>
      <c r="IA9" s="1">
        <v>4.0000000000000003E-5</v>
      </c>
      <c r="IB9" s="1">
        <v>4.0000000000000002E-4</v>
      </c>
      <c r="IC9" s="1">
        <v>4.0000000000000002E-4</v>
      </c>
      <c r="ID9" s="1">
        <v>2.0000000000000002E-5</v>
      </c>
      <c r="IE9" s="1">
        <v>3.9999999999999998E-6</v>
      </c>
      <c r="IF9" s="1">
        <f>Table156[[#This Row],[Total_Cost_MUSD]]*Table156[[#This Row],[prob500-failure_rating1]]/500</f>
        <v>2.1366310550000002E-3</v>
      </c>
      <c r="IG9" s="1">
        <f>Table156[[#This Row],[Total_Cost_MUSD]]*Table156[[#This Row],[prob500-failure_rating2]]/500</f>
        <v>8.5465242200000006E-4</v>
      </c>
      <c r="IH9" s="1">
        <f>Table156[[#This Row],[Total_Cost_MUSD]]*Table156[[#This Row],[prob500-failure_rating3]]/500</f>
        <v>2.1366310550000002E-4</v>
      </c>
      <c r="II9" s="1">
        <f>Table156[[#This Row],[Total_Cost_MUSD]]*Table156[[#This Row],[prob500-failure_rating4]]/500</f>
        <v>3.4186096880000002E-5</v>
      </c>
      <c r="IJ9" s="1">
        <f>Table156[[#This Row],[Total_Cost_MUSD]]*Table156[[#This Row],[prob500-failure_rating5]]/500</f>
        <v>5.9825669539999997E-7</v>
      </c>
      <c r="IK9" s="1">
        <f>Table156[[#This Row],[Total_Cost_MUSD]]*Table156[[#This Row],[prob500-failure_rating6]]/500</f>
        <v>1.5383743596000002E-5</v>
      </c>
      <c r="IL9" s="1">
        <f>Table156[[#This Row],[Total_Cost_MUSD]]*Table156[[#This Row],[prob500-failure_rating7]]/500</f>
        <v>1.5383743596000002E-5</v>
      </c>
      <c r="IM9" s="1">
        <f>Table156[[#This Row],[Total_Cost_MUSD]]*Table156[[#This Row],[prob500-failure_rating8]]/500</f>
        <v>3.418609688E-7</v>
      </c>
      <c r="IN9" s="1">
        <f>Table156[[#This Row],[Total_Cost_MUSD]]*Table156[[#This Row],[prob500-failure_rating9]]/500</f>
        <v>2.1366310550000004E-7</v>
      </c>
      <c r="IO9" s="1">
        <f>Table156[[#This Row],[Total_Cost_MUSD]]*Table156[[#This Row],[prob100-failure_rating1]]/100</f>
        <v>5.3415776375E-3</v>
      </c>
      <c r="IP9" s="1">
        <f>Table156[[#This Row],[Total_Cost_MUSD]]*Table156[[#This Row],[prob100-failure_rating2]]/100</f>
        <v>2.5639572660000002E-3</v>
      </c>
      <c r="IQ9" s="1">
        <f>Table156[[#This Row],[Total_Cost_MUSD]]*Table156[[#This Row],[prob100-failure_rating3]]/100</f>
        <v>1.0683155275000001E-3</v>
      </c>
      <c r="IR9" s="1">
        <f>Table156[[#This Row],[Total_Cost_MUSD]]*Table156[[#This Row],[prob100-failure_rating4]]/100</f>
        <v>2.1366310550000004E-4</v>
      </c>
      <c r="IS9" s="1">
        <f>Table156[[#This Row],[Total_Cost_MUSD]]*Table156[[#This Row],[prob100-failure_rating5]]/100</f>
        <v>3.4186096880000002E-6</v>
      </c>
      <c r="IT9" s="1">
        <f>Table156[[#This Row],[Total_Cost_MUSD]]*Table156[[#This Row],[prob100-failure_rating6]]/100</f>
        <v>1.0683155275000002E-4</v>
      </c>
      <c r="IU9" s="1">
        <f>Table156[[#This Row],[Total_Cost_MUSD]]*Table156[[#This Row],[prob100-failure_rating7]]/100</f>
        <v>1.0683155275000002E-4</v>
      </c>
      <c r="IV9" s="1">
        <f>Table156[[#This Row],[Total_Cost_MUSD]]*Table156[[#This Row],[prob100-failure_rating8]]/100</f>
        <v>2.1366310550000005E-6</v>
      </c>
      <c r="IW9" s="1">
        <f>Table156[[#This Row],[Total_Cost_MUSD]]*Table156[[#This Row],[prob100-failure_rating9]]/100</f>
        <v>1.2819786330000001E-6</v>
      </c>
      <c r="IX9" s="1">
        <f>Table156[[#This Row],[Total_Cost_MUSD]]*Table156[[#This Row],[prob50-failure_rating1]]/50</f>
        <v>8.5465242200000006E-3</v>
      </c>
      <c r="IY9" s="1">
        <f>Table156[[#This Row],[Total_Cost_MUSD]]*Table156[[#This Row],[prob50-failure_rating2]]/50</f>
        <v>5.1279145320000004E-3</v>
      </c>
      <c r="IZ9" s="1">
        <f>Table156[[#This Row],[Total_Cost_MUSD]]*Table156[[#This Row],[prob50-failure_rating3]]/50</f>
        <v>1.1110481486E-3</v>
      </c>
      <c r="JA9" s="1">
        <f>Table156[[#This Row],[Total_Cost_MUSD]]*Table156[[#This Row],[prob50-failure_rating4]]/50</f>
        <v>4.2732621100000009E-4</v>
      </c>
      <c r="JB9" s="1">
        <f>Table156[[#This Row],[Total_Cost_MUSD]]*Table156[[#This Row],[prob50-failure_rating5]]/50</f>
        <v>6.8372193760000004E-6</v>
      </c>
      <c r="JC9" s="1">
        <f>Table156[[#This Row],[Total_Cost_MUSD]]*Table156[[#This Row],[prob50-failure_rating6]]/50</f>
        <v>2.1366310550000004E-4</v>
      </c>
      <c r="JD9" s="1">
        <f>Table156[[#This Row],[Total_Cost_MUSD]]*Table156[[#This Row],[prob50-failure_rating7]]/50</f>
        <v>2.1366310550000004E-4</v>
      </c>
      <c r="JE9" s="1">
        <f>Table156[[#This Row],[Total_Cost_MUSD]]*Table156[[#This Row],[prob50-failure_rating8]]/50</f>
        <v>4.2732621100000011E-6</v>
      </c>
      <c r="JF9" s="1">
        <f>Table156[[#This Row],[Total_Cost_MUSD]]*Table156[[#This Row],[prob50-failure_rating9]]/50</f>
        <v>2.5639572660000001E-6</v>
      </c>
      <c r="JG9" s="1">
        <f>Table156[[#This Row],[Total_Cost_MUSD]]*Table156[[#This Row],[prob10-failure_rating1]]/10</f>
        <v>4.27326211E-2</v>
      </c>
      <c r="JH9" s="1">
        <f>Table156[[#This Row],[Total_Cost_MUSD]]*Table156[[#This Row],[prob10-failure_rating2]]/10</f>
        <v>3.4186096880000003E-2</v>
      </c>
      <c r="JI9" s="1">
        <f>Table156[[#This Row],[Total_Cost_MUSD]]*Table156[[#This Row],[prob10-failure_rating3]]/10</f>
        <v>6.8372193760000005E-3</v>
      </c>
      <c r="JJ9" s="1">
        <f>Table156[[#This Row],[Total_Cost_MUSD]]*Table156[[#This Row],[prob10-failure_rating4]]/10</f>
        <v>2.5639572659999998E-3</v>
      </c>
      <c r="JK9" s="1">
        <f>Table156[[#This Row],[Total_Cost_MUSD]]*Table156[[#This Row],[prob10-failure_rating5]]/10</f>
        <v>1.7093048440000003E-4</v>
      </c>
      <c r="JL9" s="1">
        <f>Table156[[#This Row],[Total_Cost_MUSD]]*Table156[[#This Row],[prob10-failure_rating6]]/10</f>
        <v>1.7093048440000001E-3</v>
      </c>
      <c r="JM9" s="1">
        <f>Table156[[#This Row],[Total_Cost_MUSD]]*Table156[[#This Row],[prob10-failure_rating7]]/10</f>
        <v>1.7093048440000001E-3</v>
      </c>
      <c r="JN9" s="1">
        <f>Table156[[#This Row],[Total_Cost_MUSD]]*Table156[[#This Row],[prob10-failure_rating8]]/10</f>
        <v>8.5465242200000015E-5</v>
      </c>
      <c r="JO9" s="1">
        <f>Table156[[#This Row],[Total_Cost_MUSD]]*Table156[[#This Row],[prob10-failure_rating9]]/10</f>
        <v>1.7093048440000001E-5</v>
      </c>
      <c r="JP9" s="1">
        <f>Table156[[#This Row],[FailureCost_Rating1]]</f>
        <v>42732.621100000004</v>
      </c>
      <c r="JQ9" s="1">
        <f>Table156[[#This Row],[FailureCost_Rating2]]</f>
        <v>42732.621100000004</v>
      </c>
      <c r="JR9" s="1">
        <f>(Table156[[#This Row],[failurecost500_rating2]]+Table156[[#This Row],[failurecost100_rating2]]+Table156[[#This Row],[failurecost50_rating2]]+Table156[[#This Row],[failurecost10_rating2]])*1000000</f>
        <v>42732.621100000004</v>
      </c>
      <c r="JS9" s="1">
        <f>(Table156[[#This Row],[failurecost500_rating3]]+Table156[[#This Row],[failurecost100_rating3]]+Table156[[#This Row],[failurecost50_rating3]]+Table156[[#This Row],[failurecost10_rating3]])*1000000</f>
        <v>9230.2461576000005</v>
      </c>
      <c r="JT9" s="1">
        <f>(Table156[[#This Row],[failurecost500_rating4]]+Table156[[#This Row],[failurecost100_rating4]]+Table156[[#This Row],[failurecost50_rating4]]+Table156[[#This Row],[failurecost10_rating4]])*1000000</f>
        <v>3239.1326793799999</v>
      </c>
      <c r="JU9" s="1">
        <f>(Table156[[#This Row],[failurecost500_rating5]]+Table156[[#This Row],[failurecost100_rating5]]+Table156[[#This Row],[failurecost50_rating5]]+Table156[[#This Row],[failurecost10_rating5]])*1000000</f>
        <v>181.7845701594</v>
      </c>
      <c r="JV9" s="1">
        <f>(Table156[[#This Row],[failurecost500_rating6]]+Table156[[#This Row],[failurecost100_rating6]]+Table156[[#This Row],[failurecost50_rating6]]+Table156[[#This Row],[failurecost10_rating6]])*1000000</f>
        <v>2045.1832458460001</v>
      </c>
      <c r="JW9" s="1">
        <f>(Table156[[#This Row],[failurecost500_rating7]]+Table156[[#This Row],[failurecost100_rating7]]+Table156[[#This Row],[failurecost50_rating7]]+Table156[[#This Row],[failurecost10_rating7]])*1000000</f>
        <v>2045.1832458460001</v>
      </c>
      <c r="JX9" s="1">
        <f>(Table156[[#This Row],[failurecost500_rating8]]+Table156[[#This Row],[failurecost100_rating8]]+Table156[[#This Row],[failurecost50_rating8]]+Table156[[#This Row],[failurecost10_rating8]])*1000000</f>
        <v>92.216996333800026</v>
      </c>
      <c r="JY9" s="1">
        <f>(Table156[[#This Row],[failurecost500_rating9]]+Table156[[#This Row],[failurecost100_rating9]]+Table156[[#This Row],[failurecost50_rating9]]+Table156[[#This Row],[failurecost10_rating9]])*1000000</f>
        <v>21.152647444500001</v>
      </c>
    </row>
    <row r="10" spans="1:285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Table156[[#This Row],[Depth10_Soil_vol]]*(9.353+9.027)+(Table156[[#This Row],[Depth10_Soil_vol]]/2.5)*20*1.053+(PI()*Table156[[#This Row],[Depth10_Scour]])*Table156[[#This Row],[DECK_WIDTH_MT_052]]*1.062</f>
        <v>2767.3671308174216</v>
      </c>
      <c r="AR10" s="1">
        <f>Table156[[#This Row],[Depth50_Soil_vol]]*(9.353+9.027)+(Table156[[#This Row],[Depth50_Soil_vol]]/2.5)*20*1.053+(PI()*Table156[[#This Row],[Depth50_Scour]])*Table156[[#This Row],[DECK_WIDTH_MT_052]]*1.062</f>
        <v>2942.0444801705157</v>
      </c>
      <c r="AS10" s="1">
        <f>Table156[[#This Row],[Depth100_Soil_vol]]*(9.353+9.027)+(Table156[[#This Row],[Depth100_Soil_vol]]/2.5)*20*1.053+(PI()*Table156[[#This Row],[Depth100_Scour]])*Table156[[#This Row],[DECK_WIDTH_MT_052]]*1.062</f>
        <v>3019.9468768096358</v>
      </c>
      <c r="AT10" s="1">
        <f>Table156[[#This Row],[Depth500_Soil_vol]]*(9.353+9.027)+(Table156[[#This Row],[Depth500_Soil_vol]]/2.5)*20*1.053+(PI()*Table156[[#This Row],[Depth500_Scour]])*Table156[[#This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10" s="1">
        <v>17.884614809999999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v>5961.53827</v>
      </c>
      <c r="GM10" s="1">
        <v>5365.3844429999999</v>
      </c>
      <c r="GN10" s="1">
        <v>4769.2306159999998</v>
      </c>
      <c r="GO10" s="1">
        <v>3576.9229620000001</v>
      </c>
      <c r="GP10" s="1">
        <v>2384.6153079999999</v>
      </c>
      <c r="GQ10" s="1">
        <v>1192.307654</v>
      </c>
      <c r="GR10" s="1">
        <v>596.15382699999998</v>
      </c>
      <c r="GS10" s="1">
        <v>0</v>
      </c>
      <c r="GT10" s="1">
        <v>0</v>
      </c>
      <c r="GU10" s="1">
        <v>0</v>
      </c>
      <c r="GV10" s="1">
        <f t="shared" si="0"/>
        <v>2.5000000000000001E-2</v>
      </c>
      <c r="GW10" s="1">
        <v>0.01</v>
      </c>
      <c r="GX10" s="1">
        <v>2.5000000000000001E-3</v>
      </c>
      <c r="GY10" s="1">
        <v>4.0000000000000002E-4</v>
      </c>
      <c r="GZ10" s="1">
        <v>6.9999999999999999E-6</v>
      </c>
      <c r="HA10" s="1">
        <v>1.8000000000000001E-4</v>
      </c>
      <c r="HB10" s="1">
        <v>1.8000000000000001E-4</v>
      </c>
      <c r="HC10" s="1">
        <v>3.9999999999999998E-6</v>
      </c>
      <c r="HD10" s="1">
        <v>2.5000000000000002E-6</v>
      </c>
      <c r="HE10" s="1">
        <f t="shared" si="1"/>
        <v>1.2500000000000001E-2</v>
      </c>
      <c r="HF10" s="1">
        <v>6.0000000000000001E-3</v>
      </c>
      <c r="HG10" s="1">
        <v>2.5000000000000001E-3</v>
      </c>
      <c r="HH10" s="1">
        <v>5.0000000000000001E-4</v>
      </c>
      <c r="HI10" s="1">
        <v>7.9999999999999996E-6</v>
      </c>
      <c r="HJ10" s="1">
        <v>2.5000000000000001E-4</v>
      </c>
      <c r="HK10" s="1">
        <v>2.5000000000000001E-4</v>
      </c>
      <c r="HL10" s="1">
        <v>5.0000000000000004E-6</v>
      </c>
      <c r="HM10" s="1">
        <v>3.0000000000000001E-6</v>
      </c>
      <c r="HN10" s="1">
        <v>0.01</v>
      </c>
      <c r="HO10" s="1">
        <v>6.0000000000000001E-3</v>
      </c>
      <c r="HP10" s="1">
        <v>1.2999999999999999E-3</v>
      </c>
      <c r="HQ10" s="1">
        <v>5.0000000000000001E-4</v>
      </c>
      <c r="HR10" s="1">
        <v>7.9999999999999996E-6</v>
      </c>
      <c r="HS10" s="1">
        <v>2.5000000000000001E-4</v>
      </c>
      <c r="HT10" s="1">
        <v>2.5000000000000001E-4</v>
      </c>
      <c r="HU10" s="1">
        <v>5.0000000000000004E-6</v>
      </c>
      <c r="HV10" s="1">
        <v>3.0000000000000001E-6</v>
      </c>
      <c r="HW10" s="1">
        <v>0.01</v>
      </c>
      <c r="HX10" s="1">
        <v>8.0000000000000002E-3</v>
      </c>
      <c r="HY10" s="1">
        <v>1.6000000000000001E-3</v>
      </c>
      <c r="HZ10" s="1">
        <v>5.9999999999999995E-4</v>
      </c>
      <c r="IA10" s="1">
        <v>4.0000000000000003E-5</v>
      </c>
      <c r="IB10" s="1">
        <v>4.0000000000000002E-4</v>
      </c>
      <c r="IC10" s="1">
        <v>4.0000000000000002E-4</v>
      </c>
      <c r="ID10" s="1">
        <v>2.0000000000000002E-5</v>
      </c>
      <c r="IE10" s="1">
        <v>3.9999999999999998E-6</v>
      </c>
      <c r="IF10" s="1">
        <f>Table156[[#This Row],[Total_Cost_MUSD]]*Table156[[#This Row],[prob500-failure_rating1]]/500</f>
        <v>8.9423074049999995E-4</v>
      </c>
      <c r="IG10" s="1">
        <f>Table156[[#This Row],[Total_Cost_MUSD]]*Table156[[#This Row],[prob500-failure_rating2]]/500</f>
        <v>3.5769229619999997E-4</v>
      </c>
      <c r="IH10" s="1">
        <f>Table156[[#This Row],[Total_Cost_MUSD]]*Table156[[#This Row],[prob500-failure_rating3]]/500</f>
        <v>8.9423074049999992E-5</v>
      </c>
      <c r="II10" s="1">
        <f>Table156[[#This Row],[Total_Cost_MUSD]]*Table156[[#This Row],[prob500-failure_rating4]]/500</f>
        <v>1.4307691847999999E-5</v>
      </c>
      <c r="IJ10" s="1">
        <f>Table156[[#This Row],[Total_Cost_MUSD]]*Table156[[#This Row],[prob500-failure_rating5]]/500</f>
        <v>2.5038460734000001E-7</v>
      </c>
      <c r="IK10" s="1">
        <f>Table156[[#This Row],[Total_Cost_MUSD]]*Table156[[#This Row],[prob500-failure_rating6]]/500</f>
        <v>6.4384613315999999E-6</v>
      </c>
      <c r="IL10" s="1">
        <f>Table156[[#This Row],[Total_Cost_MUSD]]*Table156[[#This Row],[prob500-failure_rating7]]/500</f>
        <v>6.4384613315999999E-6</v>
      </c>
      <c r="IM10" s="1">
        <f>Table156[[#This Row],[Total_Cost_MUSD]]*Table156[[#This Row],[prob500-failure_rating8]]/500</f>
        <v>1.4307691847999999E-7</v>
      </c>
      <c r="IN10" s="1">
        <f>Table156[[#This Row],[Total_Cost_MUSD]]*Table156[[#This Row],[prob500-failure_rating9]]/500</f>
        <v>8.9423074050000007E-8</v>
      </c>
      <c r="IO10" s="1">
        <f>Table156[[#This Row],[Total_Cost_MUSD]]*Table156[[#This Row],[prob100-failure_rating1]]/100</f>
        <v>2.2355768512499997E-3</v>
      </c>
      <c r="IP10" s="1">
        <f>Table156[[#This Row],[Total_Cost_MUSD]]*Table156[[#This Row],[prob100-failure_rating2]]/100</f>
        <v>1.0730768886000001E-3</v>
      </c>
      <c r="IQ10" s="1">
        <f>Table156[[#This Row],[Total_Cost_MUSD]]*Table156[[#This Row],[prob100-failure_rating3]]/100</f>
        <v>4.4711537024999997E-4</v>
      </c>
      <c r="IR10" s="1">
        <f>Table156[[#This Row],[Total_Cost_MUSD]]*Table156[[#This Row],[prob100-failure_rating4]]/100</f>
        <v>8.9423074049999992E-5</v>
      </c>
      <c r="IS10" s="1">
        <f>Table156[[#This Row],[Total_Cost_MUSD]]*Table156[[#This Row],[prob100-failure_rating5]]/100</f>
        <v>1.4307691847999999E-6</v>
      </c>
      <c r="IT10" s="1">
        <f>Table156[[#This Row],[Total_Cost_MUSD]]*Table156[[#This Row],[prob100-failure_rating6]]/100</f>
        <v>4.4711537024999996E-5</v>
      </c>
      <c r="IU10" s="1">
        <f>Table156[[#This Row],[Total_Cost_MUSD]]*Table156[[#This Row],[prob100-failure_rating7]]/100</f>
        <v>4.4711537024999996E-5</v>
      </c>
      <c r="IV10" s="1">
        <f>Table156[[#This Row],[Total_Cost_MUSD]]*Table156[[#This Row],[prob100-failure_rating8]]/100</f>
        <v>8.9423074050000002E-7</v>
      </c>
      <c r="IW10" s="1">
        <f>Table156[[#This Row],[Total_Cost_MUSD]]*Table156[[#This Row],[prob100-failure_rating9]]/100</f>
        <v>5.3653844429999999E-7</v>
      </c>
      <c r="IX10" s="1">
        <f>Table156[[#This Row],[Total_Cost_MUSD]]*Table156[[#This Row],[prob50-failure_rating1]]/50</f>
        <v>3.5769229619999998E-3</v>
      </c>
      <c r="IY10" s="1">
        <f>Table156[[#This Row],[Total_Cost_MUSD]]*Table156[[#This Row],[prob50-failure_rating2]]/50</f>
        <v>2.1461537772000001E-3</v>
      </c>
      <c r="IZ10" s="1">
        <f>Table156[[#This Row],[Total_Cost_MUSD]]*Table156[[#This Row],[prob50-failure_rating3]]/50</f>
        <v>4.6499998505999994E-4</v>
      </c>
      <c r="JA10" s="1">
        <f>Table156[[#This Row],[Total_Cost_MUSD]]*Table156[[#This Row],[prob50-failure_rating4]]/50</f>
        <v>1.7884614809999998E-4</v>
      </c>
      <c r="JB10" s="1">
        <f>Table156[[#This Row],[Total_Cost_MUSD]]*Table156[[#This Row],[prob50-failure_rating5]]/50</f>
        <v>2.8615383695999998E-6</v>
      </c>
      <c r="JC10" s="1">
        <f>Table156[[#This Row],[Total_Cost_MUSD]]*Table156[[#This Row],[prob50-failure_rating6]]/50</f>
        <v>8.9423074049999992E-5</v>
      </c>
      <c r="JD10" s="1">
        <f>Table156[[#This Row],[Total_Cost_MUSD]]*Table156[[#This Row],[prob50-failure_rating7]]/50</f>
        <v>8.9423074049999992E-5</v>
      </c>
      <c r="JE10" s="1">
        <f>Table156[[#This Row],[Total_Cost_MUSD]]*Table156[[#This Row],[prob50-failure_rating8]]/50</f>
        <v>1.788461481E-6</v>
      </c>
      <c r="JF10" s="1">
        <f>Table156[[#This Row],[Total_Cost_MUSD]]*Table156[[#This Row],[prob50-failure_rating9]]/50</f>
        <v>1.0730768886E-6</v>
      </c>
      <c r="JG10" s="1">
        <f>Table156[[#This Row],[Total_Cost_MUSD]]*Table156[[#This Row],[prob10-failure_rating1]]/10</f>
        <v>1.7884614809999998E-2</v>
      </c>
      <c r="JH10" s="1">
        <f>Table156[[#This Row],[Total_Cost_MUSD]]*Table156[[#This Row],[prob10-failure_rating2]]/10</f>
        <v>1.4307691847999997E-2</v>
      </c>
      <c r="JI10" s="1">
        <f>Table156[[#This Row],[Total_Cost_MUSD]]*Table156[[#This Row],[prob10-failure_rating3]]/10</f>
        <v>2.8615383695999998E-3</v>
      </c>
      <c r="JJ10" s="1">
        <f>Table156[[#This Row],[Total_Cost_MUSD]]*Table156[[#This Row],[prob10-failure_rating4]]/10</f>
        <v>1.0730768885999999E-3</v>
      </c>
      <c r="JK10" s="1">
        <f>Table156[[#This Row],[Total_Cost_MUSD]]*Table156[[#This Row],[prob10-failure_rating5]]/10</f>
        <v>7.153845924000001E-5</v>
      </c>
      <c r="JL10" s="1">
        <f>Table156[[#This Row],[Total_Cost_MUSD]]*Table156[[#This Row],[prob10-failure_rating6]]/10</f>
        <v>7.1538459239999994E-4</v>
      </c>
      <c r="JM10" s="1">
        <f>Table156[[#This Row],[Total_Cost_MUSD]]*Table156[[#This Row],[prob10-failure_rating7]]/10</f>
        <v>7.1538459239999994E-4</v>
      </c>
      <c r="JN10" s="1">
        <f>Table156[[#This Row],[Total_Cost_MUSD]]*Table156[[#This Row],[prob10-failure_rating8]]/10</f>
        <v>3.5769229620000005E-5</v>
      </c>
      <c r="JO10" s="1">
        <f>Table156[[#This Row],[Total_Cost_MUSD]]*Table156[[#This Row],[prob10-failure_rating9]]/10</f>
        <v>7.1538459239999993E-6</v>
      </c>
      <c r="JP10" s="1">
        <f>Table156[[#This Row],[FailureCost_Rating1]]</f>
        <v>17884.614809999999</v>
      </c>
      <c r="JQ10" s="1">
        <f>Table156[[#This Row],[FailureCost_Rating2]]</f>
        <v>17884.614809999999</v>
      </c>
      <c r="JR10" s="1">
        <f>(Table156[[#This Row],[failurecost500_rating2]]+Table156[[#This Row],[failurecost100_rating2]]+Table156[[#This Row],[failurecost50_rating2]]+Table156[[#This Row],[failurecost10_rating2]])*1000000</f>
        <v>17884.614809999999</v>
      </c>
      <c r="JS10" s="1">
        <f>(Table156[[#This Row],[failurecost500_rating3]]+Table156[[#This Row],[failurecost100_rating3]]+Table156[[#This Row],[failurecost50_rating3]]+Table156[[#This Row],[failurecost10_rating3]])*1000000</f>
        <v>3863.0767989599999</v>
      </c>
      <c r="JT10" s="1">
        <f>(Table156[[#This Row],[failurecost500_rating4]]+Table156[[#This Row],[failurecost100_rating4]]+Table156[[#This Row],[failurecost50_rating4]]+Table156[[#This Row],[failurecost10_rating4]])*1000000</f>
        <v>1355.6538025979999</v>
      </c>
      <c r="JU10" s="1">
        <f>(Table156[[#This Row],[failurecost500_rating5]]+Table156[[#This Row],[failurecost100_rating5]]+Table156[[#This Row],[failurecost50_rating5]]+Table156[[#This Row],[failurecost10_rating5]])*1000000</f>
        <v>76.081151401740016</v>
      </c>
      <c r="JV10" s="1">
        <f>(Table156[[#This Row],[failurecost500_rating6]]+Table156[[#This Row],[failurecost100_rating6]]+Table156[[#This Row],[failurecost50_rating6]]+Table156[[#This Row],[failurecost10_rating6]])*1000000</f>
        <v>855.95766480659995</v>
      </c>
      <c r="JW10" s="1">
        <f>(Table156[[#This Row],[failurecost500_rating7]]+Table156[[#This Row],[failurecost100_rating7]]+Table156[[#This Row],[failurecost50_rating7]]+Table156[[#This Row],[failurecost10_rating7]])*1000000</f>
        <v>855.95766480659995</v>
      </c>
      <c r="JX10" s="1">
        <f>(Table156[[#This Row],[failurecost500_rating8]]+Table156[[#This Row],[failurecost100_rating8]]+Table156[[#This Row],[failurecost50_rating8]]+Table156[[#This Row],[failurecost10_rating8]])*1000000</f>
        <v>38.594998759980001</v>
      </c>
      <c r="JY10" s="1">
        <f>(Table156[[#This Row],[failurecost500_rating9]]+Table156[[#This Row],[failurecost100_rating9]]+Table156[[#This Row],[failurecost50_rating9]]+Table156[[#This Row],[failurecost10_rating9]])*1000000</f>
        <v>8.8528843309499994</v>
      </c>
    </row>
    <row r="11" spans="1:285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Table156[[#This Row],[Depth10_Soil_vol]]*(9.353+9.027)+(Table156[[#This Row],[Depth10_Soil_vol]]/2.5)*20*1.053+(PI()*Table156[[#This Row],[Depth10_Scour]])*Table156[[#This Row],[DECK_WIDTH_MT_052]]*1.062</f>
        <v>12912.070383440046</v>
      </c>
      <c r="AR11" s="1">
        <f>Table156[[#This Row],[Depth50_Soil_vol]]*(9.353+9.027)+(Table156[[#This Row],[Depth50_Soil_vol]]/2.5)*20*1.053+(PI()*Table156[[#This Row],[Depth50_Scour]])*Table156[[#This Row],[DECK_WIDTH_MT_052]]*1.062</f>
        <v>13809.829327894035</v>
      </c>
      <c r="AS11" s="1">
        <f>Table156[[#This Row],[Depth100_Soil_vol]]*(9.353+9.027)+(Table156[[#This Row],[Depth100_Soil_vol]]/2.5)*20*1.053+(PI()*Table156[[#This Row],[Depth100_Scour]])*Table156[[#This Row],[DECK_WIDTH_MT_052]]*1.062</f>
        <v>14209.20261771438</v>
      </c>
      <c r="AT11" s="1">
        <f>Table156[[#This Row],[Depth500_Soil_vol]]*(9.353+9.027)+(Table156[[#This Row],[Depth500_Soil_vol]]/2.5)*20*1.053+(PI()*Table156[[#This Row],[Depth500_Scour]])*Table156[[#This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11" s="1">
        <v>61.928876150000001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v>20642.958716666668</v>
      </c>
      <c r="GM11" s="1">
        <v>18578.662845000003</v>
      </c>
      <c r="GN11" s="1">
        <v>16514.366973333334</v>
      </c>
      <c r="GO11" s="1">
        <v>12385.775229999999</v>
      </c>
      <c r="GP11" s="1">
        <v>8257.1834866666668</v>
      </c>
      <c r="GQ11" s="1">
        <v>4128.5917433333334</v>
      </c>
      <c r="GR11" s="1">
        <v>2064.2958716666667</v>
      </c>
      <c r="GS11" s="1">
        <v>0</v>
      </c>
      <c r="GT11" s="1">
        <v>0</v>
      </c>
      <c r="GU11" s="1">
        <v>0</v>
      </c>
      <c r="GV11" s="1">
        <f t="shared" si="0"/>
        <v>2.5000000000000001E-2</v>
      </c>
      <c r="GW11" s="1">
        <v>0.01</v>
      </c>
      <c r="GX11" s="1">
        <v>2.5000000000000001E-3</v>
      </c>
      <c r="GY11" s="1">
        <v>4.0000000000000002E-4</v>
      </c>
      <c r="GZ11" s="1">
        <v>6.9999999999999999E-6</v>
      </c>
      <c r="HA11" s="1">
        <v>1.8000000000000001E-4</v>
      </c>
      <c r="HB11" s="1">
        <v>1.8000000000000001E-4</v>
      </c>
      <c r="HC11" s="1">
        <v>3.9999999999999998E-6</v>
      </c>
      <c r="HD11" s="1">
        <v>2.5000000000000002E-6</v>
      </c>
      <c r="HE11" s="1">
        <f t="shared" si="1"/>
        <v>1.2500000000000001E-2</v>
      </c>
      <c r="HF11" s="1">
        <v>6.0000000000000001E-3</v>
      </c>
      <c r="HG11" s="1">
        <v>2.5000000000000001E-3</v>
      </c>
      <c r="HH11" s="1">
        <v>5.0000000000000001E-4</v>
      </c>
      <c r="HI11" s="1">
        <v>7.9999999999999996E-6</v>
      </c>
      <c r="HJ11" s="1">
        <v>2.5000000000000001E-4</v>
      </c>
      <c r="HK11" s="1">
        <v>2.5000000000000001E-4</v>
      </c>
      <c r="HL11" s="1">
        <v>5.0000000000000004E-6</v>
      </c>
      <c r="HM11" s="1">
        <v>3.0000000000000001E-6</v>
      </c>
      <c r="HN11" s="1">
        <v>0.01</v>
      </c>
      <c r="HO11" s="1">
        <v>6.0000000000000001E-3</v>
      </c>
      <c r="HP11" s="1">
        <v>1.2999999999999999E-3</v>
      </c>
      <c r="HQ11" s="1">
        <v>5.0000000000000001E-4</v>
      </c>
      <c r="HR11" s="1">
        <v>7.9999999999999996E-6</v>
      </c>
      <c r="HS11" s="1">
        <v>2.5000000000000001E-4</v>
      </c>
      <c r="HT11" s="1">
        <v>2.5000000000000001E-4</v>
      </c>
      <c r="HU11" s="1">
        <v>5.0000000000000004E-6</v>
      </c>
      <c r="HV11" s="1">
        <v>3.0000000000000001E-6</v>
      </c>
      <c r="HW11" s="1">
        <v>0.01</v>
      </c>
      <c r="HX11" s="1">
        <v>8.0000000000000002E-3</v>
      </c>
      <c r="HY11" s="1">
        <v>1.6000000000000001E-3</v>
      </c>
      <c r="HZ11" s="1">
        <v>5.9999999999999995E-4</v>
      </c>
      <c r="IA11" s="1">
        <v>4.0000000000000003E-5</v>
      </c>
      <c r="IB11" s="1">
        <v>4.0000000000000002E-4</v>
      </c>
      <c r="IC11" s="1">
        <v>4.0000000000000002E-4</v>
      </c>
      <c r="ID11" s="1">
        <v>2.0000000000000002E-5</v>
      </c>
      <c r="IE11" s="1">
        <v>3.9999999999999998E-6</v>
      </c>
      <c r="IF11" s="1">
        <f>Table156[[#This Row],[Total_Cost_MUSD]]*Table156[[#This Row],[prob500-failure_rating1]]/500</f>
        <v>3.0964438075E-3</v>
      </c>
      <c r="IG11" s="1">
        <f>Table156[[#This Row],[Total_Cost_MUSD]]*Table156[[#This Row],[prob500-failure_rating2]]/500</f>
        <v>1.2385775230000001E-3</v>
      </c>
      <c r="IH11" s="1">
        <f>Table156[[#This Row],[Total_Cost_MUSD]]*Table156[[#This Row],[prob500-failure_rating3]]/500</f>
        <v>3.0964438075000003E-4</v>
      </c>
      <c r="II11" s="1">
        <f>Table156[[#This Row],[Total_Cost_MUSD]]*Table156[[#This Row],[prob500-failure_rating4]]/500</f>
        <v>4.9543100920000008E-5</v>
      </c>
      <c r="IJ11" s="1">
        <f>Table156[[#This Row],[Total_Cost_MUSD]]*Table156[[#This Row],[prob500-failure_rating5]]/500</f>
        <v>8.6700426610000001E-7</v>
      </c>
      <c r="IK11" s="1">
        <f>Table156[[#This Row],[Total_Cost_MUSD]]*Table156[[#This Row],[prob500-failure_rating6]]/500</f>
        <v>2.2294395414000002E-5</v>
      </c>
      <c r="IL11" s="1">
        <f>Table156[[#This Row],[Total_Cost_MUSD]]*Table156[[#This Row],[prob500-failure_rating7]]/500</f>
        <v>2.2294395414000002E-5</v>
      </c>
      <c r="IM11" s="1">
        <f>Table156[[#This Row],[Total_Cost_MUSD]]*Table156[[#This Row],[prob500-failure_rating8]]/500</f>
        <v>4.9543100920000003E-7</v>
      </c>
      <c r="IN11" s="1">
        <f>Table156[[#This Row],[Total_Cost_MUSD]]*Table156[[#This Row],[prob500-failure_rating9]]/500</f>
        <v>3.0964438075000005E-7</v>
      </c>
      <c r="IO11" s="1">
        <f>Table156[[#This Row],[Total_Cost_MUSD]]*Table156[[#This Row],[prob100-failure_rating1]]/100</f>
        <v>7.7411095187499999E-3</v>
      </c>
      <c r="IP11" s="1">
        <f>Table156[[#This Row],[Total_Cost_MUSD]]*Table156[[#This Row],[prob100-failure_rating2]]/100</f>
        <v>3.7157325690000006E-3</v>
      </c>
      <c r="IQ11" s="1">
        <f>Table156[[#This Row],[Total_Cost_MUSD]]*Table156[[#This Row],[prob100-failure_rating3]]/100</f>
        <v>1.54822190375E-3</v>
      </c>
      <c r="IR11" s="1">
        <f>Table156[[#This Row],[Total_Cost_MUSD]]*Table156[[#This Row],[prob100-failure_rating4]]/100</f>
        <v>3.0964438074999997E-4</v>
      </c>
      <c r="IS11" s="1">
        <f>Table156[[#This Row],[Total_Cost_MUSD]]*Table156[[#This Row],[prob100-failure_rating5]]/100</f>
        <v>4.9543100919999999E-6</v>
      </c>
      <c r="IT11" s="1">
        <f>Table156[[#This Row],[Total_Cost_MUSD]]*Table156[[#This Row],[prob100-failure_rating6]]/100</f>
        <v>1.5482219037499999E-4</v>
      </c>
      <c r="IU11" s="1">
        <f>Table156[[#This Row],[Total_Cost_MUSD]]*Table156[[#This Row],[prob100-failure_rating7]]/100</f>
        <v>1.5482219037499999E-4</v>
      </c>
      <c r="IV11" s="1">
        <f>Table156[[#This Row],[Total_Cost_MUSD]]*Table156[[#This Row],[prob100-failure_rating8]]/100</f>
        <v>3.0964438075000005E-6</v>
      </c>
      <c r="IW11" s="1">
        <f>Table156[[#This Row],[Total_Cost_MUSD]]*Table156[[#This Row],[prob100-failure_rating9]]/100</f>
        <v>1.8578662845000001E-6</v>
      </c>
      <c r="IX11" s="1">
        <f>Table156[[#This Row],[Total_Cost_MUSD]]*Table156[[#This Row],[prob50-failure_rating1]]/50</f>
        <v>1.238577523E-2</v>
      </c>
      <c r="IY11" s="1">
        <f>Table156[[#This Row],[Total_Cost_MUSD]]*Table156[[#This Row],[prob50-failure_rating2]]/50</f>
        <v>7.4314651380000011E-3</v>
      </c>
      <c r="IZ11" s="1">
        <f>Table156[[#This Row],[Total_Cost_MUSD]]*Table156[[#This Row],[prob50-failure_rating3]]/50</f>
        <v>1.6101507799000001E-3</v>
      </c>
      <c r="JA11" s="1">
        <f>Table156[[#This Row],[Total_Cost_MUSD]]*Table156[[#This Row],[prob50-failure_rating4]]/50</f>
        <v>6.1928876149999995E-4</v>
      </c>
      <c r="JB11" s="1">
        <f>Table156[[#This Row],[Total_Cost_MUSD]]*Table156[[#This Row],[prob50-failure_rating5]]/50</f>
        <v>9.9086201839999998E-6</v>
      </c>
      <c r="JC11" s="1">
        <f>Table156[[#This Row],[Total_Cost_MUSD]]*Table156[[#This Row],[prob50-failure_rating6]]/50</f>
        <v>3.0964438074999997E-4</v>
      </c>
      <c r="JD11" s="1">
        <f>Table156[[#This Row],[Total_Cost_MUSD]]*Table156[[#This Row],[prob50-failure_rating7]]/50</f>
        <v>3.0964438074999997E-4</v>
      </c>
      <c r="JE11" s="1">
        <f>Table156[[#This Row],[Total_Cost_MUSD]]*Table156[[#This Row],[prob50-failure_rating8]]/50</f>
        <v>6.192887615000001E-6</v>
      </c>
      <c r="JF11" s="1">
        <f>Table156[[#This Row],[Total_Cost_MUSD]]*Table156[[#This Row],[prob50-failure_rating9]]/50</f>
        <v>3.7157325690000001E-6</v>
      </c>
      <c r="JG11" s="1">
        <f>Table156[[#This Row],[Total_Cost_MUSD]]*Table156[[#This Row],[prob10-failure_rating1]]/10</f>
        <v>6.1928876149999999E-2</v>
      </c>
      <c r="JH11" s="1">
        <f>Table156[[#This Row],[Total_Cost_MUSD]]*Table156[[#This Row],[prob10-failure_rating2]]/10</f>
        <v>4.9543100919999999E-2</v>
      </c>
      <c r="JI11" s="1">
        <f>Table156[[#This Row],[Total_Cost_MUSD]]*Table156[[#This Row],[prob10-failure_rating3]]/10</f>
        <v>9.9086201840000009E-3</v>
      </c>
      <c r="JJ11" s="1">
        <f>Table156[[#This Row],[Total_Cost_MUSD]]*Table156[[#This Row],[prob10-failure_rating4]]/10</f>
        <v>3.7157325690000001E-3</v>
      </c>
      <c r="JK11" s="1">
        <f>Table156[[#This Row],[Total_Cost_MUSD]]*Table156[[#This Row],[prob10-failure_rating5]]/10</f>
        <v>2.4771550460000004E-4</v>
      </c>
      <c r="JL11" s="1">
        <f>Table156[[#This Row],[Total_Cost_MUSD]]*Table156[[#This Row],[prob10-failure_rating6]]/10</f>
        <v>2.4771550460000002E-3</v>
      </c>
      <c r="JM11" s="1">
        <f>Table156[[#This Row],[Total_Cost_MUSD]]*Table156[[#This Row],[prob10-failure_rating7]]/10</f>
        <v>2.4771550460000002E-3</v>
      </c>
      <c r="JN11" s="1">
        <f>Table156[[#This Row],[Total_Cost_MUSD]]*Table156[[#This Row],[prob10-failure_rating8]]/10</f>
        <v>1.2385775230000002E-4</v>
      </c>
      <c r="JO11" s="1">
        <f>Table156[[#This Row],[Total_Cost_MUSD]]*Table156[[#This Row],[prob10-failure_rating9]]/10</f>
        <v>2.477155046E-5</v>
      </c>
      <c r="JP11" s="1">
        <f>Table156[[#This Row],[FailureCost_Rating1]]</f>
        <v>61928.876149999996</v>
      </c>
      <c r="JQ11" s="1">
        <f>Table156[[#This Row],[FailureCost_Rating2]]</f>
        <v>61928.876149999996</v>
      </c>
      <c r="JR11" s="1">
        <f>(Table156[[#This Row],[failurecost500_rating2]]+Table156[[#This Row],[failurecost100_rating2]]+Table156[[#This Row],[failurecost50_rating2]]+Table156[[#This Row],[failurecost10_rating2]])*1000000</f>
        <v>61928.876149999996</v>
      </c>
      <c r="JS11" s="1">
        <f>(Table156[[#This Row],[failurecost500_rating3]]+Table156[[#This Row],[failurecost100_rating3]]+Table156[[#This Row],[failurecost50_rating3]]+Table156[[#This Row],[failurecost10_rating3]])*1000000</f>
        <v>13376.637248400002</v>
      </c>
      <c r="JT11" s="1">
        <f>(Table156[[#This Row],[failurecost500_rating4]]+Table156[[#This Row],[failurecost100_rating4]]+Table156[[#This Row],[failurecost50_rating4]]+Table156[[#This Row],[failurecost10_rating4]])*1000000</f>
        <v>4694.2088121699999</v>
      </c>
      <c r="JU11" s="1">
        <f>(Table156[[#This Row],[failurecost500_rating5]]+Table156[[#This Row],[failurecost100_rating5]]+Table156[[#This Row],[failurecost50_rating5]]+Table156[[#This Row],[failurecost10_rating5]])*1000000</f>
        <v>263.44543914210004</v>
      </c>
      <c r="JV11" s="1">
        <f>(Table156[[#This Row],[failurecost500_rating6]]+Table156[[#This Row],[failurecost100_rating6]]+Table156[[#This Row],[failurecost50_rating6]]+Table156[[#This Row],[failurecost10_rating6]])*1000000</f>
        <v>2963.9160125390003</v>
      </c>
      <c r="JW11" s="1">
        <f>(Table156[[#This Row],[failurecost500_rating7]]+Table156[[#This Row],[failurecost100_rating7]]+Table156[[#This Row],[failurecost50_rating7]]+Table156[[#This Row],[failurecost10_rating7]])*1000000</f>
        <v>2963.9160125390003</v>
      </c>
      <c r="JX11" s="1">
        <f>(Table156[[#This Row],[failurecost500_rating8]]+Table156[[#This Row],[failurecost100_rating8]]+Table156[[#This Row],[failurecost50_rating8]]+Table156[[#This Row],[failurecost10_rating8]])*1000000</f>
        <v>133.64251473170003</v>
      </c>
      <c r="JY11" s="1">
        <f>(Table156[[#This Row],[failurecost500_rating9]]+Table156[[#This Row],[failurecost100_rating9]]+Table156[[#This Row],[failurecost50_rating9]]+Table156[[#This Row],[failurecost10_rating9]])*1000000</f>
        <v>30.654793694249999</v>
      </c>
    </row>
    <row r="12" spans="1:285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Table156[[#This Row],[Depth10_Soil_vol]]*(9.353+9.027)+(Table156[[#This Row],[Depth10_Soil_vol]]/2.5)*20*1.053+(PI()*Table156[[#This Row],[Depth10_Scour]])*Table156[[#This Row],[DECK_WIDTH_MT_052]]*1.062</f>
        <v>6737.4062355001524</v>
      </c>
      <c r="AR12" s="1">
        <f>Table156[[#This Row],[Depth50_Soil_vol]]*(9.353+9.027)+(Table156[[#This Row],[Depth50_Soil_vol]]/2.5)*20*1.053+(PI()*Table156[[#This Row],[Depth50_Scour]])*Table156[[#This Row],[DECK_WIDTH_MT_052]]*1.062</f>
        <v>7415.8873465101096</v>
      </c>
      <c r="AS12" s="1">
        <f>Table156[[#This Row],[Depth100_Soil_vol]]*(9.353+9.027)+(Table156[[#This Row],[Depth100_Soil_vol]]/2.5)*20*1.053+(PI()*Table156[[#This Row],[Depth100_Scour]])*Table156[[#This Row],[DECK_WIDTH_MT_052]]*1.062</f>
        <v>7705.9386938101106</v>
      </c>
      <c r="AT12" s="1">
        <f>Table156[[#This Row],[Depth500_Soil_vol]]*(9.353+9.027)+(Table156[[#This Row],[Depth500_Soil_vol]]/2.5)*20*1.053+(PI()*Table156[[#This Row],[Depth500_Scour]])*Table156[[#This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12" s="1">
        <v>12.298697430000001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v>4099.5658100000001</v>
      </c>
      <c r="GM12" s="1">
        <v>3689.6092290000001</v>
      </c>
      <c r="GN12" s="1">
        <v>3279.6526480000007</v>
      </c>
      <c r="GO12" s="1">
        <v>2459.7394859999999</v>
      </c>
      <c r="GP12" s="1">
        <v>1639.8263240000003</v>
      </c>
      <c r="GQ12" s="1">
        <v>819.91316200000017</v>
      </c>
      <c r="GR12" s="1">
        <v>409.95658100000009</v>
      </c>
      <c r="GS12" s="1">
        <v>0</v>
      </c>
      <c r="GT12" s="1">
        <v>0</v>
      </c>
      <c r="GU12" s="1">
        <v>0</v>
      </c>
      <c r="GV12" s="1">
        <f t="shared" si="0"/>
        <v>2.5000000000000001E-2</v>
      </c>
      <c r="GW12" s="1">
        <v>0.01</v>
      </c>
      <c r="GX12" s="1">
        <v>2.5000000000000001E-3</v>
      </c>
      <c r="GY12" s="1">
        <v>4.0000000000000002E-4</v>
      </c>
      <c r="GZ12" s="1">
        <v>6.9999999999999999E-6</v>
      </c>
      <c r="HA12" s="1">
        <v>1.8000000000000001E-4</v>
      </c>
      <c r="HB12" s="1">
        <v>1.8000000000000001E-4</v>
      </c>
      <c r="HC12" s="1">
        <v>3.9999999999999998E-6</v>
      </c>
      <c r="HD12" s="1">
        <v>2.5000000000000002E-6</v>
      </c>
      <c r="HE12" s="1">
        <f t="shared" si="1"/>
        <v>1.2500000000000001E-2</v>
      </c>
      <c r="HF12" s="1">
        <v>6.0000000000000001E-3</v>
      </c>
      <c r="HG12" s="1">
        <v>2.5000000000000001E-3</v>
      </c>
      <c r="HH12" s="1">
        <v>5.0000000000000001E-4</v>
      </c>
      <c r="HI12" s="1">
        <v>7.9999999999999996E-6</v>
      </c>
      <c r="HJ12" s="1">
        <v>2.5000000000000001E-4</v>
      </c>
      <c r="HK12" s="1">
        <v>2.5000000000000001E-4</v>
      </c>
      <c r="HL12" s="1">
        <v>5.0000000000000004E-6</v>
      </c>
      <c r="HM12" s="1">
        <v>3.0000000000000001E-6</v>
      </c>
      <c r="HN12" s="1">
        <v>0.01</v>
      </c>
      <c r="HO12" s="1">
        <v>6.0000000000000001E-3</v>
      </c>
      <c r="HP12" s="1">
        <v>1.2999999999999999E-3</v>
      </c>
      <c r="HQ12" s="1">
        <v>5.0000000000000001E-4</v>
      </c>
      <c r="HR12" s="1">
        <v>7.9999999999999996E-6</v>
      </c>
      <c r="HS12" s="1">
        <v>2.5000000000000001E-4</v>
      </c>
      <c r="HT12" s="1">
        <v>2.5000000000000001E-4</v>
      </c>
      <c r="HU12" s="1">
        <v>5.0000000000000004E-6</v>
      </c>
      <c r="HV12" s="1">
        <v>3.0000000000000001E-6</v>
      </c>
      <c r="HW12" s="1">
        <v>0.01</v>
      </c>
      <c r="HX12" s="1">
        <v>8.0000000000000002E-3</v>
      </c>
      <c r="HY12" s="1">
        <v>1.6000000000000001E-3</v>
      </c>
      <c r="HZ12" s="1">
        <v>5.9999999999999995E-4</v>
      </c>
      <c r="IA12" s="1">
        <v>4.0000000000000003E-5</v>
      </c>
      <c r="IB12" s="1">
        <v>4.0000000000000002E-4</v>
      </c>
      <c r="IC12" s="1">
        <v>4.0000000000000002E-4</v>
      </c>
      <c r="ID12" s="1">
        <v>2.0000000000000002E-5</v>
      </c>
      <c r="IE12" s="1">
        <v>3.9999999999999998E-6</v>
      </c>
      <c r="IF12" s="1">
        <f>Table156[[#This Row],[Total_Cost_MUSD]]*Table156[[#This Row],[prob500-failure_rating1]]/500</f>
        <v>6.1493487150000002E-4</v>
      </c>
      <c r="IG12" s="1">
        <f>Table156[[#This Row],[Total_Cost_MUSD]]*Table156[[#This Row],[prob500-failure_rating2]]/500</f>
        <v>2.4597394860000001E-4</v>
      </c>
      <c r="IH12" s="1">
        <f>Table156[[#This Row],[Total_Cost_MUSD]]*Table156[[#This Row],[prob500-failure_rating3]]/500</f>
        <v>6.1493487150000002E-5</v>
      </c>
      <c r="II12" s="1">
        <f>Table156[[#This Row],[Total_Cost_MUSD]]*Table156[[#This Row],[prob500-failure_rating4]]/500</f>
        <v>9.8389579440000009E-6</v>
      </c>
      <c r="IJ12" s="1">
        <f>Table156[[#This Row],[Total_Cost_MUSD]]*Table156[[#This Row],[prob500-failure_rating5]]/500</f>
        <v>1.7218176402E-7</v>
      </c>
      <c r="IK12" s="1">
        <f>Table156[[#This Row],[Total_Cost_MUSD]]*Table156[[#This Row],[prob500-failure_rating6]]/500</f>
        <v>4.4275310748000008E-6</v>
      </c>
      <c r="IL12" s="1">
        <f>Table156[[#This Row],[Total_Cost_MUSD]]*Table156[[#This Row],[prob500-failure_rating7]]/500</f>
        <v>4.4275310748000008E-6</v>
      </c>
      <c r="IM12" s="1">
        <f>Table156[[#This Row],[Total_Cost_MUSD]]*Table156[[#This Row],[prob500-failure_rating8]]/500</f>
        <v>9.8389579440000004E-8</v>
      </c>
      <c r="IN12" s="1">
        <f>Table156[[#This Row],[Total_Cost_MUSD]]*Table156[[#This Row],[prob500-failure_rating9]]/500</f>
        <v>6.1493487150000006E-8</v>
      </c>
      <c r="IO12" s="1">
        <f>Table156[[#This Row],[Total_Cost_MUSD]]*Table156[[#This Row],[prob100-failure_rating1]]/100</f>
        <v>1.53733717875E-3</v>
      </c>
      <c r="IP12" s="1">
        <f>Table156[[#This Row],[Total_Cost_MUSD]]*Table156[[#This Row],[prob100-failure_rating2]]/100</f>
        <v>7.3792184580000002E-4</v>
      </c>
      <c r="IQ12" s="1">
        <f>Table156[[#This Row],[Total_Cost_MUSD]]*Table156[[#This Row],[prob100-failure_rating3]]/100</f>
        <v>3.0746743575000001E-4</v>
      </c>
      <c r="IR12" s="1">
        <f>Table156[[#This Row],[Total_Cost_MUSD]]*Table156[[#This Row],[prob100-failure_rating4]]/100</f>
        <v>6.1493487150000002E-5</v>
      </c>
      <c r="IS12" s="1">
        <f>Table156[[#This Row],[Total_Cost_MUSD]]*Table156[[#This Row],[prob100-failure_rating5]]/100</f>
        <v>9.8389579440000009E-7</v>
      </c>
      <c r="IT12" s="1">
        <f>Table156[[#This Row],[Total_Cost_MUSD]]*Table156[[#This Row],[prob100-failure_rating6]]/100</f>
        <v>3.0746743575000001E-5</v>
      </c>
      <c r="IU12" s="1">
        <f>Table156[[#This Row],[Total_Cost_MUSD]]*Table156[[#This Row],[prob100-failure_rating7]]/100</f>
        <v>3.0746743575000001E-5</v>
      </c>
      <c r="IV12" s="1">
        <f>Table156[[#This Row],[Total_Cost_MUSD]]*Table156[[#This Row],[prob100-failure_rating8]]/100</f>
        <v>6.1493487150000006E-7</v>
      </c>
      <c r="IW12" s="1">
        <f>Table156[[#This Row],[Total_Cost_MUSD]]*Table156[[#This Row],[prob100-failure_rating9]]/100</f>
        <v>3.6896092290000003E-7</v>
      </c>
      <c r="IX12" s="1">
        <f>Table156[[#This Row],[Total_Cost_MUSD]]*Table156[[#This Row],[prob50-failure_rating1]]/50</f>
        <v>2.4597394860000001E-3</v>
      </c>
      <c r="IY12" s="1">
        <f>Table156[[#This Row],[Total_Cost_MUSD]]*Table156[[#This Row],[prob50-failure_rating2]]/50</f>
        <v>1.4758436916E-3</v>
      </c>
      <c r="IZ12" s="1">
        <f>Table156[[#This Row],[Total_Cost_MUSD]]*Table156[[#This Row],[prob50-failure_rating3]]/50</f>
        <v>3.1976613318000004E-4</v>
      </c>
      <c r="JA12" s="1">
        <f>Table156[[#This Row],[Total_Cost_MUSD]]*Table156[[#This Row],[prob50-failure_rating4]]/50</f>
        <v>1.229869743E-4</v>
      </c>
      <c r="JB12" s="1">
        <f>Table156[[#This Row],[Total_Cost_MUSD]]*Table156[[#This Row],[prob50-failure_rating5]]/50</f>
        <v>1.9677915888000002E-6</v>
      </c>
      <c r="JC12" s="1">
        <f>Table156[[#This Row],[Total_Cost_MUSD]]*Table156[[#This Row],[prob50-failure_rating6]]/50</f>
        <v>6.1493487150000002E-5</v>
      </c>
      <c r="JD12" s="1">
        <f>Table156[[#This Row],[Total_Cost_MUSD]]*Table156[[#This Row],[prob50-failure_rating7]]/50</f>
        <v>6.1493487150000002E-5</v>
      </c>
      <c r="JE12" s="1">
        <f>Table156[[#This Row],[Total_Cost_MUSD]]*Table156[[#This Row],[prob50-failure_rating8]]/50</f>
        <v>1.2298697430000001E-6</v>
      </c>
      <c r="JF12" s="1">
        <f>Table156[[#This Row],[Total_Cost_MUSD]]*Table156[[#This Row],[prob50-failure_rating9]]/50</f>
        <v>7.3792184580000007E-7</v>
      </c>
      <c r="JG12" s="1">
        <f>Table156[[#This Row],[Total_Cost_MUSD]]*Table156[[#This Row],[prob10-failure_rating1]]/10</f>
        <v>1.2298697430000002E-2</v>
      </c>
      <c r="JH12" s="1">
        <f>Table156[[#This Row],[Total_Cost_MUSD]]*Table156[[#This Row],[prob10-failure_rating2]]/10</f>
        <v>9.838957944000002E-3</v>
      </c>
      <c r="JI12" s="1">
        <f>Table156[[#This Row],[Total_Cost_MUSD]]*Table156[[#This Row],[prob10-failure_rating3]]/10</f>
        <v>1.9677915888000001E-3</v>
      </c>
      <c r="JJ12" s="1">
        <f>Table156[[#This Row],[Total_Cost_MUSD]]*Table156[[#This Row],[prob10-failure_rating4]]/10</f>
        <v>7.3792184580000002E-4</v>
      </c>
      <c r="JK12" s="1">
        <f>Table156[[#This Row],[Total_Cost_MUSD]]*Table156[[#This Row],[prob10-failure_rating5]]/10</f>
        <v>4.9194789720000003E-5</v>
      </c>
      <c r="JL12" s="1">
        <f>Table156[[#This Row],[Total_Cost_MUSD]]*Table156[[#This Row],[prob10-failure_rating6]]/10</f>
        <v>4.9194789720000002E-4</v>
      </c>
      <c r="JM12" s="1">
        <f>Table156[[#This Row],[Total_Cost_MUSD]]*Table156[[#This Row],[prob10-failure_rating7]]/10</f>
        <v>4.9194789720000002E-4</v>
      </c>
      <c r="JN12" s="1">
        <f>Table156[[#This Row],[Total_Cost_MUSD]]*Table156[[#This Row],[prob10-failure_rating8]]/10</f>
        <v>2.4597394860000001E-5</v>
      </c>
      <c r="JO12" s="1">
        <f>Table156[[#This Row],[Total_Cost_MUSD]]*Table156[[#This Row],[prob10-failure_rating9]]/10</f>
        <v>4.9194789720000005E-6</v>
      </c>
      <c r="JP12" s="1">
        <f>Table156[[#This Row],[FailureCost_Rating1]]</f>
        <v>12298.697430000002</v>
      </c>
      <c r="JQ12" s="1">
        <f>Table156[[#This Row],[FailureCost_Rating2]]</f>
        <v>12298.697430000002</v>
      </c>
      <c r="JR12" s="1">
        <f>(Table156[[#This Row],[failurecost500_rating2]]+Table156[[#This Row],[failurecost100_rating2]]+Table156[[#This Row],[failurecost50_rating2]]+Table156[[#This Row],[failurecost10_rating2]])*1000000</f>
        <v>12298.697430000002</v>
      </c>
      <c r="JS12" s="1">
        <f>(Table156[[#This Row],[failurecost500_rating3]]+Table156[[#This Row],[failurecost100_rating3]]+Table156[[#This Row],[failurecost50_rating3]]+Table156[[#This Row],[failurecost10_rating3]])*1000000</f>
        <v>2656.51864488</v>
      </c>
      <c r="JT12" s="1">
        <f>(Table156[[#This Row],[failurecost500_rating4]]+Table156[[#This Row],[failurecost100_rating4]]+Table156[[#This Row],[failurecost50_rating4]]+Table156[[#This Row],[failurecost10_rating4]])*1000000</f>
        <v>932.24126519399999</v>
      </c>
      <c r="JU12" s="1">
        <f>(Table156[[#This Row],[failurecost500_rating5]]+Table156[[#This Row],[failurecost100_rating5]]+Table156[[#This Row],[failurecost50_rating5]]+Table156[[#This Row],[failurecost10_rating5]])*1000000</f>
        <v>52.318658867220002</v>
      </c>
      <c r="JV12" s="1">
        <f>(Table156[[#This Row],[failurecost500_rating6]]+Table156[[#This Row],[failurecost100_rating6]]+Table156[[#This Row],[failurecost50_rating6]]+Table156[[#This Row],[failurecost10_rating6]])*1000000</f>
        <v>588.61565899980008</v>
      </c>
      <c r="JW12" s="1">
        <f>(Table156[[#This Row],[failurecost500_rating7]]+Table156[[#This Row],[failurecost100_rating7]]+Table156[[#This Row],[failurecost50_rating7]]+Table156[[#This Row],[failurecost10_rating7]])*1000000</f>
        <v>588.61565899980008</v>
      </c>
      <c r="JX12" s="1">
        <f>(Table156[[#This Row],[failurecost500_rating8]]+Table156[[#This Row],[failurecost100_rating8]]+Table156[[#This Row],[failurecost50_rating8]]+Table156[[#This Row],[failurecost10_rating8]])*1000000</f>
        <v>26.54058905394</v>
      </c>
      <c r="JY12" s="1">
        <f>(Table156[[#This Row],[failurecost500_rating9]]+Table156[[#This Row],[failurecost100_rating9]]+Table156[[#This Row],[failurecost50_rating9]]+Table156[[#This Row],[failurecost10_rating9]])*1000000</f>
        <v>6.0878552278500013</v>
      </c>
    </row>
    <row r="13" spans="1:285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Table156[[#This Row],[Depth10_Soil_vol]]*(9.353+9.027)+(Table156[[#This Row],[Depth10_Soil_vol]]/2.5)*20*1.053+(PI()*Table156[[#This Row],[Depth10_Scour]])*Table156[[#This Row],[DECK_WIDTH_MT_052]]*1.062</f>
        <v>6992.666213599131</v>
      </c>
      <c r="AR13" s="1">
        <f>Table156[[#This Row],[Depth50_Soil_vol]]*(9.353+9.027)+(Table156[[#This Row],[Depth50_Soil_vol]]/2.5)*20*1.053+(PI()*Table156[[#This Row],[Depth50_Scour]])*Table156[[#This Row],[DECK_WIDTH_MT_052]]*1.062</f>
        <v>8975.9969727162606</v>
      </c>
      <c r="AS13" s="1">
        <f>Table156[[#This Row],[Depth100_Soil_vol]]*(9.353+9.027)+(Table156[[#This Row],[Depth100_Soil_vol]]/2.5)*20*1.053+(PI()*Table156[[#This Row],[Depth100_Scour]])*Table156[[#This Row],[DECK_WIDTH_MT_052]]*1.062</f>
        <v>9724.0394899581861</v>
      </c>
      <c r="AT13" s="1">
        <f>Table156[[#This Row],[Depth500_Soil_vol]]*(9.353+9.027)+(Table156[[#This Row],[Depth500_Soil_vol]]/2.5)*20*1.053+(PI()*Table156[[#This Row],[Depth500_Scour]])*Table156[[#This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</v>
      </c>
      <c r="GF13" s="1">
        <v>25.743303220000001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v>8581.1010733333333</v>
      </c>
      <c r="GM13" s="1">
        <v>7722.9909660000003</v>
      </c>
      <c r="GN13" s="1">
        <v>6864.8808586666673</v>
      </c>
      <c r="GO13" s="1">
        <v>5148.6606440000005</v>
      </c>
      <c r="GP13" s="1">
        <v>3432.4404293333337</v>
      </c>
      <c r="GQ13" s="1">
        <v>1716.2202146666668</v>
      </c>
      <c r="GR13" s="1">
        <v>858.11010733333342</v>
      </c>
      <c r="GS13" s="1">
        <v>0</v>
      </c>
      <c r="GT13" s="1">
        <v>0</v>
      </c>
      <c r="GU13" s="1">
        <v>0</v>
      </c>
      <c r="GV13" s="1">
        <f t="shared" si="0"/>
        <v>2.5000000000000001E-2</v>
      </c>
      <c r="GW13" s="1">
        <v>0.01</v>
      </c>
      <c r="GX13" s="1">
        <v>2.5000000000000001E-3</v>
      </c>
      <c r="GY13" s="1">
        <v>4.0000000000000002E-4</v>
      </c>
      <c r="GZ13" s="1">
        <v>6.9999999999999999E-6</v>
      </c>
      <c r="HA13" s="1">
        <v>1.8000000000000001E-4</v>
      </c>
      <c r="HB13" s="1">
        <v>1.8000000000000001E-4</v>
      </c>
      <c r="HC13" s="1">
        <v>3.9999999999999998E-6</v>
      </c>
      <c r="HD13" s="1">
        <v>2.5000000000000002E-6</v>
      </c>
      <c r="HE13" s="1">
        <f t="shared" si="1"/>
        <v>1.2500000000000001E-2</v>
      </c>
      <c r="HF13" s="1">
        <v>6.0000000000000001E-3</v>
      </c>
      <c r="HG13" s="1">
        <v>2.5000000000000001E-3</v>
      </c>
      <c r="HH13" s="1">
        <v>5.0000000000000001E-4</v>
      </c>
      <c r="HI13" s="1">
        <v>7.9999999999999996E-6</v>
      </c>
      <c r="HJ13" s="1">
        <v>2.5000000000000001E-4</v>
      </c>
      <c r="HK13" s="1">
        <v>2.5000000000000001E-4</v>
      </c>
      <c r="HL13" s="1">
        <v>5.0000000000000004E-6</v>
      </c>
      <c r="HM13" s="1">
        <v>3.0000000000000001E-6</v>
      </c>
      <c r="HN13" s="1">
        <v>0.01</v>
      </c>
      <c r="HO13" s="1">
        <v>6.0000000000000001E-3</v>
      </c>
      <c r="HP13" s="1">
        <v>1.2999999999999999E-3</v>
      </c>
      <c r="HQ13" s="1">
        <v>5.0000000000000001E-4</v>
      </c>
      <c r="HR13" s="1">
        <v>7.9999999999999996E-6</v>
      </c>
      <c r="HS13" s="1">
        <v>2.5000000000000001E-4</v>
      </c>
      <c r="HT13" s="1">
        <v>2.5000000000000001E-4</v>
      </c>
      <c r="HU13" s="1">
        <v>5.0000000000000004E-6</v>
      </c>
      <c r="HV13" s="1">
        <v>3.0000000000000001E-6</v>
      </c>
      <c r="HW13" s="1">
        <v>0.01</v>
      </c>
      <c r="HX13" s="1">
        <v>8.0000000000000002E-3</v>
      </c>
      <c r="HY13" s="1">
        <v>1.6000000000000001E-3</v>
      </c>
      <c r="HZ13" s="1">
        <v>5.9999999999999995E-4</v>
      </c>
      <c r="IA13" s="1">
        <v>4.0000000000000003E-5</v>
      </c>
      <c r="IB13" s="1">
        <v>4.0000000000000002E-4</v>
      </c>
      <c r="IC13" s="1">
        <v>4.0000000000000002E-4</v>
      </c>
      <c r="ID13" s="1">
        <v>2.0000000000000002E-5</v>
      </c>
      <c r="IE13" s="1">
        <v>3.9999999999999998E-6</v>
      </c>
      <c r="IF13" s="1">
        <f>Table156[[#This Row],[Total_Cost_MUSD]]*Table156[[#This Row],[prob500-failure_rating1]]/500</f>
        <v>1.2871651610000001E-3</v>
      </c>
      <c r="IG13" s="1">
        <f>Table156[[#This Row],[Total_Cost_MUSD]]*Table156[[#This Row],[prob500-failure_rating2]]/500</f>
        <v>5.1486606440000009E-4</v>
      </c>
      <c r="IH13" s="1">
        <f>Table156[[#This Row],[Total_Cost_MUSD]]*Table156[[#This Row],[prob500-failure_rating3]]/500</f>
        <v>1.2871651610000002E-4</v>
      </c>
      <c r="II13" s="1">
        <f>Table156[[#This Row],[Total_Cost_MUSD]]*Table156[[#This Row],[prob500-failure_rating4]]/500</f>
        <v>2.0594642576000001E-5</v>
      </c>
      <c r="IJ13" s="1">
        <f>Table156[[#This Row],[Total_Cost_MUSD]]*Table156[[#This Row],[prob500-failure_rating5]]/500</f>
        <v>3.6040624508000001E-7</v>
      </c>
      <c r="IK13" s="1">
        <f>Table156[[#This Row],[Total_Cost_MUSD]]*Table156[[#This Row],[prob500-failure_rating6]]/500</f>
        <v>9.2675891592000024E-6</v>
      </c>
      <c r="IL13" s="1">
        <f>Table156[[#This Row],[Total_Cost_MUSD]]*Table156[[#This Row],[prob500-failure_rating7]]/500</f>
        <v>9.2675891592000024E-6</v>
      </c>
      <c r="IM13" s="1">
        <f>Table156[[#This Row],[Total_Cost_MUSD]]*Table156[[#This Row],[prob500-failure_rating8]]/500</f>
        <v>2.0594642575999998E-7</v>
      </c>
      <c r="IN13" s="1">
        <f>Table156[[#This Row],[Total_Cost_MUSD]]*Table156[[#This Row],[prob500-failure_rating9]]/500</f>
        <v>1.2871651610000001E-7</v>
      </c>
      <c r="IO13" s="1">
        <f>Table156[[#This Row],[Total_Cost_MUSD]]*Table156[[#This Row],[prob100-failure_rating1]]/100</f>
        <v>3.2179129025000004E-3</v>
      </c>
      <c r="IP13" s="1">
        <f>Table156[[#This Row],[Total_Cost_MUSD]]*Table156[[#This Row],[prob100-failure_rating2]]/100</f>
        <v>1.5445981932000002E-3</v>
      </c>
      <c r="IQ13" s="1">
        <f>Table156[[#This Row],[Total_Cost_MUSD]]*Table156[[#This Row],[prob100-failure_rating3]]/100</f>
        <v>6.4358258050000003E-4</v>
      </c>
      <c r="IR13" s="1">
        <f>Table156[[#This Row],[Total_Cost_MUSD]]*Table156[[#This Row],[prob100-failure_rating4]]/100</f>
        <v>1.2871651610000002E-4</v>
      </c>
      <c r="IS13" s="1">
        <f>Table156[[#This Row],[Total_Cost_MUSD]]*Table156[[#This Row],[prob100-failure_rating5]]/100</f>
        <v>2.0594642575999998E-6</v>
      </c>
      <c r="IT13" s="1">
        <f>Table156[[#This Row],[Total_Cost_MUSD]]*Table156[[#This Row],[prob100-failure_rating6]]/100</f>
        <v>6.4358258050000011E-5</v>
      </c>
      <c r="IU13" s="1">
        <f>Table156[[#This Row],[Total_Cost_MUSD]]*Table156[[#This Row],[prob100-failure_rating7]]/100</f>
        <v>6.4358258050000011E-5</v>
      </c>
      <c r="IV13" s="1">
        <f>Table156[[#This Row],[Total_Cost_MUSD]]*Table156[[#This Row],[prob100-failure_rating8]]/100</f>
        <v>1.2871651610000003E-6</v>
      </c>
      <c r="IW13" s="1">
        <f>Table156[[#This Row],[Total_Cost_MUSD]]*Table156[[#This Row],[prob100-failure_rating9]]/100</f>
        <v>7.7229909660000013E-7</v>
      </c>
      <c r="IX13" s="1">
        <f>Table156[[#This Row],[Total_Cost_MUSD]]*Table156[[#This Row],[prob50-failure_rating1]]/50</f>
        <v>5.1486606440000002E-3</v>
      </c>
      <c r="IY13" s="1">
        <f>Table156[[#This Row],[Total_Cost_MUSD]]*Table156[[#This Row],[prob50-failure_rating2]]/50</f>
        <v>3.0891963864000003E-3</v>
      </c>
      <c r="IZ13" s="1">
        <f>Table156[[#This Row],[Total_Cost_MUSD]]*Table156[[#This Row],[prob50-failure_rating3]]/50</f>
        <v>6.6932588371999998E-4</v>
      </c>
      <c r="JA13" s="1">
        <f>Table156[[#This Row],[Total_Cost_MUSD]]*Table156[[#This Row],[prob50-failure_rating4]]/50</f>
        <v>2.5743303220000004E-4</v>
      </c>
      <c r="JB13" s="1">
        <f>Table156[[#This Row],[Total_Cost_MUSD]]*Table156[[#This Row],[prob50-failure_rating5]]/50</f>
        <v>4.1189285151999996E-6</v>
      </c>
      <c r="JC13" s="1">
        <f>Table156[[#This Row],[Total_Cost_MUSD]]*Table156[[#This Row],[prob50-failure_rating6]]/50</f>
        <v>1.2871651610000002E-4</v>
      </c>
      <c r="JD13" s="1">
        <f>Table156[[#This Row],[Total_Cost_MUSD]]*Table156[[#This Row],[prob50-failure_rating7]]/50</f>
        <v>1.2871651610000002E-4</v>
      </c>
      <c r="JE13" s="1">
        <f>Table156[[#This Row],[Total_Cost_MUSD]]*Table156[[#This Row],[prob50-failure_rating8]]/50</f>
        <v>2.5743303220000006E-6</v>
      </c>
      <c r="JF13" s="1">
        <f>Table156[[#This Row],[Total_Cost_MUSD]]*Table156[[#This Row],[prob50-failure_rating9]]/50</f>
        <v>1.5445981932000003E-6</v>
      </c>
      <c r="JG13" s="1">
        <f>Table156[[#This Row],[Total_Cost_MUSD]]*Table156[[#This Row],[prob10-failure_rating1]]/10</f>
        <v>2.5743303220000003E-2</v>
      </c>
      <c r="JH13" s="1">
        <f>Table156[[#This Row],[Total_Cost_MUSD]]*Table156[[#This Row],[prob10-failure_rating2]]/10</f>
        <v>2.0594642576000001E-2</v>
      </c>
      <c r="JI13" s="1">
        <f>Table156[[#This Row],[Total_Cost_MUSD]]*Table156[[#This Row],[prob10-failure_rating3]]/10</f>
        <v>4.1189285151999998E-3</v>
      </c>
      <c r="JJ13" s="1">
        <f>Table156[[#This Row],[Total_Cost_MUSD]]*Table156[[#This Row],[prob10-failure_rating4]]/10</f>
        <v>1.5445981931999999E-3</v>
      </c>
      <c r="JK13" s="1">
        <f>Table156[[#This Row],[Total_Cost_MUSD]]*Table156[[#This Row],[prob10-failure_rating5]]/10</f>
        <v>1.0297321288000002E-4</v>
      </c>
      <c r="JL13" s="1">
        <f>Table156[[#This Row],[Total_Cost_MUSD]]*Table156[[#This Row],[prob10-failure_rating6]]/10</f>
        <v>1.0297321288E-3</v>
      </c>
      <c r="JM13" s="1">
        <f>Table156[[#This Row],[Total_Cost_MUSD]]*Table156[[#This Row],[prob10-failure_rating7]]/10</f>
        <v>1.0297321288E-3</v>
      </c>
      <c r="JN13" s="1">
        <f>Table156[[#This Row],[Total_Cost_MUSD]]*Table156[[#This Row],[prob10-failure_rating8]]/10</f>
        <v>5.1486606440000012E-5</v>
      </c>
      <c r="JO13" s="1">
        <f>Table156[[#This Row],[Total_Cost_MUSD]]*Table156[[#This Row],[prob10-failure_rating9]]/10</f>
        <v>1.0297321287999999E-5</v>
      </c>
      <c r="JP13" s="1">
        <f>Table156[[#This Row],[FailureCost_Rating1]]</f>
        <v>25743.303219999998</v>
      </c>
      <c r="JQ13" s="1">
        <f>Table156[[#This Row],[FailureCost_Rating2]]</f>
        <v>25743.303219999998</v>
      </c>
      <c r="JR13" s="1">
        <f>(Table156[[#This Row],[failurecost500_rating2]]+Table156[[#This Row],[failurecost100_rating2]]+Table156[[#This Row],[failurecost50_rating2]]+Table156[[#This Row],[failurecost10_rating2]])*1000000</f>
        <v>25743.303219999998</v>
      </c>
      <c r="JS13" s="1">
        <f>(Table156[[#This Row],[failurecost500_rating3]]+Table156[[#This Row],[failurecost100_rating3]]+Table156[[#This Row],[failurecost50_rating3]]+Table156[[#This Row],[failurecost10_rating3]])*1000000</f>
        <v>5560.5534955199992</v>
      </c>
      <c r="JT13" s="1">
        <f>(Table156[[#This Row],[failurecost500_rating4]]+Table156[[#This Row],[failurecost100_rating4]]+Table156[[#This Row],[failurecost50_rating4]]+Table156[[#This Row],[failurecost10_rating4]])*1000000</f>
        <v>1951.3423840759999</v>
      </c>
      <c r="JU13" s="1">
        <f>(Table156[[#This Row],[failurecost500_rating5]]+Table156[[#This Row],[failurecost100_rating5]]+Table156[[#This Row],[failurecost50_rating5]]+Table156[[#This Row],[failurecost10_rating5]])*1000000</f>
        <v>109.51201189788003</v>
      </c>
      <c r="JV13" s="1">
        <f>(Table156[[#This Row],[failurecost500_rating6]]+Table156[[#This Row],[failurecost100_rating6]]+Table156[[#This Row],[failurecost50_rating6]]+Table156[[#This Row],[failurecost10_rating6]])*1000000</f>
        <v>1232.0744921092</v>
      </c>
      <c r="JW13" s="1">
        <f>(Table156[[#This Row],[failurecost500_rating7]]+Table156[[#This Row],[failurecost100_rating7]]+Table156[[#This Row],[failurecost50_rating7]]+Table156[[#This Row],[failurecost10_rating7]])*1000000</f>
        <v>1232.0744921092</v>
      </c>
      <c r="JX13" s="1">
        <f>(Table156[[#This Row],[failurecost500_rating8]]+Table156[[#This Row],[failurecost100_rating8]]+Table156[[#This Row],[failurecost50_rating8]]+Table156[[#This Row],[failurecost10_rating8]])*1000000</f>
        <v>55.554048348760013</v>
      </c>
      <c r="JY13" s="1">
        <f>(Table156[[#This Row],[failurecost500_rating9]]+Table156[[#This Row],[failurecost100_rating9]]+Table156[[#This Row],[failurecost50_rating9]]+Table156[[#This Row],[failurecost10_rating9]])*1000000</f>
        <v>12.7429350939</v>
      </c>
    </row>
    <row r="14" spans="1:285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Table156[[#This Row],[Depth10_Soil_vol]]*(9.353+9.027)+(Table156[[#This Row],[Depth10_Soil_vol]]/2.5)*20*1.053+(PI()*Table156[[#This Row],[Depth10_Scour]])*Table156[[#This Row],[DECK_WIDTH_MT_052]]*1.062</f>
        <v>13653.389769605932</v>
      </c>
      <c r="AR14" s="1">
        <f>Table156[[#This Row],[Depth50_Soil_vol]]*(9.353+9.027)+(Table156[[#This Row],[Depth50_Soil_vol]]/2.5)*20*1.053+(PI()*Table156[[#This Row],[Depth50_Scour]])*Table156[[#This Row],[DECK_WIDTH_MT_052]]*1.062</f>
        <v>14501.430182908143</v>
      </c>
      <c r="AS14" s="1">
        <f>Table156[[#This Row],[Depth100_Soil_vol]]*(9.353+9.027)+(Table156[[#This Row],[Depth100_Soil_vol]]/2.5)*20*1.053+(PI()*Table156[[#This Row],[Depth100_Scour]])*Table156[[#This Row],[DECK_WIDTH_MT_052]]*1.062</f>
        <v>14880.875971506524</v>
      </c>
      <c r="AT14" s="1">
        <f>Table156[[#This Row],[Depth500_Soil_vol]]*(9.353+9.027)+(Table156[[#This Row],[Depth500_Soil_vol]]/2.5)*20*1.053+(PI()*Table156[[#This Row],[Depth500_Scour]])*Table156[[#This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0.52800000000000002</v>
      </c>
      <c r="GF14" s="1">
        <v>83.517219859999997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v>27839.073286666666</v>
      </c>
      <c r="GM14" s="1">
        <v>25055.165957999998</v>
      </c>
      <c r="GN14" s="1">
        <v>22271.258629333333</v>
      </c>
      <c r="GO14" s="1">
        <v>16703.443971999997</v>
      </c>
      <c r="GP14" s="1">
        <v>11135.629314666667</v>
      </c>
      <c r="GQ14" s="1">
        <v>5567.8146573333333</v>
      </c>
      <c r="GR14" s="1">
        <v>2783.9073286666667</v>
      </c>
      <c r="GS14" s="1">
        <v>0</v>
      </c>
      <c r="GT14" s="1">
        <v>0</v>
      </c>
      <c r="GU14" s="1">
        <v>0</v>
      </c>
      <c r="GV14" s="1">
        <f t="shared" si="0"/>
        <v>2.5000000000000001E-2</v>
      </c>
      <c r="GW14" s="1">
        <v>0.01</v>
      </c>
      <c r="GX14" s="1">
        <v>2.5000000000000001E-3</v>
      </c>
      <c r="GY14" s="1">
        <v>4.0000000000000002E-4</v>
      </c>
      <c r="GZ14" s="1">
        <v>6.9999999999999999E-6</v>
      </c>
      <c r="HA14" s="1">
        <v>1.8000000000000001E-4</v>
      </c>
      <c r="HB14" s="1">
        <v>1.8000000000000001E-4</v>
      </c>
      <c r="HC14" s="1">
        <v>3.9999999999999998E-6</v>
      </c>
      <c r="HD14" s="1">
        <v>2.5000000000000002E-6</v>
      </c>
      <c r="HE14" s="1">
        <f t="shared" si="1"/>
        <v>1.2500000000000001E-2</v>
      </c>
      <c r="HF14" s="1">
        <v>6.0000000000000001E-3</v>
      </c>
      <c r="HG14" s="1">
        <v>2.5000000000000001E-3</v>
      </c>
      <c r="HH14" s="1">
        <v>5.0000000000000001E-4</v>
      </c>
      <c r="HI14" s="1">
        <v>7.9999999999999996E-6</v>
      </c>
      <c r="HJ14" s="1">
        <v>2.5000000000000001E-4</v>
      </c>
      <c r="HK14" s="1">
        <v>2.5000000000000001E-4</v>
      </c>
      <c r="HL14" s="1">
        <v>5.0000000000000004E-6</v>
      </c>
      <c r="HM14" s="1">
        <v>3.0000000000000001E-6</v>
      </c>
      <c r="HN14" s="1">
        <v>0.01</v>
      </c>
      <c r="HO14" s="1">
        <v>6.0000000000000001E-3</v>
      </c>
      <c r="HP14" s="1">
        <v>1.2999999999999999E-3</v>
      </c>
      <c r="HQ14" s="1">
        <v>5.0000000000000001E-4</v>
      </c>
      <c r="HR14" s="1">
        <v>7.9999999999999996E-6</v>
      </c>
      <c r="HS14" s="1">
        <v>2.5000000000000001E-4</v>
      </c>
      <c r="HT14" s="1">
        <v>2.5000000000000001E-4</v>
      </c>
      <c r="HU14" s="1">
        <v>5.0000000000000004E-6</v>
      </c>
      <c r="HV14" s="1">
        <v>3.0000000000000001E-6</v>
      </c>
      <c r="HW14" s="1">
        <v>0.01</v>
      </c>
      <c r="HX14" s="1">
        <v>8.0000000000000002E-3</v>
      </c>
      <c r="HY14" s="1">
        <v>1.6000000000000001E-3</v>
      </c>
      <c r="HZ14" s="1">
        <v>5.9999999999999995E-4</v>
      </c>
      <c r="IA14" s="1">
        <v>4.0000000000000003E-5</v>
      </c>
      <c r="IB14" s="1">
        <v>4.0000000000000002E-4</v>
      </c>
      <c r="IC14" s="1">
        <v>4.0000000000000002E-4</v>
      </c>
      <c r="ID14" s="1">
        <v>2.0000000000000002E-5</v>
      </c>
      <c r="IE14" s="1">
        <v>3.9999999999999998E-6</v>
      </c>
      <c r="IF14" s="1">
        <f>Table156[[#This Row],[Total_Cost_MUSD]]*Table156[[#This Row],[prob500-failure_rating1]]/500</f>
        <v>4.1758609929999999E-3</v>
      </c>
      <c r="IG14" s="1">
        <f>Table156[[#This Row],[Total_Cost_MUSD]]*Table156[[#This Row],[prob500-failure_rating2]]/500</f>
        <v>1.6703443972000001E-3</v>
      </c>
      <c r="IH14" s="1">
        <f>Table156[[#This Row],[Total_Cost_MUSD]]*Table156[[#This Row],[prob500-failure_rating3]]/500</f>
        <v>4.1758609930000004E-4</v>
      </c>
      <c r="II14" s="1">
        <f>Table156[[#This Row],[Total_Cost_MUSD]]*Table156[[#This Row],[prob500-failure_rating4]]/500</f>
        <v>6.6813775887999993E-5</v>
      </c>
      <c r="IJ14" s="1">
        <f>Table156[[#This Row],[Total_Cost_MUSD]]*Table156[[#This Row],[prob500-failure_rating5]]/500</f>
        <v>1.16924107804E-6</v>
      </c>
      <c r="IK14" s="1">
        <f>Table156[[#This Row],[Total_Cost_MUSD]]*Table156[[#This Row],[prob500-failure_rating6]]/500</f>
        <v>3.0066199149600002E-5</v>
      </c>
      <c r="IL14" s="1">
        <f>Table156[[#This Row],[Total_Cost_MUSD]]*Table156[[#This Row],[prob500-failure_rating7]]/500</f>
        <v>3.0066199149600002E-5</v>
      </c>
      <c r="IM14" s="1">
        <f>Table156[[#This Row],[Total_Cost_MUSD]]*Table156[[#This Row],[prob500-failure_rating8]]/500</f>
        <v>6.6813775887999997E-7</v>
      </c>
      <c r="IN14" s="1">
        <f>Table156[[#This Row],[Total_Cost_MUSD]]*Table156[[#This Row],[prob500-failure_rating9]]/500</f>
        <v>4.1758609930000002E-7</v>
      </c>
      <c r="IO14" s="1">
        <f>Table156[[#This Row],[Total_Cost_MUSD]]*Table156[[#This Row],[prob100-failure_rating1]]/100</f>
        <v>1.0439652482499999E-2</v>
      </c>
      <c r="IP14" s="1">
        <f>Table156[[#This Row],[Total_Cost_MUSD]]*Table156[[#This Row],[prob100-failure_rating2]]/100</f>
        <v>5.0110331915999996E-3</v>
      </c>
      <c r="IQ14" s="1">
        <f>Table156[[#This Row],[Total_Cost_MUSD]]*Table156[[#This Row],[prob100-failure_rating3]]/100</f>
        <v>2.0879304965E-3</v>
      </c>
      <c r="IR14" s="1">
        <f>Table156[[#This Row],[Total_Cost_MUSD]]*Table156[[#This Row],[prob100-failure_rating4]]/100</f>
        <v>4.1758609930000004E-4</v>
      </c>
      <c r="IS14" s="1">
        <f>Table156[[#This Row],[Total_Cost_MUSD]]*Table156[[#This Row],[prob100-failure_rating5]]/100</f>
        <v>6.6813775887999994E-6</v>
      </c>
      <c r="IT14" s="1">
        <f>Table156[[#This Row],[Total_Cost_MUSD]]*Table156[[#This Row],[prob100-failure_rating6]]/100</f>
        <v>2.0879304965000002E-4</v>
      </c>
      <c r="IU14" s="1">
        <f>Table156[[#This Row],[Total_Cost_MUSD]]*Table156[[#This Row],[prob100-failure_rating7]]/100</f>
        <v>2.0879304965000002E-4</v>
      </c>
      <c r="IV14" s="1">
        <f>Table156[[#This Row],[Total_Cost_MUSD]]*Table156[[#This Row],[prob100-failure_rating8]]/100</f>
        <v>4.1758609930000004E-6</v>
      </c>
      <c r="IW14" s="1">
        <f>Table156[[#This Row],[Total_Cost_MUSD]]*Table156[[#This Row],[prob100-failure_rating9]]/100</f>
        <v>2.5055165957999999E-6</v>
      </c>
      <c r="IX14" s="1">
        <f>Table156[[#This Row],[Total_Cost_MUSD]]*Table156[[#This Row],[prob50-failure_rating1]]/50</f>
        <v>1.6703443972E-2</v>
      </c>
      <c r="IY14" s="1">
        <f>Table156[[#This Row],[Total_Cost_MUSD]]*Table156[[#This Row],[prob50-failure_rating2]]/50</f>
        <v>1.0022066383199999E-2</v>
      </c>
      <c r="IZ14" s="1">
        <f>Table156[[#This Row],[Total_Cost_MUSD]]*Table156[[#This Row],[prob50-failure_rating3]]/50</f>
        <v>2.1714477163599999E-3</v>
      </c>
      <c r="JA14" s="1">
        <f>Table156[[#This Row],[Total_Cost_MUSD]]*Table156[[#This Row],[prob50-failure_rating4]]/50</f>
        <v>8.3517219860000007E-4</v>
      </c>
      <c r="JB14" s="1">
        <f>Table156[[#This Row],[Total_Cost_MUSD]]*Table156[[#This Row],[prob50-failure_rating5]]/50</f>
        <v>1.3362755177599999E-5</v>
      </c>
      <c r="JC14" s="1">
        <f>Table156[[#This Row],[Total_Cost_MUSD]]*Table156[[#This Row],[prob50-failure_rating6]]/50</f>
        <v>4.1758609930000004E-4</v>
      </c>
      <c r="JD14" s="1">
        <f>Table156[[#This Row],[Total_Cost_MUSD]]*Table156[[#This Row],[prob50-failure_rating7]]/50</f>
        <v>4.1758609930000004E-4</v>
      </c>
      <c r="JE14" s="1">
        <f>Table156[[#This Row],[Total_Cost_MUSD]]*Table156[[#This Row],[prob50-failure_rating8]]/50</f>
        <v>8.3517219860000008E-6</v>
      </c>
      <c r="JF14" s="1">
        <f>Table156[[#This Row],[Total_Cost_MUSD]]*Table156[[#This Row],[prob50-failure_rating9]]/50</f>
        <v>5.0110331915999998E-6</v>
      </c>
      <c r="JG14" s="1">
        <f>Table156[[#This Row],[Total_Cost_MUSD]]*Table156[[#This Row],[prob10-failure_rating1]]/10</f>
        <v>8.3517219860000005E-2</v>
      </c>
      <c r="JH14" s="1">
        <f>Table156[[#This Row],[Total_Cost_MUSD]]*Table156[[#This Row],[prob10-failure_rating2]]/10</f>
        <v>6.6813775887999999E-2</v>
      </c>
      <c r="JI14" s="1">
        <f>Table156[[#This Row],[Total_Cost_MUSD]]*Table156[[#This Row],[prob10-failure_rating3]]/10</f>
        <v>1.3362755177599999E-2</v>
      </c>
      <c r="JJ14" s="1">
        <f>Table156[[#This Row],[Total_Cost_MUSD]]*Table156[[#This Row],[prob10-failure_rating4]]/10</f>
        <v>5.0110331915999996E-3</v>
      </c>
      <c r="JK14" s="1">
        <f>Table156[[#This Row],[Total_Cost_MUSD]]*Table156[[#This Row],[prob10-failure_rating5]]/10</f>
        <v>3.3406887944000002E-4</v>
      </c>
      <c r="JL14" s="1">
        <f>Table156[[#This Row],[Total_Cost_MUSD]]*Table156[[#This Row],[prob10-failure_rating6]]/10</f>
        <v>3.3406887943999999E-3</v>
      </c>
      <c r="JM14" s="1">
        <f>Table156[[#This Row],[Total_Cost_MUSD]]*Table156[[#This Row],[prob10-failure_rating7]]/10</f>
        <v>3.3406887943999999E-3</v>
      </c>
      <c r="JN14" s="1">
        <f>Table156[[#This Row],[Total_Cost_MUSD]]*Table156[[#This Row],[prob10-failure_rating8]]/10</f>
        <v>1.6703443972000001E-4</v>
      </c>
      <c r="JO14" s="1">
        <f>Table156[[#This Row],[Total_Cost_MUSD]]*Table156[[#This Row],[prob10-failure_rating9]]/10</f>
        <v>3.3406887943999996E-5</v>
      </c>
      <c r="JP14" s="1">
        <f>Table156[[#This Row],[FailureCost_Rating1]]</f>
        <v>83517.219859999997</v>
      </c>
      <c r="JQ14" s="1">
        <f>Table156[[#This Row],[FailureCost_Rating2]]</f>
        <v>83517.219859999997</v>
      </c>
      <c r="JR14" s="1">
        <f>(Table156[[#This Row],[failurecost500_rating2]]+Table156[[#This Row],[failurecost100_rating2]]+Table156[[#This Row],[failurecost50_rating2]]+Table156[[#This Row],[failurecost10_rating2]])*1000000</f>
        <v>83517.219859999997</v>
      </c>
      <c r="JS14" s="1">
        <f>(Table156[[#This Row],[failurecost500_rating3]]+Table156[[#This Row],[failurecost100_rating3]]+Table156[[#This Row],[failurecost50_rating3]]+Table156[[#This Row],[failurecost10_rating3]])*1000000</f>
        <v>18039.719489759998</v>
      </c>
      <c r="JT14" s="1">
        <f>(Table156[[#This Row],[failurecost500_rating4]]+Table156[[#This Row],[failurecost100_rating4]]+Table156[[#This Row],[failurecost50_rating4]]+Table156[[#This Row],[failurecost10_rating4]])*1000000</f>
        <v>6330.6052653879997</v>
      </c>
      <c r="JU14" s="1">
        <f>(Table156[[#This Row],[failurecost500_rating5]]+Table156[[#This Row],[failurecost100_rating5]]+Table156[[#This Row],[failurecost50_rating5]]+Table156[[#This Row],[failurecost10_rating5]])*1000000</f>
        <v>355.28225328444</v>
      </c>
      <c r="JV14" s="1">
        <f>(Table156[[#This Row],[failurecost500_rating6]]+Table156[[#This Row],[failurecost100_rating6]]+Table156[[#This Row],[failurecost50_rating6]]+Table156[[#This Row],[failurecost10_rating6]])*1000000</f>
        <v>3997.1341424995999</v>
      </c>
      <c r="JW14" s="1">
        <f>(Table156[[#This Row],[failurecost500_rating7]]+Table156[[#This Row],[failurecost100_rating7]]+Table156[[#This Row],[failurecost50_rating7]]+Table156[[#This Row],[failurecost10_rating7]])*1000000</f>
        <v>3997.1341424995999</v>
      </c>
      <c r="JX14" s="1">
        <f>(Table156[[#This Row],[failurecost500_rating8]]+Table156[[#This Row],[failurecost100_rating8]]+Table156[[#This Row],[failurecost50_rating8]]+Table156[[#This Row],[failurecost10_rating8]])*1000000</f>
        <v>180.23016045788</v>
      </c>
      <c r="JY14" s="1">
        <f>(Table156[[#This Row],[failurecost500_rating9]]+Table156[[#This Row],[failurecost100_rating9]]+Table156[[#This Row],[failurecost50_rating9]]+Table156[[#This Row],[failurecost10_rating9]])*1000000</f>
        <v>41.341023830699996</v>
      </c>
    </row>
    <row r="15" spans="1:285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Table156[[#This Row],[Depth10_Soil_vol]]*(9.353+9.027)+(Table156[[#This Row],[Depth10_Soil_vol]]/2.5)*20*1.053+(PI()*Table156[[#This Row],[Depth10_Scour]])*Table156[[#This Row],[DECK_WIDTH_MT_052]]*1.062</f>
        <v>9589.4503766877388</v>
      </c>
      <c r="AR15" s="1">
        <f>Table156[[#This Row],[Depth50_Soil_vol]]*(9.353+9.027)+(Table156[[#This Row],[Depth50_Soil_vol]]/2.5)*20*1.053+(PI()*Table156[[#This Row],[Depth50_Scour]])*Table156[[#This Row],[DECK_WIDTH_MT_052]]*1.062</f>
        <v>10089.839206196759</v>
      </c>
      <c r="AS15" s="1">
        <f>Table156[[#This Row],[Depth100_Soil_vol]]*(9.353+9.027)+(Table156[[#This Row],[Depth100_Soil_vol]]/2.5)*20*1.053+(PI()*Table156[[#This Row],[Depth100_Scour]])*Table156[[#This Row],[DECK_WIDTH_MT_052]]*1.062</f>
        <v>10312.30726316059</v>
      </c>
      <c r="AT15" s="1">
        <f>Table156[[#This Row],[Depth500_Soil_vol]]*(9.353+9.027)+(Table156[[#This Row],[Depth500_Soil_vol]]/2.5)*20*1.053+(PI()*Table156[[#This Row],[Depth500_Scour]])*Table156[[#This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0.66</v>
      </c>
      <c r="GF15" s="1">
        <v>51.219814960000001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v>17073.271653333333</v>
      </c>
      <c r="GM15" s="1">
        <v>15365.944487999999</v>
      </c>
      <c r="GN15" s="1">
        <v>13658.617322666665</v>
      </c>
      <c r="GO15" s="1">
        <v>10243.962992000001</v>
      </c>
      <c r="GP15" s="1">
        <v>6829.3086613333326</v>
      </c>
      <c r="GQ15" s="1">
        <v>3414.6543306666663</v>
      </c>
      <c r="GR15" s="1">
        <v>1707.3271653333331</v>
      </c>
      <c r="GS15" s="1">
        <v>0</v>
      </c>
      <c r="GT15" s="1">
        <v>0</v>
      </c>
      <c r="GU15" s="1">
        <v>0</v>
      </c>
      <c r="GV15" s="1">
        <f t="shared" si="0"/>
        <v>2.5000000000000001E-2</v>
      </c>
      <c r="GW15" s="1">
        <v>0.01</v>
      </c>
      <c r="GX15" s="1">
        <v>2.5000000000000001E-3</v>
      </c>
      <c r="GY15" s="1">
        <v>4.0000000000000002E-4</v>
      </c>
      <c r="GZ15" s="1">
        <v>6.9999999999999999E-6</v>
      </c>
      <c r="HA15" s="1">
        <v>1.8000000000000001E-4</v>
      </c>
      <c r="HB15" s="1">
        <v>1.8000000000000001E-4</v>
      </c>
      <c r="HC15" s="1">
        <v>3.9999999999999998E-6</v>
      </c>
      <c r="HD15" s="1">
        <v>2.5000000000000002E-6</v>
      </c>
      <c r="HE15" s="1">
        <f t="shared" si="1"/>
        <v>1.2500000000000001E-2</v>
      </c>
      <c r="HF15" s="1">
        <v>6.0000000000000001E-3</v>
      </c>
      <c r="HG15" s="1">
        <v>2.5000000000000001E-3</v>
      </c>
      <c r="HH15" s="1">
        <v>5.0000000000000001E-4</v>
      </c>
      <c r="HI15" s="1">
        <v>7.9999999999999996E-6</v>
      </c>
      <c r="HJ15" s="1">
        <v>2.5000000000000001E-4</v>
      </c>
      <c r="HK15" s="1">
        <v>2.5000000000000001E-4</v>
      </c>
      <c r="HL15" s="1">
        <v>5.0000000000000004E-6</v>
      </c>
      <c r="HM15" s="1">
        <v>3.0000000000000001E-6</v>
      </c>
      <c r="HN15" s="1">
        <v>0.01</v>
      </c>
      <c r="HO15" s="1">
        <v>6.0000000000000001E-3</v>
      </c>
      <c r="HP15" s="1">
        <v>1.2999999999999999E-3</v>
      </c>
      <c r="HQ15" s="1">
        <v>5.0000000000000001E-4</v>
      </c>
      <c r="HR15" s="1">
        <v>7.9999999999999996E-6</v>
      </c>
      <c r="HS15" s="1">
        <v>2.5000000000000001E-4</v>
      </c>
      <c r="HT15" s="1">
        <v>2.5000000000000001E-4</v>
      </c>
      <c r="HU15" s="1">
        <v>5.0000000000000004E-6</v>
      </c>
      <c r="HV15" s="1">
        <v>3.0000000000000001E-6</v>
      </c>
      <c r="HW15" s="1">
        <v>0.01</v>
      </c>
      <c r="HX15" s="1">
        <v>8.0000000000000002E-3</v>
      </c>
      <c r="HY15" s="1">
        <v>1.6000000000000001E-3</v>
      </c>
      <c r="HZ15" s="1">
        <v>5.9999999999999995E-4</v>
      </c>
      <c r="IA15" s="1">
        <v>4.0000000000000003E-5</v>
      </c>
      <c r="IB15" s="1">
        <v>4.0000000000000002E-4</v>
      </c>
      <c r="IC15" s="1">
        <v>4.0000000000000002E-4</v>
      </c>
      <c r="ID15" s="1">
        <v>2.0000000000000002E-5</v>
      </c>
      <c r="IE15" s="1">
        <v>3.9999999999999998E-6</v>
      </c>
      <c r="IF15" s="1">
        <f>Table156[[#This Row],[Total_Cost_MUSD]]*Table156[[#This Row],[prob500-failure_rating1]]/500</f>
        <v>2.560990748E-3</v>
      </c>
      <c r="IG15" s="1">
        <f>Table156[[#This Row],[Total_Cost_MUSD]]*Table156[[#This Row],[prob500-failure_rating2]]/500</f>
        <v>1.0243962992E-3</v>
      </c>
      <c r="IH15" s="1">
        <f>Table156[[#This Row],[Total_Cost_MUSD]]*Table156[[#This Row],[prob500-failure_rating3]]/500</f>
        <v>2.5609907479999999E-4</v>
      </c>
      <c r="II15" s="1">
        <f>Table156[[#This Row],[Total_Cost_MUSD]]*Table156[[#This Row],[prob500-failure_rating4]]/500</f>
        <v>4.0975851968E-5</v>
      </c>
      <c r="IJ15" s="1">
        <f>Table156[[#This Row],[Total_Cost_MUSD]]*Table156[[#This Row],[prob500-failure_rating5]]/500</f>
        <v>7.1707740944000004E-7</v>
      </c>
      <c r="IK15" s="1">
        <f>Table156[[#This Row],[Total_Cost_MUSD]]*Table156[[#This Row],[prob500-failure_rating6]]/500</f>
        <v>1.8439133385600001E-5</v>
      </c>
      <c r="IL15" s="1">
        <f>Table156[[#This Row],[Total_Cost_MUSD]]*Table156[[#This Row],[prob500-failure_rating7]]/500</f>
        <v>1.8439133385600001E-5</v>
      </c>
      <c r="IM15" s="1">
        <f>Table156[[#This Row],[Total_Cost_MUSD]]*Table156[[#This Row],[prob500-failure_rating8]]/500</f>
        <v>4.0975851967999997E-7</v>
      </c>
      <c r="IN15" s="1">
        <f>Table156[[#This Row],[Total_Cost_MUSD]]*Table156[[#This Row],[prob500-failure_rating9]]/500</f>
        <v>2.5609907480000007E-7</v>
      </c>
      <c r="IO15" s="1">
        <f>Table156[[#This Row],[Total_Cost_MUSD]]*Table156[[#This Row],[prob100-failure_rating1]]/100</f>
        <v>6.4024768699999998E-3</v>
      </c>
      <c r="IP15" s="1">
        <f>Table156[[#This Row],[Total_Cost_MUSD]]*Table156[[#This Row],[prob100-failure_rating2]]/100</f>
        <v>3.0731888976000001E-3</v>
      </c>
      <c r="IQ15" s="1">
        <f>Table156[[#This Row],[Total_Cost_MUSD]]*Table156[[#This Row],[prob100-failure_rating3]]/100</f>
        <v>1.280495374E-3</v>
      </c>
      <c r="IR15" s="1">
        <f>Table156[[#This Row],[Total_Cost_MUSD]]*Table156[[#This Row],[prob100-failure_rating4]]/100</f>
        <v>2.5609907479999999E-4</v>
      </c>
      <c r="IS15" s="1">
        <f>Table156[[#This Row],[Total_Cost_MUSD]]*Table156[[#This Row],[prob100-failure_rating5]]/100</f>
        <v>4.0975851967999994E-6</v>
      </c>
      <c r="IT15" s="1">
        <f>Table156[[#This Row],[Total_Cost_MUSD]]*Table156[[#This Row],[prob100-failure_rating6]]/100</f>
        <v>1.280495374E-4</v>
      </c>
      <c r="IU15" s="1">
        <f>Table156[[#This Row],[Total_Cost_MUSD]]*Table156[[#This Row],[prob100-failure_rating7]]/100</f>
        <v>1.280495374E-4</v>
      </c>
      <c r="IV15" s="1">
        <f>Table156[[#This Row],[Total_Cost_MUSD]]*Table156[[#This Row],[prob100-failure_rating8]]/100</f>
        <v>2.5609907480000004E-6</v>
      </c>
      <c r="IW15" s="1">
        <f>Table156[[#This Row],[Total_Cost_MUSD]]*Table156[[#This Row],[prob100-failure_rating9]]/100</f>
        <v>1.5365944488E-6</v>
      </c>
      <c r="IX15" s="1">
        <f>Table156[[#This Row],[Total_Cost_MUSD]]*Table156[[#This Row],[prob50-failure_rating1]]/50</f>
        <v>1.0243962992E-2</v>
      </c>
      <c r="IY15" s="1">
        <f>Table156[[#This Row],[Total_Cost_MUSD]]*Table156[[#This Row],[prob50-failure_rating2]]/50</f>
        <v>6.1463777952000002E-3</v>
      </c>
      <c r="IZ15" s="1">
        <f>Table156[[#This Row],[Total_Cost_MUSD]]*Table156[[#This Row],[prob50-failure_rating3]]/50</f>
        <v>1.3317151889599998E-3</v>
      </c>
      <c r="JA15" s="1">
        <f>Table156[[#This Row],[Total_Cost_MUSD]]*Table156[[#This Row],[prob50-failure_rating4]]/50</f>
        <v>5.1219814959999998E-4</v>
      </c>
      <c r="JB15" s="1">
        <f>Table156[[#This Row],[Total_Cost_MUSD]]*Table156[[#This Row],[prob50-failure_rating5]]/50</f>
        <v>8.1951703935999987E-6</v>
      </c>
      <c r="JC15" s="1">
        <f>Table156[[#This Row],[Total_Cost_MUSD]]*Table156[[#This Row],[prob50-failure_rating6]]/50</f>
        <v>2.5609907479999999E-4</v>
      </c>
      <c r="JD15" s="1">
        <f>Table156[[#This Row],[Total_Cost_MUSD]]*Table156[[#This Row],[prob50-failure_rating7]]/50</f>
        <v>2.5609907479999999E-4</v>
      </c>
      <c r="JE15" s="1">
        <f>Table156[[#This Row],[Total_Cost_MUSD]]*Table156[[#This Row],[prob50-failure_rating8]]/50</f>
        <v>5.1219814960000009E-6</v>
      </c>
      <c r="JF15" s="1">
        <f>Table156[[#This Row],[Total_Cost_MUSD]]*Table156[[#This Row],[prob50-failure_rating9]]/50</f>
        <v>3.0731888975999999E-6</v>
      </c>
      <c r="JG15" s="1">
        <f>Table156[[#This Row],[Total_Cost_MUSD]]*Table156[[#This Row],[prob10-failure_rating1]]/10</f>
        <v>5.1219814959999999E-2</v>
      </c>
      <c r="JH15" s="1">
        <f>Table156[[#This Row],[Total_Cost_MUSD]]*Table156[[#This Row],[prob10-failure_rating2]]/10</f>
        <v>4.0975851968E-2</v>
      </c>
      <c r="JI15" s="1">
        <f>Table156[[#This Row],[Total_Cost_MUSD]]*Table156[[#This Row],[prob10-failure_rating3]]/10</f>
        <v>8.1951703935999997E-3</v>
      </c>
      <c r="JJ15" s="1">
        <f>Table156[[#This Row],[Total_Cost_MUSD]]*Table156[[#This Row],[prob10-failure_rating4]]/10</f>
        <v>3.0731888975999997E-3</v>
      </c>
      <c r="JK15" s="1">
        <f>Table156[[#This Row],[Total_Cost_MUSD]]*Table156[[#This Row],[prob10-failure_rating5]]/10</f>
        <v>2.0487925984000004E-4</v>
      </c>
      <c r="JL15" s="1">
        <f>Table156[[#This Row],[Total_Cost_MUSD]]*Table156[[#This Row],[prob10-failure_rating6]]/10</f>
        <v>2.0487925983999999E-3</v>
      </c>
      <c r="JM15" s="1">
        <f>Table156[[#This Row],[Total_Cost_MUSD]]*Table156[[#This Row],[prob10-failure_rating7]]/10</f>
        <v>2.0487925983999999E-3</v>
      </c>
      <c r="JN15" s="1">
        <f>Table156[[#This Row],[Total_Cost_MUSD]]*Table156[[#This Row],[prob10-failure_rating8]]/10</f>
        <v>1.0243962992000002E-4</v>
      </c>
      <c r="JO15" s="1">
        <f>Table156[[#This Row],[Total_Cost_MUSD]]*Table156[[#This Row],[prob10-failure_rating9]]/10</f>
        <v>2.0487925983999997E-5</v>
      </c>
      <c r="JP15" s="1">
        <f>Table156[[#This Row],[FailureCost_Rating1]]</f>
        <v>51219.814959999996</v>
      </c>
      <c r="JQ15" s="1">
        <f>Table156[[#This Row],[FailureCost_Rating2]]</f>
        <v>51219.814959999996</v>
      </c>
      <c r="JR15" s="1">
        <f>(Table156[[#This Row],[failurecost500_rating2]]+Table156[[#This Row],[failurecost100_rating2]]+Table156[[#This Row],[failurecost50_rating2]]+Table156[[#This Row],[failurecost10_rating2]])*1000000</f>
        <v>51219.814959999996</v>
      </c>
      <c r="JS15" s="1">
        <f>(Table156[[#This Row],[failurecost500_rating3]]+Table156[[#This Row],[failurecost100_rating3]]+Table156[[#This Row],[failurecost50_rating3]]+Table156[[#This Row],[failurecost10_rating3]])*1000000</f>
        <v>11063.480031359999</v>
      </c>
      <c r="JT15" s="1">
        <f>(Table156[[#This Row],[failurecost500_rating4]]+Table156[[#This Row],[failurecost100_rating4]]+Table156[[#This Row],[failurecost50_rating4]]+Table156[[#This Row],[failurecost10_rating4]])*1000000</f>
        <v>3882.4619739679993</v>
      </c>
      <c r="JU15" s="1">
        <f>(Table156[[#This Row],[failurecost500_rating5]]+Table156[[#This Row],[failurecost100_rating5]]+Table156[[#This Row],[failurecost50_rating5]]+Table156[[#This Row],[failurecost10_rating5]])*1000000</f>
        <v>217.88909283984003</v>
      </c>
      <c r="JV15" s="1">
        <f>(Table156[[#This Row],[failurecost500_rating6]]+Table156[[#This Row],[failurecost100_rating6]]+Table156[[#This Row],[failurecost50_rating6]]+Table156[[#This Row],[failurecost10_rating6]])*1000000</f>
        <v>2451.3803439856001</v>
      </c>
      <c r="JW15" s="1">
        <f>(Table156[[#This Row],[failurecost500_rating7]]+Table156[[#This Row],[failurecost100_rating7]]+Table156[[#This Row],[failurecost50_rating7]]+Table156[[#This Row],[failurecost10_rating7]])*1000000</f>
        <v>2451.3803439856001</v>
      </c>
      <c r="JX15" s="1">
        <f>(Table156[[#This Row],[failurecost500_rating8]]+Table156[[#This Row],[failurecost100_rating8]]+Table156[[#This Row],[failurecost50_rating8]]+Table156[[#This Row],[failurecost10_rating8]])*1000000</f>
        <v>110.53236068368001</v>
      </c>
      <c r="JY15" s="1">
        <f>(Table156[[#This Row],[failurecost500_rating9]]+Table156[[#This Row],[failurecost100_rating9]]+Table156[[#This Row],[failurecost50_rating9]]+Table156[[#This Row],[failurecost10_rating9]])*1000000</f>
        <v>25.353808405199999</v>
      </c>
    </row>
    <row r="16" spans="1:285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Table156[[#This Row],[Depth10_Soil_vol]]*(9.353+9.027)+(Table156[[#This Row],[Depth10_Soil_vol]]/2.5)*20*1.053+(PI()*Table156[[#This Row],[Depth10_Scour]])*Table156[[#This Row],[DECK_WIDTH_MT_052]]*1.062</f>
        <v>6758.7093437956364</v>
      </c>
      <c r="AR16" s="1">
        <f>Table156[[#This Row],[Depth50_Soil_vol]]*(9.353+9.027)+(Table156[[#This Row],[Depth50_Soil_vol]]/2.5)*20*1.053+(PI()*Table156[[#This Row],[Depth50_Scour]])*Table156[[#This Row],[DECK_WIDTH_MT_052]]*1.062</f>
        <v>7157.860599196707</v>
      </c>
      <c r="AS16" s="1">
        <f>Table156[[#This Row],[Depth100_Soil_vol]]*(9.353+9.027)+(Table156[[#This Row],[Depth100_Soil_vol]]/2.5)*20*1.053+(PI()*Table156[[#This Row],[Depth100_Scour]])*Table156[[#This Row],[DECK_WIDTH_MT_052]]*1.062</f>
        <v>7335.7235370312192</v>
      </c>
      <c r="AT16" s="1">
        <f>Table156[[#This Row],[Depth500_Soil_vol]]*(9.353+9.027)+(Table156[[#This Row],[Depth500_Soil_vol]]/2.5)*20*1.053+(PI()*Table156[[#This Row],[Depth500_Scour]])*Table156[[#This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0.66</v>
      </c>
      <c r="GF16" s="1">
        <v>73.969602710000004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v>24656.53423666667</v>
      </c>
      <c r="GM16" s="1">
        <v>22190.880813</v>
      </c>
      <c r="GN16" s="1">
        <v>19725.227389333337</v>
      </c>
      <c r="GO16" s="1">
        <v>14793.920542000002</v>
      </c>
      <c r="GP16" s="1">
        <v>9862.6136946666684</v>
      </c>
      <c r="GQ16" s="1">
        <v>4931.3068473333342</v>
      </c>
      <c r="GR16" s="1">
        <v>2465.6534236666666</v>
      </c>
      <c r="GS16" s="1">
        <v>0</v>
      </c>
      <c r="GT16" s="1">
        <v>0</v>
      </c>
      <c r="GU16" s="1">
        <v>0</v>
      </c>
      <c r="GV16" s="1">
        <f t="shared" si="0"/>
        <v>2.5000000000000001E-2</v>
      </c>
      <c r="GW16" s="1">
        <v>0.01</v>
      </c>
      <c r="GX16" s="1">
        <v>2.5000000000000001E-3</v>
      </c>
      <c r="GY16" s="1">
        <v>4.0000000000000002E-4</v>
      </c>
      <c r="GZ16" s="1">
        <v>6.9999999999999999E-6</v>
      </c>
      <c r="HA16" s="1">
        <v>1.8000000000000001E-4</v>
      </c>
      <c r="HB16" s="1">
        <v>1.8000000000000001E-4</v>
      </c>
      <c r="HC16" s="1">
        <v>3.9999999999999998E-6</v>
      </c>
      <c r="HD16" s="1">
        <v>2.5000000000000002E-6</v>
      </c>
      <c r="HE16" s="1">
        <f t="shared" si="1"/>
        <v>1.2500000000000001E-2</v>
      </c>
      <c r="HF16" s="1">
        <v>6.0000000000000001E-3</v>
      </c>
      <c r="HG16" s="1">
        <v>2.5000000000000001E-3</v>
      </c>
      <c r="HH16" s="1">
        <v>5.0000000000000001E-4</v>
      </c>
      <c r="HI16" s="1">
        <v>7.9999999999999996E-6</v>
      </c>
      <c r="HJ16" s="1">
        <v>2.5000000000000001E-4</v>
      </c>
      <c r="HK16" s="1">
        <v>2.5000000000000001E-4</v>
      </c>
      <c r="HL16" s="1">
        <v>5.0000000000000004E-6</v>
      </c>
      <c r="HM16" s="1">
        <v>3.0000000000000001E-6</v>
      </c>
      <c r="HN16" s="1">
        <v>0.01</v>
      </c>
      <c r="HO16" s="1">
        <v>6.0000000000000001E-3</v>
      </c>
      <c r="HP16" s="1">
        <v>1.2999999999999999E-3</v>
      </c>
      <c r="HQ16" s="1">
        <v>5.0000000000000001E-4</v>
      </c>
      <c r="HR16" s="1">
        <v>7.9999999999999996E-6</v>
      </c>
      <c r="HS16" s="1">
        <v>2.5000000000000001E-4</v>
      </c>
      <c r="HT16" s="1">
        <v>2.5000000000000001E-4</v>
      </c>
      <c r="HU16" s="1">
        <v>5.0000000000000004E-6</v>
      </c>
      <c r="HV16" s="1">
        <v>3.0000000000000001E-6</v>
      </c>
      <c r="HW16" s="1">
        <v>0.01</v>
      </c>
      <c r="HX16" s="1">
        <v>8.0000000000000002E-3</v>
      </c>
      <c r="HY16" s="1">
        <v>1.6000000000000001E-3</v>
      </c>
      <c r="HZ16" s="1">
        <v>5.9999999999999995E-4</v>
      </c>
      <c r="IA16" s="1">
        <v>4.0000000000000003E-5</v>
      </c>
      <c r="IB16" s="1">
        <v>4.0000000000000002E-4</v>
      </c>
      <c r="IC16" s="1">
        <v>4.0000000000000002E-4</v>
      </c>
      <c r="ID16" s="1">
        <v>2.0000000000000002E-5</v>
      </c>
      <c r="IE16" s="1">
        <v>3.9999999999999998E-6</v>
      </c>
      <c r="IF16" s="1">
        <f>Table156[[#This Row],[Total_Cost_MUSD]]*Table156[[#This Row],[prob500-failure_rating1]]/500</f>
        <v>3.6984801355000006E-3</v>
      </c>
      <c r="IG16" s="1">
        <f>Table156[[#This Row],[Total_Cost_MUSD]]*Table156[[#This Row],[prob500-failure_rating2]]/500</f>
        <v>1.4793920542000001E-3</v>
      </c>
      <c r="IH16" s="1">
        <f>Table156[[#This Row],[Total_Cost_MUSD]]*Table156[[#This Row],[prob500-failure_rating3]]/500</f>
        <v>3.6984801355000003E-4</v>
      </c>
      <c r="II16" s="1">
        <f>Table156[[#This Row],[Total_Cost_MUSD]]*Table156[[#This Row],[prob500-failure_rating4]]/500</f>
        <v>5.9175682168E-5</v>
      </c>
      <c r="IJ16" s="1">
        <f>Table156[[#This Row],[Total_Cost_MUSD]]*Table156[[#This Row],[prob500-failure_rating5]]/500</f>
        <v>1.0355744379400001E-6</v>
      </c>
      <c r="IK16" s="1">
        <f>Table156[[#This Row],[Total_Cost_MUSD]]*Table156[[#This Row],[prob500-failure_rating6]]/500</f>
        <v>2.6629056975600001E-5</v>
      </c>
      <c r="IL16" s="1">
        <f>Table156[[#This Row],[Total_Cost_MUSD]]*Table156[[#This Row],[prob500-failure_rating7]]/500</f>
        <v>2.6629056975600001E-5</v>
      </c>
      <c r="IM16" s="1">
        <f>Table156[[#This Row],[Total_Cost_MUSD]]*Table156[[#This Row],[prob500-failure_rating8]]/500</f>
        <v>5.9175682168000002E-7</v>
      </c>
      <c r="IN16" s="1">
        <f>Table156[[#This Row],[Total_Cost_MUSD]]*Table156[[#This Row],[prob500-failure_rating9]]/500</f>
        <v>3.6984801355000002E-7</v>
      </c>
      <c r="IO16" s="1">
        <f>Table156[[#This Row],[Total_Cost_MUSD]]*Table156[[#This Row],[prob100-failure_rating1]]/100</f>
        <v>9.2462003387500016E-3</v>
      </c>
      <c r="IP16" s="1">
        <f>Table156[[#This Row],[Total_Cost_MUSD]]*Table156[[#This Row],[prob100-failure_rating2]]/100</f>
        <v>4.4381761626000006E-3</v>
      </c>
      <c r="IQ16" s="1">
        <f>Table156[[#This Row],[Total_Cost_MUSD]]*Table156[[#This Row],[prob100-failure_rating3]]/100</f>
        <v>1.8492400677500001E-3</v>
      </c>
      <c r="IR16" s="1">
        <f>Table156[[#This Row],[Total_Cost_MUSD]]*Table156[[#This Row],[prob100-failure_rating4]]/100</f>
        <v>3.6984801354999998E-4</v>
      </c>
      <c r="IS16" s="1">
        <f>Table156[[#This Row],[Total_Cost_MUSD]]*Table156[[#This Row],[prob100-failure_rating5]]/100</f>
        <v>5.9175682168000004E-6</v>
      </c>
      <c r="IT16" s="1">
        <f>Table156[[#This Row],[Total_Cost_MUSD]]*Table156[[#This Row],[prob100-failure_rating6]]/100</f>
        <v>1.8492400677499999E-4</v>
      </c>
      <c r="IU16" s="1">
        <f>Table156[[#This Row],[Total_Cost_MUSD]]*Table156[[#This Row],[prob100-failure_rating7]]/100</f>
        <v>1.8492400677499999E-4</v>
      </c>
      <c r="IV16" s="1">
        <f>Table156[[#This Row],[Total_Cost_MUSD]]*Table156[[#This Row],[prob100-failure_rating8]]/100</f>
        <v>3.6984801355000005E-6</v>
      </c>
      <c r="IW16" s="1">
        <f>Table156[[#This Row],[Total_Cost_MUSD]]*Table156[[#This Row],[prob100-failure_rating9]]/100</f>
        <v>2.2190880813000004E-6</v>
      </c>
      <c r="IX16" s="1">
        <f>Table156[[#This Row],[Total_Cost_MUSD]]*Table156[[#This Row],[prob50-failure_rating1]]/50</f>
        <v>1.4793920542000001E-2</v>
      </c>
      <c r="IY16" s="1">
        <f>Table156[[#This Row],[Total_Cost_MUSD]]*Table156[[#This Row],[prob50-failure_rating2]]/50</f>
        <v>8.8763523252000012E-3</v>
      </c>
      <c r="IZ16" s="1">
        <f>Table156[[#This Row],[Total_Cost_MUSD]]*Table156[[#This Row],[prob50-failure_rating3]]/50</f>
        <v>1.92320967046E-3</v>
      </c>
      <c r="JA16" s="1">
        <f>Table156[[#This Row],[Total_Cost_MUSD]]*Table156[[#This Row],[prob50-failure_rating4]]/50</f>
        <v>7.3969602709999995E-4</v>
      </c>
      <c r="JB16" s="1">
        <f>Table156[[#This Row],[Total_Cost_MUSD]]*Table156[[#This Row],[prob50-failure_rating5]]/50</f>
        <v>1.1835136433600001E-5</v>
      </c>
      <c r="JC16" s="1">
        <f>Table156[[#This Row],[Total_Cost_MUSD]]*Table156[[#This Row],[prob50-failure_rating6]]/50</f>
        <v>3.6984801354999998E-4</v>
      </c>
      <c r="JD16" s="1">
        <f>Table156[[#This Row],[Total_Cost_MUSD]]*Table156[[#This Row],[prob50-failure_rating7]]/50</f>
        <v>3.6984801354999998E-4</v>
      </c>
      <c r="JE16" s="1">
        <f>Table156[[#This Row],[Total_Cost_MUSD]]*Table156[[#This Row],[prob50-failure_rating8]]/50</f>
        <v>7.3969602710000009E-6</v>
      </c>
      <c r="JF16" s="1">
        <f>Table156[[#This Row],[Total_Cost_MUSD]]*Table156[[#This Row],[prob50-failure_rating9]]/50</f>
        <v>4.4381761626000007E-6</v>
      </c>
      <c r="JG16" s="1">
        <f>Table156[[#This Row],[Total_Cost_MUSD]]*Table156[[#This Row],[prob10-failure_rating1]]/10</f>
        <v>7.3969602709999999E-2</v>
      </c>
      <c r="JH16" s="1">
        <f>Table156[[#This Row],[Total_Cost_MUSD]]*Table156[[#This Row],[prob10-failure_rating2]]/10</f>
        <v>5.9175682167999996E-2</v>
      </c>
      <c r="JI16" s="1">
        <f>Table156[[#This Row],[Total_Cost_MUSD]]*Table156[[#This Row],[prob10-failure_rating3]]/10</f>
        <v>1.1835136433600001E-2</v>
      </c>
      <c r="JJ16" s="1">
        <f>Table156[[#This Row],[Total_Cost_MUSD]]*Table156[[#This Row],[prob10-failure_rating4]]/10</f>
        <v>4.4381761625999997E-3</v>
      </c>
      <c r="JK16" s="1">
        <f>Table156[[#This Row],[Total_Cost_MUSD]]*Table156[[#This Row],[prob10-failure_rating5]]/10</f>
        <v>2.9587841084E-4</v>
      </c>
      <c r="JL16" s="1">
        <f>Table156[[#This Row],[Total_Cost_MUSD]]*Table156[[#This Row],[prob10-failure_rating6]]/10</f>
        <v>2.9587841084000002E-3</v>
      </c>
      <c r="JM16" s="1">
        <f>Table156[[#This Row],[Total_Cost_MUSD]]*Table156[[#This Row],[prob10-failure_rating7]]/10</f>
        <v>2.9587841084000002E-3</v>
      </c>
      <c r="JN16" s="1">
        <f>Table156[[#This Row],[Total_Cost_MUSD]]*Table156[[#This Row],[prob10-failure_rating8]]/10</f>
        <v>1.4793920542E-4</v>
      </c>
      <c r="JO16" s="1">
        <f>Table156[[#This Row],[Total_Cost_MUSD]]*Table156[[#This Row],[prob10-failure_rating9]]/10</f>
        <v>2.9587841084E-5</v>
      </c>
      <c r="JP16" s="1">
        <f>Table156[[#This Row],[FailureCost_Rating1]]</f>
        <v>73969.602709999992</v>
      </c>
      <c r="JQ16" s="1">
        <f>Table156[[#This Row],[FailureCost_Rating2]]</f>
        <v>73969.602709999992</v>
      </c>
      <c r="JR16" s="1">
        <f>(Table156[[#This Row],[failurecost500_rating2]]+Table156[[#This Row],[failurecost100_rating2]]+Table156[[#This Row],[failurecost50_rating2]]+Table156[[#This Row],[failurecost10_rating2]])*1000000</f>
        <v>73969.602709999992</v>
      </c>
      <c r="JS16" s="1">
        <f>(Table156[[#This Row],[failurecost500_rating3]]+Table156[[#This Row],[failurecost100_rating3]]+Table156[[#This Row],[failurecost50_rating3]]+Table156[[#This Row],[failurecost10_rating3]])*1000000</f>
        <v>15977.43418536</v>
      </c>
      <c r="JT16" s="1">
        <f>(Table156[[#This Row],[failurecost500_rating4]]+Table156[[#This Row],[failurecost100_rating4]]+Table156[[#This Row],[failurecost50_rating4]]+Table156[[#This Row],[failurecost10_rating4]])*1000000</f>
        <v>5606.895885418</v>
      </c>
      <c r="JU16" s="1">
        <f>(Table156[[#This Row],[failurecost500_rating5]]+Table156[[#This Row],[failurecost100_rating5]]+Table156[[#This Row],[failurecost50_rating5]]+Table156[[#This Row],[failurecost10_rating5]])*1000000</f>
        <v>314.66668992834002</v>
      </c>
      <c r="JV16" s="1">
        <f>(Table156[[#This Row],[failurecost500_rating6]]+Table156[[#This Row],[failurecost100_rating6]]+Table156[[#This Row],[failurecost50_rating6]]+Table156[[#This Row],[failurecost10_rating6]])*1000000</f>
        <v>3540.1851857006004</v>
      </c>
      <c r="JW16" s="1">
        <f>(Table156[[#This Row],[failurecost500_rating7]]+Table156[[#This Row],[failurecost100_rating7]]+Table156[[#This Row],[failurecost50_rating7]]+Table156[[#This Row],[failurecost10_rating7]])*1000000</f>
        <v>3540.1851857006004</v>
      </c>
      <c r="JX16" s="1">
        <f>(Table156[[#This Row],[failurecost500_rating8]]+Table156[[#This Row],[failurecost100_rating8]]+Table156[[#This Row],[failurecost50_rating8]]+Table156[[#This Row],[failurecost10_rating8]])*1000000</f>
        <v>159.62640264818</v>
      </c>
      <c r="JY16" s="1">
        <f>(Table156[[#This Row],[failurecost500_rating9]]+Table156[[#This Row],[failurecost100_rating9]]+Table156[[#This Row],[failurecost50_rating9]]+Table156[[#This Row],[failurecost10_rating9]])*1000000</f>
        <v>36.614953341449997</v>
      </c>
    </row>
    <row r="17" spans="1:285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Table156[[#This Row],[Depth10_Soil_vol]]*(9.353+9.027)+(Table156[[#This Row],[Depth10_Soil_vol]]/2.5)*20*1.053+(PI()*Table156[[#This Row],[Depth10_Scour]])*Table156[[#This Row],[DECK_WIDTH_MT_052]]*1.062</f>
        <v>0</v>
      </c>
      <c r="AR17" s="1">
        <f>Table156[[#This Row],[Depth50_Soil_vol]]*(9.353+9.027)+(Table156[[#This Row],[Depth50_Soil_vol]]/2.5)*20*1.053+(PI()*Table156[[#This Row],[Depth50_Scour]])*Table156[[#This Row],[DECK_WIDTH_MT_052]]*1.062</f>
        <v>73.925295948361111</v>
      </c>
      <c r="AS17" s="1">
        <f>Table156[[#This Row],[Depth100_Soil_vol]]*(9.353+9.027)+(Table156[[#This Row],[Depth100_Soil_vol]]/2.5)*20*1.053+(PI()*Table156[[#This Row],[Depth100_Scour]])*Table156[[#This Row],[DECK_WIDTH_MT_052]]*1.062</f>
        <v>101.29876563204503</v>
      </c>
      <c r="AT17" s="1">
        <f>Table156[[#This Row],[Depth500_Soil_vol]]*(9.353+9.027)+(Table156[[#This Row],[Depth500_Soil_vol]]/2.5)*20*1.053+(PI()*Table156[[#This Row],[Depth500_Scour]])*Table156[[#This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0.22800000000000001</v>
      </c>
      <c r="GF17" s="1">
        <v>8.343465471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v>2781.1551569999997</v>
      </c>
      <c r="GM17" s="1">
        <v>2503.0396412999999</v>
      </c>
      <c r="GN17" s="1">
        <v>2224.9241256</v>
      </c>
      <c r="GO17" s="1">
        <v>1668.6930941999999</v>
      </c>
      <c r="GP17" s="1">
        <v>1112.4620628</v>
      </c>
      <c r="GQ17" s="1">
        <v>556.23103140000001</v>
      </c>
      <c r="GR17" s="1">
        <v>278.1155157</v>
      </c>
      <c r="GS17" s="1">
        <v>0</v>
      </c>
      <c r="GT17" s="1">
        <v>0</v>
      </c>
      <c r="GU17" s="1">
        <v>0</v>
      </c>
      <c r="GV17" s="1">
        <f t="shared" si="0"/>
        <v>2.5000000000000001E-2</v>
      </c>
      <c r="GW17" s="1">
        <v>0.01</v>
      </c>
      <c r="GX17" s="1">
        <v>2.5000000000000001E-3</v>
      </c>
      <c r="GY17" s="1">
        <v>4.0000000000000002E-4</v>
      </c>
      <c r="GZ17" s="1">
        <v>6.9999999999999999E-6</v>
      </c>
      <c r="HA17" s="1">
        <v>1.8000000000000001E-4</v>
      </c>
      <c r="HB17" s="1">
        <v>1.8000000000000001E-4</v>
      </c>
      <c r="HC17" s="1">
        <v>3.9999999999999998E-6</v>
      </c>
      <c r="HD17" s="1">
        <v>2.5000000000000002E-6</v>
      </c>
      <c r="HE17" s="1">
        <f t="shared" si="1"/>
        <v>1.2500000000000001E-2</v>
      </c>
      <c r="HF17" s="1">
        <v>6.0000000000000001E-3</v>
      </c>
      <c r="HG17" s="1">
        <v>2.5000000000000001E-3</v>
      </c>
      <c r="HH17" s="1">
        <v>5.0000000000000001E-4</v>
      </c>
      <c r="HI17" s="1">
        <v>7.9999999999999996E-6</v>
      </c>
      <c r="HJ17" s="1">
        <v>2.5000000000000001E-4</v>
      </c>
      <c r="HK17" s="1">
        <v>2.5000000000000001E-4</v>
      </c>
      <c r="HL17" s="1">
        <v>5.0000000000000004E-6</v>
      </c>
      <c r="HM17" s="1">
        <v>3.0000000000000001E-6</v>
      </c>
      <c r="HN17" s="1">
        <v>0.01</v>
      </c>
      <c r="HO17" s="1">
        <v>6.0000000000000001E-3</v>
      </c>
      <c r="HP17" s="1">
        <v>1.2999999999999999E-3</v>
      </c>
      <c r="HQ17" s="1">
        <v>5.0000000000000001E-4</v>
      </c>
      <c r="HR17" s="1">
        <v>7.9999999999999996E-6</v>
      </c>
      <c r="HS17" s="1">
        <v>2.5000000000000001E-4</v>
      </c>
      <c r="HT17" s="1">
        <v>2.5000000000000001E-4</v>
      </c>
      <c r="HU17" s="1">
        <v>5.0000000000000004E-6</v>
      </c>
      <c r="HV17" s="1">
        <v>3.0000000000000001E-6</v>
      </c>
      <c r="HW17" s="1">
        <v>0.01</v>
      </c>
      <c r="HX17" s="1">
        <v>8.0000000000000002E-3</v>
      </c>
      <c r="HY17" s="1">
        <v>1.6000000000000001E-3</v>
      </c>
      <c r="HZ17" s="1">
        <v>5.9999999999999995E-4</v>
      </c>
      <c r="IA17" s="1">
        <v>4.0000000000000003E-5</v>
      </c>
      <c r="IB17" s="1">
        <v>4.0000000000000002E-4</v>
      </c>
      <c r="IC17" s="1">
        <v>4.0000000000000002E-4</v>
      </c>
      <c r="ID17" s="1">
        <v>2.0000000000000002E-5</v>
      </c>
      <c r="IE17" s="1">
        <v>3.9999999999999998E-6</v>
      </c>
      <c r="IF17" s="1">
        <f>Table156[[#This Row],[Total_Cost_MUSD]]*Table156[[#This Row],[prob500-failure_rating1]]/500</f>
        <v>4.1717327354999999E-4</v>
      </c>
      <c r="IG17" s="1">
        <f>Table156[[#This Row],[Total_Cost_MUSD]]*Table156[[#This Row],[prob500-failure_rating2]]/500</f>
        <v>1.6686930942E-4</v>
      </c>
      <c r="IH17" s="1">
        <f>Table156[[#This Row],[Total_Cost_MUSD]]*Table156[[#This Row],[prob500-failure_rating3]]/500</f>
        <v>4.1717327355000001E-5</v>
      </c>
      <c r="II17" s="1">
        <f>Table156[[#This Row],[Total_Cost_MUSD]]*Table156[[#This Row],[prob500-failure_rating4]]/500</f>
        <v>6.6747723768000004E-6</v>
      </c>
      <c r="IJ17" s="1">
        <f>Table156[[#This Row],[Total_Cost_MUSD]]*Table156[[#This Row],[prob500-failure_rating5]]/500</f>
        <v>1.16808516594E-7</v>
      </c>
      <c r="IK17" s="1">
        <f>Table156[[#This Row],[Total_Cost_MUSD]]*Table156[[#This Row],[prob500-failure_rating6]]/500</f>
        <v>3.0036475695600002E-6</v>
      </c>
      <c r="IL17" s="1">
        <f>Table156[[#This Row],[Total_Cost_MUSD]]*Table156[[#This Row],[prob500-failure_rating7]]/500</f>
        <v>3.0036475695600002E-6</v>
      </c>
      <c r="IM17" s="1">
        <f>Table156[[#This Row],[Total_Cost_MUSD]]*Table156[[#This Row],[prob500-failure_rating8]]/500</f>
        <v>6.6747723768000006E-8</v>
      </c>
      <c r="IN17" s="1">
        <f>Table156[[#This Row],[Total_Cost_MUSD]]*Table156[[#This Row],[prob500-failure_rating9]]/500</f>
        <v>4.1717327355000002E-8</v>
      </c>
      <c r="IO17" s="1">
        <f>Table156[[#This Row],[Total_Cost_MUSD]]*Table156[[#This Row],[prob100-failure_rating1]]/100</f>
        <v>1.0429331838750001E-3</v>
      </c>
      <c r="IP17" s="1">
        <f>Table156[[#This Row],[Total_Cost_MUSD]]*Table156[[#This Row],[prob100-failure_rating2]]/100</f>
        <v>5.0060792826000003E-4</v>
      </c>
      <c r="IQ17" s="1">
        <f>Table156[[#This Row],[Total_Cost_MUSD]]*Table156[[#This Row],[prob100-failure_rating3]]/100</f>
        <v>2.08586636775E-4</v>
      </c>
      <c r="IR17" s="1">
        <f>Table156[[#This Row],[Total_Cost_MUSD]]*Table156[[#This Row],[prob100-failure_rating4]]/100</f>
        <v>4.1717327355000001E-5</v>
      </c>
      <c r="IS17" s="1">
        <f>Table156[[#This Row],[Total_Cost_MUSD]]*Table156[[#This Row],[prob100-failure_rating5]]/100</f>
        <v>6.6747723768000004E-7</v>
      </c>
      <c r="IT17" s="1">
        <f>Table156[[#This Row],[Total_Cost_MUSD]]*Table156[[#This Row],[prob100-failure_rating6]]/100</f>
        <v>2.08586636775E-5</v>
      </c>
      <c r="IU17" s="1">
        <f>Table156[[#This Row],[Total_Cost_MUSD]]*Table156[[#This Row],[prob100-failure_rating7]]/100</f>
        <v>2.08586636775E-5</v>
      </c>
      <c r="IV17" s="1">
        <f>Table156[[#This Row],[Total_Cost_MUSD]]*Table156[[#This Row],[prob100-failure_rating8]]/100</f>
        <v>4.1717327355000002E-7</v>
      </c>
      <c r="IW17" s="1">
        <f>Table156[[#This Row],[Total_Cost_MUSD]]*Table156[[#This Row],[prob100-failure_rating9]]/100</f>
        <v>2.5030396413000001E-7</v>
      </c>
      <c r="IX17" s="1">
        <f>Table156[[#This Row],[Total_Cost_MUSD]]*Table156[[#This Row],[prob50-failure_rating1]]/50</f>
        <v>1.6686930942E-3</v>
      </c>
      <c r="IY17" s="1">
        <f>Table156[[#This Row],[Total_Cost_MUSD]]*Table156[[#This Row],[prob50-failure_rating2]]/50</f>
        <v>1.0012158565200001E-3</v>
      </c>
      <c r="IZ17" s="1">
        <f>Table156[[#This Row],[Total_Cost_MUSD]]*Table156[[#This Row],[prob50-failure_rating3]]/50</f>
        <v>2.1693010224599999E-4</v>
      </c>
      <c r="JA17" s="1">
        <f>Table156[[#This Row],[Total_Cost_MUSD]]*Table156[[#This Row],[prob50-failure_rating4]]/50</f>
        <v>8.3434654710000001E-5</v>
      </c>
      <c r="JB17" s="1">
        <f>Table156[[#This Row],[Total_Cost_MUSD]]*Table156[[#This Row],[prob50-failure_rating5]]/50</f>
        <v>1.3349544753600001E-6</v>
      </c>
      <c r="JC17" s="1">
        <f>Table156[[#This Row],[Total_Cost_MUSD]]*Table156[[#This Row],[prob50-failure_rating6]]/50</f>
        <v>4.1717327355000001E-5</v>
      </c>
      <c r="JD17" s="1">
        <f>Table156[[#This Row],[Total_Cost_MUSD]]*Table156[[#This Row],[prob50-failure_rating7]]/50</f>
        <v>4.1717327355000001E-5</v>
      </c>
      <c r="JE17" s="1">
        <f>Table156[[#This Row],[Total_Cost_MUSD]]*Table156[[#This Row],[prob50-failure_rating8]]/50</f>
        <v>8.3434654710000005E-7</v>
      </c>
      <c r="JF17" s="1">
        <f>Table156[[#This Row],[Total_Cost_MUSD]]*Table156[[#This Row],[prob50-failure_rating9]]/50</f>
        <v>5.0060792826000003E-7</v>
      </c>
      <c r="JG17" s="1">
        <f>Table156[[#This Row],[Total_Cost_MUSD]]*Table156[[#This Row],[prob10-failure_rating1]]/10</f>
        <v>8.3434654710000007E-3</v>
      </c>
      <c r="JH17" s="1">
        <f>Table156[[#This Row],[Total_Cost_MUSD]]*Table156[[#This Row],[prob10-failure_rating2]]/10</f>
        <v>6.6747723768000007E-3</v>
      </c>
      <c r="JI17" s="1">
        <f>Table156[[#This Row],[Total_Cost_MUSD]]*Table156[[#This Row],[prob10-failure_rating3]]/10</f>
        <v>1.3349544753600002E-3</v>
      </c>
      <c r="JJ17" s="1">
        <f>Table156[[#This Row],[Total_Cost_MUSD]]*Table156[[#This Row],[prob10-failure_rating4]]/10</f>
        <v>5.0060792826000003E-4</v>
      </c>
      <c r="JK17" s="1">
        <f>Table156[[#This Row],[Total_Cost_MUSD]]*Table156[[#This Row],[prob10-failure_rating5]]/10</f>
        <v>3.3373861884000002E-5</v>
      </c>
      <c r="JL17" s="1">
        <f>Table156[[#This Row],[Total_Cost_MUSD]]*Table156[[#This Row],[prob10-failure_rating6]]/10</f>
        <v>3.3373861884000006E-4</v>
      </c>
      <c r="JM17" s="1">
        <f>Table156[[#This Row],[Total_Cost_MUSD]]*Table156[[#This Row],[prob10-failure_rating7]]/10</f>
        <v>3.3373861884000006E-4</v>
      </c>
      <c r="JN17" s="1">
        <f>Table156[[#This Row],[Total_Cost_MUSD]]*Table156[[#This Row],[prob10-failure_rating8]]/10</f>
        <v>1.6686930942000001E-5</v>
      </c>
      <c r="JO17" s="1">
        <f>Table156[[#This Row],[Total_Cost_MUSD]]*Table156[[#This Row],[prob10-failure_rating9]]/10</f>
        <v>3.3373861884000002E-6</v>
      </c>
      <c r="JP17" s="1">
        <f>Table156[[#This Row],[FailureCost_Rating1]]</f>
        <v>8343.4654710000013</v>
      </c>
      <c r="JQ17" s="1">
        <f>Table156[[#This Row],[FailureCost_Rating2]]</f>
        <v>8343.4654710000013</v>
      </c>
      <c r="JR17" s="1">
        <f>(Table156[[#This Row],[failurecost500_rating2]]+Table156[[#This Row],[failurecost100_rating2]]+Table156[[#This Row],[failurecost50_rating2]]+Table156[[#This Row],[failurecost10_rating2]])*1000000</f>
        <v>8343.4654710000013</v>
      </c>
      <c r="JS17" s="1">
        <f>(Table156[[#This Row],[failurecost500_rating3]]+Table156[[#This Row],[failurecost100_rating3]]+Table156[[#This Row],[failurecost50_rating3]]+Table156[[#This Row],[failurecost10_rating3]])*1000000</f>
        <v>1802.1885417360004</v>
      </c>
      <c r="JT17" s="1">
        <f>(Table156[[#This Row],[failurecost500_rating4]]+Table156[[#This Row],[failurecost100_rating4]]+Table156[[#This Row],[failurecost50_rating4]]+Table156[[#This Row],[failurecost10_rating4]])*1000000</f>
        <v>632.43468270180006</v>
      </c>
      <c r="JU17" s="1">
        <f>(Table156[[#This Row],[failurecost500_rating5]]+Table156[[#This Row],[failurecost100_rating5]]+Table156[[#This Row],[failurecost50_rating5]]+Table156[[#This Row],[failurecost10_rating5]])*1000000</f>
        <v>35.493102113634002</v>
      </c>
      <c r="JV17" s="1">
        <f>(Table156[[#This Row],[failurecost500_rating6]]+Table156[[#This Row],[failurecost100_rating6]]+Table156[[#This Row],[failurecost50_rating6]]+Table156[[#This Row],[failurecost10_rating6]])*1000000</f>
        <v>399.31825744206003</v>
      </c>
      <c r="JW17" s="1">
        <f>(Table156[[#This Row],[failurecost500_rating7]]+Table156[[#This Row],[failurecost100_rating7]]+Table156[[#This Row],[failurecost50_rating7]]+Table156[[#This Row],[failurecost10_rating7]])*1000000</f>
        <v>399.31825744206003</v>
      </c>
      <c r="JX17" s="1">
        <f>(Table156[[#This Row],[failurecost500_rating8]]+Table156[[#This Row],[failurecost100_rating8]]+Table156[[#This Row],[failurecost50_rating8]]+Table156[[#This Row],[failurecost10_rating8]])*1000000</f>
        <v>18.005198486417999</v>
      </c>
      <c r="JY17" s="1">
        <f>(Table156[[#This Row],[failurecost500_rating9]]+Table156[[#This Row],[failurecost100_rating9]]+Table156[[#This Row],[failurecost50_rating9]]+Table156[[#This Row],[failurecost10_rating9]])*1000000</f>
        <v>4.1300154081450007</v>
      </c>
    </row>
    <row r="18" spans="1:285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Table156[[#This Row],[Depth10_Soil_vol]]*(9.353+9.027)+(Table156[[#This Row],[Depth10_Soil_vol]]/2.5)*20*1.053+(PI()*Table156[[#This Row],[Depth10_Scour]])*Table156[[#This Row],[DECK_WIDTH_MT_052]]*1.062</f>
        <v>15354.595084739485</v>
      </c>
      <c r="AR18" s="1">
        <f>Table156[[#This Row],[Depth50_Soil_vol]]*(9.353+9.027)+(Table156[[#This Row],[Depth50_Soil_vol]]/2.5)*20*1.053+(PI()*Table156[[#This Row],[Depth50_Scour]])*Table156[[#This Row],[DECK_WIDTH_MT_052]]*1.062</f>
        <v>13414.428771618834</v>
      </c>
      <c r="AS18" s="1">
        <f>Table156[[#This Row],[Depth100_Soil_vol]]*(9.353+9.027)+(Table156[[#This Row],[Depth100_Soil_vol]]/2.5)*20*1.053+(PI()*Table156[[#This Row],[Depth100_Scour]])*Table156[[#This Row],[DECK_WIDTH_MT_052]]*1.062</f>
        <v>13976.739331979787</v>
      </c>
      <c r="AT18" s="1">
        <f>Table156[[#This Row],[Depth500_Soil_vol]]*(9.353+9.027)+(Table156[[#This Row],[Depth500_Soil_vol]]/2.5)*20*1.053+(PI()*Table156[[#This Row],[Depth500_Scour]])*Table156[[#This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0.52800000000000002</v>
      </c>
      <c r="GF18" s="1">
        <v>2.8449664000000001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v>948.32213333333345</v>
      </c>
      <c r="GM18" s="1">
        <v>853.48991999999998</v>
      </c>
      <c r="GN18" s="1">
        <v>758.65770666666674</v>
      </c>
      <c r="GO18" s="1">
        <v>568.99328000000003</v>
      </c>
      <c r="GP18" s="1">
        <v>379.32885333333337</v>
      </c>
      <c r="GQ18" s="1">
        <v>189.66442666666669</v>
      </c>
      <c r="GR18" s="1">
        <v>94.832213333333343</v>
      </c>
      <c r="GS18" s="1">
        <v>0</v>
      </c>
      <c r="GT18" s="1">
        <v>0</v>
      </c>
      <c r="GU18" s="1">
        <v>0</v>
      </c>
      <c r="GV18" s="1">
        <f t="shared" si="0"/>
        <v>2.5000000000000001E-2</v>
      </c>
      <c r="GW18" s="1">
        <v>0.01</v>
      </c>
      <c r="GX18" s="1">
        <v>2.5000000000000001E-3</v>
      </c>
      <c r="GY18" s="1">
        <v>4.0000000000000002E-4</v>
      </c>
      <c r="GZ18" s="1">
        <v>6.9999999999999999E-6</v>
      </c>
      <c r="HA18" s="1">
        <v>1.8000000000000001E-4</v>
      </c>
      <c r="HB18" s="1">
        <v>1.8000000000000001E-4</v>
      </c>
      <c r="HC18" s="1">
        <v>3.9999999999999998E-6</v>
      </c>
      <c r="HD18" s="1">
        <v>2.5000000000000002E-6</v>
      </c>
      <c r="HE18" s="1">
        <f t="shared" si="1"/>
        <v>1.2500000000000001E-2</v>
      </c>
      <c r="HF18" s="1">
        <v>6.0000000000000001E-3</v>
      </c>
      <c r="HG18" s="1">
        <v>2.5000000000000001E-3</v>
      </c>
      <c r="HH18" s="1">
        <v>5.0000000000000001E-4</v>
      </c>
      <c r="HI18" s="1">
        <v>7.9999999999999996E-6</v>
      </c>
      <c r="HJ18" s="1">
        <v>2.5000000000000001E-4</v>
      </c>
      <c r="HK18" s="1">
        <v>2.5000000000000001E-4</v>
      </c>
      <c r="HL18" s="1">
        <v>5.0000000000000004E-6</v>
      </c>
      <c r="HM18" s="1">
        <v>3.0000000000000001E-6</v>
      </c>
      <c r="HN18" s="1">
        <v>0.01</v>
      </c>
      <c r="HO18" s="1">
        <v>6.0000000000000001E-3</v>
      </c>
      <c r="HP18" s="1">
        <v>1.2999999999999999E-3</v>
      </c>
      <c r="HQ18" s="1">
        <v>5.0000000000000001E-4</v>
      </c>
      <c r="HR18" s="1">
        <v>7.9999999999999996E-6</v>
      </c>
      <c r="HS18" s="1">
        <v>2.5000000000000001E-4</v>
      </c>
      <c r="HT18" s="1">
        <v>2.5000000000000001E-4</v>
      </c>
      <c r="HU18" s="1">
        <v>5.0000000000000004E-6</v>
      </c>
      <c r="HV18" s="1">
        <v>3.0000000000000001E-6</v>
      </c>
      <c r="HW18" s="1">
        <v>0.01</v>
      </c>
      <c r="HX18" s="1">
        <v>8.0000000000000002E-3</v>
      </c>
      <c r="HY18" s="1">
        <v>1.6000000000000001E-3</v>
      </c>
      <c r="HZ18" s="1">
        <v>5.9999999999999995E-4</v>
      </c>
      <c r="IA18" s="1">
        <v>4.0000000000000003E-5</v>
      </c>
      <c r="IB18" s="1">
        <v>4.0000000000000002E-4</v>
      </c>
      <c r="IC18" s="1">
        <v>4.0000000000000002E-4</v>
      </c>
      <c r="ID18" s="1">
        <v>2.0000000000000002E-5</v>
      </c>
      <c r="IE18" s="1">
        <v>3.9999999999999998E-6</v>
      </c>
      <c r="IF18" s="1">
        <f>Table156[[#This Row],[Total_Cost_MUSD]]*Table156[[#This Row],[prob500-failure_rating1]]/500</f>
        <v>1.4224832000000001E-4</v>
      </c>
      <c r="IG18" s="1">
        <f>Table156[[#This Row],[Total_Cost_MUSD]]*Table156[[#This Row],[prob500-failure_rating2]]/500</f>
        <v>5.6899328000000009E-5</v>
      </c>
      <c r="IH18" s="1">
        <f>Table156[[#This Row],[Total_Cost_MUSD]]*Table156[[#This Row],[prob500-failure_rating3]]/500</f>
        <v>1.4224832000000002E-5</v>
      </c>
      <c r="II18" s="1">
        <f>Table156[[#This Row],[Total_Cost_MUSD]]*Table156[[#This Row],[prob500-failure_rating4]]/500</f>
        <v>2.2759731200000002E-6</v>
      </c>
      <c r="IJ18" s="1">
        <f>Table156[[#This Row],[Total_Cost_MUSD]]*Table156[[#This Row],[prob500-failure_rating5]]/500</f>
        <v>3.9829529599999996E-8</v>
      </c>
      <c r="IK18" s="1">
        <f>Table156[[#This Row],[Total_Cost_MUSD]]*Table156[[#This Row],[prob500-failure_rating6]]/500</f>
        <v>1.024187904E-6</v>
      </c>
      <c r="IL18" s="1">
        <f>Table156[[#This Row],[Total_Cost_MUSD]]*Table156[[#This Row],[prob500-failure_rating7]]/500</f>
        <v>1.024187904E-6</v>
      </c>
      <c r="IM18" s="1">
        <f>Table156[[#This Row],[Total_Cost_MUSD]]*Table156[[#This Row],[prob500-failure_rating8]]/500</f>
        <v>2.27597312E-8</v>
      </c>
      <c r="IN18" s="1">
        <f>Table156[[#This Row],[Total_Cost_MUSD]]*Table156[[#This Row],[prob500-failure_rating9]]/500</f>
        <v>1.4224832000000003E-8</v>
      </c>
      <c r="IO18" s="1">
        <f>Table156[[#This Row],[Total_Cost_MUSD]]*Table156[[#This Row],[prob100-failure_rating1]]/100</f>
        <v>3.5562080000000002E-4</v>
      </c>
      <c r="IP18" s="1">
        <f>Table156[[#This Row],[Total_Cost_MUSD]]*Table156[[#This Row],[prob100-failure_rating2]]/100</f>
        <v>1.7069798400000003E-4</v>
      </c>
      <c r="IQ18" s="1">
        <f>Table156[[#This Row],[Total_Cost_MUSD]]*Table156[[#This Row],[prob100-failure_rating3]]/100</f>
        <v>7.1124160000000003E-5</v>
      </c>
      <c r="IR18" s="1">
        <f>Table156[[#This Row],[Total_Cost_MUSD]]*Table156[[#This Row],[prob100-failure_rating4]]/100</f>
        <v>1.4224832000000001E-5</v>
      </c>
      <c r="IS18" s="1">
        <f>Table156[[#This Row],[Total_Cost_MUSD]]*Table156[[#This Row],[prob100-failure_rating5]]/100</f>
        <v>2.2759731199999999E-7</v>
      </c>
      <c r="IT18" s="1">
        <f>Table156[[#This Row],[Total_Cost_MUSD]]*Table156[[#This Row],[prob100-failure_rating6]]/100</f>
        <v>7.1124160000000003E-6</v>
      </c>
      <c r="IU18" s="1">
        <f>Table156[[#This Row],[Total_Cost_MUSD]]*Table156[[#This Row],[prob100-failure_rating7]]/100</f>
        <v>7.1124160000000003E-6</v>
      </c>
      <c r="IV18" s="1">
        <f>Table156[[#This Row],[Total_Cost_MUSD]]*Table156[[#This Row],[prob100-failure_rating8]]/100</f>
        <v>1.4224832000000001E-7</v>
      </c>
      <c r="IW18" s="1">
        <f>Table156[[#This Row],[Total_Cost_MUSD]]*Table156[[#This Row],[prob100-failure_rating9]]/100</f>
        <v>8.5348992000000003E-8</v>
      </c>
      <c r="IX18" s="1">
        <f>Table156[[#This Row],[Total_Cost_MUSD]]*Table156[[#This Row],[prob50-failure_rating1]]/50</f>
        <v>5.6899328000000002E-4</v>
      </c>
      <c r="IY18" s="1">
        <f>Table156[[#This Row],[Total_Cost_MUSD]]*Table156[[#This Row],[prob50-failure_rating2]]/50</f>
        <v>3.4139596800000007E-4</v>
      </c>
      <c r="IZ18" s="1">
        <f>Table156[[#This Row],[Total_Cost_MUSD]]*Table156[[#This Row],[prob50-failure_rating3]]/50</f>
        <v>7.3969126400000001E-5</v>
      </c>
      <c r="JA18" s="1">
        <f>Table156[[#This Row],[Total_Cost_MUSD]]*Table156[[#This Row],[prob50-failure_rating4]]/50</f>
        <v>2.8449664000000001E-5</v>
      </c>
      <c r="JB18" s="1">
        <f>Table156[[#This Row],[Total_Cost_MUSD]]*Table156[[#This Row],[prob50-failure_rating5]]/50</f>
        <v>4.5519462399999998E-7</v>
      </c>
      <c r="JC18" s="1">
        <f>Table156[[#This Row],[Total_Cost_MUSD]]*Table156[[#This Row],[prob50-failure_rating6]]/50</f>
        <v>1.4224832000000001E-5</v>
      </c>
      <c r="JD18" s="1">
        <f>Table156[[#This Row],[Total_Cost_MUSD]]*Table156[[#This Row],[prob50-failure_rating7]]/50</f>
        <v>1.4224832000000001E-5</v>
      </c>
      <c r="JE18" s="1">
        <f>Table156[[#This Row],[Total_Cost_MUSD]]*Table156[[#This Row],[prob50-failure_rating8]]/50</f>
        <v>2.8449664000000003E-7</v>
      </c>
      <c r="JF18" s="1">
        <f>Table156[[#This Row],[Total_Cost_MUSD]]*Table156[[#This Row],[prob50-failure_rating9]]/50</f>
        <v>1.7069798400000001E-7</v>
      </c>
      <c r="JG18" s="1">
        <f>Table156[[#This Row],[Total_Cost_MUSD]]*Table156[[#This Row],[prob10-failure_rating1]]/10</f>
        <v>2.8449664000000001E-3</v>
      </c>
      <c r="JH18" s="1">
        <f>Table156[[#This Row],[Total_Cost_MUSD]]*Table156[[#This Row],[prob10-failure_rating2]]/10</f>
        <v>2.2759731200000001E-3</v>
      </c>
      <c r="JI18" s="1">
        <f>Table156[[#This Row],[Total_Cost_MUSD]]*Table156[[#This Row],[prob10-failure_rating3]]/10</f>
        <v>4.5519462400000002E-4</v>
      </c>
      <c r="JJ18" s="1">
        <f>Table156[[#This Row],[Total_Cost_MUSD]]*Table156[[#This Row],[prob10-failure_rating4]]/10</f>
        <v>1.7069798399999998E-4</v>
      </c>
      <c r="JK18" s="1">
        <f>Table156[[#This Row],[Total_Cost_MUSD]]*Table156[[#This Row],[prob10-failure_rating5]]/10</f>
        <v>1.1379865600000002E-5</v>
      </c>
      <c r="JL18" s="1">
        <f>Table156[[#This Row],[Total_Cost_MUSD]]*Table156[[#This Row],[prob10-failure_rating6]]/10</f>
        <v>1.13798656E-4</v>
      </c>
      <c r="JM18" s="1">
        <f>Table156[[#This Row],[Total_Cost_MUSD]]*Table156[[#This Row],[prob10-failure_rating7]]/10</f>
        <v>1.13798656E-4</v>
      </c>
      <c r="JN18" s="1">
        <f>Table156[[#This Row],[Total_Cost_MUSD]]*Table156[[#This Row],[prob10-failure_rating8]]/10</f>
        <v>5.6899328000000008E-6</v>
      </c>
      <c r="JO18" s="1">
        <f>Table156[[#This Row],[Total_Cost_MUSD]]*Table156[[#This Row],[prob10-failure_rating9]]/10</f>
        <v>1.1379865599999999E-6</v>
      </c>
      <c r="JP18" s="1">
        <f>Table156[[#This Row],[FailureCost_Rating1]]</f>
        <v>2844.9664000000002</v>
      </c>
      <c r="JQ18" s="1">
        <f>Table156[[#This Row],[FailureCost_Rating2]]</f>
        <v>2844.9664000000002</v>
      </c>
      <c r="JR18" s="1">
        <f>(Table156[[#This Row],[failurecost500_rating2]]+Table156[[#This Row],[failurecost100_rating2]]+Table156[[#This Row],[failurecost50_rating2]]+Table156[[#This Row],[failurecost10_rating2]])*1000000</f>
        <v>2844.9664000000002</v>
      </c>
      <c r="JS18" s="1">
        <f>(Table156[[#This Row],[failurecost500_rating3]]+Table156[[#This Row],[failurecost100_rating3]]+Table156[[#This Row],[failurecost50_rating3]]+Table156[[#This Row],[failurecost10_rating3]])*1000000</f>
        <v>614.51274239999998</v>
      </c>
      <c r="JT18" s="1">
        <f>(Table156[[#This Row],[failurecost500_rating4]]+Table156[[#This Row],[failurecost100_rating4]]+Table156[[#This Row],[failurecost50_rating4]]+Table156[[#This Row],[failurecost10_rating4]])*1000000</f>
        <v>215.64845312</v>
      </c>
      <c r="JU18" s="1">
        <f>(Table156[[#This Row],[failurecost500_rating5]]+Table156[[#This Row],[failurecost100_rating5]]+Table156[[#This Row],[failurecost50_rating5]]+Table156[[#This Row],[failurecost10_rating5]])*1000000</f>
        <v>12.1024870656</v>
      </c>
      <c r="JV18" s="1">
        <f>(Table156[[#This Row],[failurecost500_rating6]]+Table156[[#This Row],[failurecost100_rating6]]+Table156[[#This Row],[failurecost50_rating6]]+Table156[[#This Row],[failurecost10_rating6]])*1000000</f>
        <v>136.16009190400001</v>
      </c>
      <c r="JW18" s="1">
        <f>(Table156[[#This Row],[failurecost500_rating7]]+Table156[[#This Row],[failurecost100_rating7]]+Table156[[#This Row],[failurecost50_rating7]]+Table156[[#This Row],[failurecost10_rating7]])*1000000</f>
        <v>136.16009190400001</v>
      </c>
      <c r="JX18" s="1">
        <f>(Table156[[#This Row],[failurecost500_rating8]]+Table156[[#This Row],[failurecost100_rating8]]+Table156[[#This Row],[failurecost50_rating8]]+Table156[[#This Row],[failurecost10_rating8]])*1000000</f>
        <v>6.1394374912000007</v>
      </c>
      <c r="JY18" s="1">
        <f>(Table156[[#This Row],[failurecost500_rating9]]+Table156[[#This Row],[failurecost100_rating9]]+Table156[[#This Row],[failurecost50_rating9]]+Table156[[#This Row],[failurecost10_rating9]])*1000000</f>
        <v>1.4082583679999998</v>
      </c>
    </row>
    <row r="19" spans="1:285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Table156[[#This Row],[Depth10_Soil_vol]]*(9.353+9.027)+(Table156[[#This Row],[Depth10_Soil_vol]]/2.5)*20*1.053+(PI()*Table156[[#This Row],[Depth10_Scour]])*Table156[[#This Row],[DECK_WIDTH_MT_052]]*1.062</f>
        <v>10223.699035708925</v>
      </c>
      <c r="AR19" s="1">
        <f>Table156[[#This Row],[Depth50_Soil_vol]]*(9.353+9.027)+(Table156[[#This Row],[Depth50_Soil_vol]]/2.5)*20*1.053+(PI()*Table156[[#This Row],[Depth50_Scour]])*Table156[[#This Row],[DECK_WIDTH_MT_052]]*1.062</f>
        <v>11295.880242844603</v>
      </c>
      <c r="AS19" s="1">
        <f>Table156[[#This Row],[Depth100_Soil_vol]]*(9.353+9.027)+(Table156[[#This Row],[Depth100_Soil_vol]]/2.5)*20*1.053+(PI()*Table156[[#This Row],[Depth100_Scour]])*Table156[[#This Row],[DECK_WIDTH_MT_052]]*1.062</f>
        <v>11757.366155411924</v>
      </c>
      <c r="AT19" s="1">
        <f>Table156[[#This Row],[Depth500_Soil_vol]]*(9.353+9.027)+(Table156[[#This Row],[Depth500_Soil_vol]]/2.5)*20*1.053+(PI()*Table156[[#This Row],[Depth500_Scour]])*Table156[[#This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0.79200000000000004</v>
      </c>
      <c r="GF19" s="1">
        <v>29.559959710000001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v>9853.3199033333349</v>
      </c>
      <c r="GM19" s="1">
        <v>8867.987912999999</v>
      </c>
      <c r="GN19" s="1">
        <v>7882.6559226666659</v>
      </c>
      <c r="GO19" s="1">
        <v>5911.9919420000006</v>
      </c>
      <c r="GP19" s="1">
        <v>3941.327961333333</v>
      </c>
      <c r="GQ19" s="1">
        <v>1970.6639806666665</v>
      </c>
      <c r="GR19" s="1">
        <v>985.33199033333324</v>
      </c>
      <c r="GS19" s="1">
        <v>0</v>
      </c>
      <c r="GT19" s="1">
        <v>0</v>
      </c>
      <c r="GU19" s="1">
        <v>0</v>
      </c>
      <c r="GV19" s="1">
        <f t="shared" si="0"/>
        <v>2.5000000000000001E-2</v>
      </c>
      <c r="GW19" s="1">
        <v>0.01</v>
      </c>
      <c r="GX19" s="1">
        <v>2.5000000000000001E-3</v>
      </c>
      <c r="GY19" s="1">
        <v>4.0000000000000002E-4</v>
      </c>
      <c r="GZ19" s="1">
        <v>6.9999999999999999E-6</v>
      </c>
      <c r="HA19" s="1">
        <v>1.8000000000000001E-4</v>
      </c>
      <c r="HB19" s="1">
        <v>1.8000000000000001E-4</v>
      </c>
      <c r="HC19" s="1">
        <v>3.9999999999999998E-6</v>
      </c>
      <c r="HD19" s="1">
        <v>2.5000000000000002E-6</v>
      </c>
      <c r="HE19" s="1">
        <f t="shared" si="1"/>
        <v>1.2500000000000001E-2</v>
      </c>
      <c r="HF19" s="1">
        <v>6.0000000000000001E-3</v>
      </c>
      <c r="HG19" s="1">
        <v>2.5000000000000001E-3</v>
      </c>
      <c r="HH19" s="1">
        <v>5.0000000000000001E-4</v>
      </c>
      <c r="HI19" s="1">
        <v>7.9999999999999996E-6</v>
      </c>
      <c r="HJ19" s="1">
        <v>2.5000000000000001E-4</v>
      </c>
      <c r="HK19" s="1">
        <v>2.5000000000000001E-4</v>
      </c>
      <c r="HL19" s="1">
        <v>5.0000000000000004E-6</v>
      </c>
      <c r="HM19" s="1">
        <v>3.0000000000000001E-6</v>
      </c>
      <c r="HN19" s="1">
        <v>0.01</v>
      </c>
      <c r="HO19" s="1">
        <v>6.0000000000000001E-3</v>
      </c>
      <c r="HP19" s="1">
        <v>1.2999999999999999E-3</v>
      </c>
      <c r="HQ19" s="1">
        <v>5.0000000000000001E-4</v>
      </c>
      <c r="HR19" s="1">
        <v>7.9999999999999996E-6</v>
      </c>
      <c r="HS19" s="1">
        <v>2.5000000000000001E-4</v>
      </c>
      <c r="HT19" s="1">
        <v>2.5000000000000001E-4</v>
      </c>
      <c r="HU19" s="1">
        <v>5.0000000000000004E-6</v>
      </c>
      <c r="HV19" s="1">
        <v>3.0000000000000001E-6</v>
      </c>
      <c r="HW19" s="1">
        <v>0.01</v>
      </c>
      <c r="HX19" s="1">
        <v>8.0000000000000002E-3</v>
      </c>
      <c r="HY19" s="1">
        <v>1.6000000000000001E-3</v>
      </c>
      <c r="HZ19" s="1">
        <v>5.9999999999999995E-4</v>
      </c>
      <c r="IA19" s="1">
        <v>4.0000000000000003E-5</v>
      </c>
      <c r="IB19" s="1">
        <v>4.0000000000000002E-4</v>
      </c>
      <c r="IC19" s="1">
        <v>4.0000000000000002E-4</v>
      </c>
      <c r="ID19" s="1">
        <v>2.0000000000000002E-5</v>
      </c>
      <c r="IE19" s="1">
        <v>3.9999999999999998E-6</v>
      </c>
      <c r="IF19" s="1">
        <f>Table156[[#This Row],[Total_Cost_MUSD]]*Table156[[#This Row],[prob500-failure_rating1]]/500</f>
        <v>1.4779979855E-3</v>
      </c>
      <c r="IG19" s="1">
        <f>Table156[[#This Row],[Total_Cost_MUSD]]*Table156[[#This Row],[prob500-failure_rating2]]/500</f>
        <v>5.9119919419999998E-4</v>
      </c>
      <c r="IH19" s="1">
        <f>Table156[[#This Row],[Total_Cost_MUSD]]*Table156[[#This Row],[prob500-failure_rating3]]/500</f>
        <v>1.4779979855E-4</v>
      </c>
      <c r="II19" s="1">
        <f>Table156[[#This Row],[Total_Cost_MUSD]]*Table156[[#This Row],[prob500-failure_rating4]]/500</f>
        <v>2.3647967768000004E-5</v>
      </c>
      <c r="IJ19" s="1">
        <f>Table156[[#This Row],[Total_Cost_MUSD]]*Table156[[#This Row],[prob500-failure_rating5]]/500</f>
        <v>4.1383943594000002E-7</v>
      </c>
      <c r="IK19" s="1">
        <f>Table156[[#This Row],[Total_Cost_MUSD]]*Table156[[#This Row],[prob500-failure_rating6]]/500</f>
        <v>1.0641585495600001E-5</v>
      </c>
      <c r="IL19" s="1">
        <f>Table156[[#This Row],[Total_Cost_MUSD]]*Table156[[#This Row],[prob500-failure_rating7]]/500</f>
        <v>1.0641585495600001E-5</v>
      </c>
      <c r="IM19" s="1">
        <f>Table156[[#This Row],[Total_Cost_MUSD]]*Table156[[#This Row],[prob500-failure_rating8]]/500</f>
        <v>2.3647967768000001E-7</v>
      </c>
      <c r="IN19" s="1">
        <f>Table156[[#This Row],[Total_Cost_MUSD]]*Table156[[#This Row],[prob500-failure_rating9]]/500</f>
        <v>1.4779979855000003E-7</v>
      </c>
      <c r="IO19" s="1">
        <f>Table156[[#This Row],[Total_Cost_MUSD]]*Table156[[#This Row],[prob100-failure_rating1]]/100</f>
        <v>3.69499496375E-3</v>
      </c>
      <c r="IP19" s="1">
        <f>Table156[[#This Row],[Total_Cost_MUSD]]*Table156[[#This Row],[prob100-failure_rating2]]/100</f>
        <v>1.7735975825999999E-3</v>
      </c>
      <c r="IQ19" s="1">
        <f>Table156[[#This Row],[Total_Cost_MUSD]]*Table156[[#This Row],[prob100-failure_rating3]]/100</f>
        <v>7.3899899274999998E-4</v>
      </c>
      <c r="IR19" s="1">
        <f>Table156[[#This Row],[Total_Cost_MUSD]]*Table156[[#This Row],[prob100-failure_rating4]]/100</f>
        <v>1.4779979855E-4</v>
      </c>
      <c r="IS19" s="1">
        <f>Table156[[#This Row],[Total_Cost_MUSD]]*Table156[[#This Row],[prob100-failure_rating5]]/100</f>
        <v>2.3647967768000001E-6</v>
      </c>
      <c r="IT19" s="1">
        <f>Table156[[#This Row],[Total_Cost_MUSD]]*Table156[[#This Row],[prob100-failure_rating6]]/100</f>
        <v>7.3899899274999998E-5</v>
      </c>
      <c r="IU19" s="1">
        <f>Table156[[#This Row],[Total_Cost_MUSD]]*Table156[[#This Row],[prob100-failure_rating7]]/100</f>
        <v>7.3899899274999998E-5</v>
      </c>
      <c r="IV19" s="1">
        <f>Table156[[#This Row],[Total_Cost_MUSD]]*Table156[[#This Row],[prob100-failure_rating8]]/100</f>
        <v>1.4779979855000002E-6</v>
      </c>
      <c r="IW19" s="1">
        <f>Table156[[#This Row],[Total_Cost_MUSD]]*Table156[[#This Row],[prob100-failure_rating9]]/100</f>
        <v>8.867987913000001E-7</v>
      </c>
      <c r="IX19" s="1">
        <f>Table156[[#This Row],[Total_Cost_MUSD]]*Table156[[#This Row],[prob50-failure_rating1]]/50</f>
        <v>5.9119919419999998E-3</v>
      </c>
      <c r="IY19" s="1">
        <f>Table156[[#This Row],[Total_Cost_MUSD]]*Table156[[#This Row],[prob50-failure_rating2]]/50</f>
        <v>3.5471951651999999E-3</v>
      </c>
      <c r="IZ19" s="1">
        <f>Table156[[#This Row],[Total_Cost_MUSD]]*Table156[[#This Row],[prob50-failure_rating3]]/50</f>
        <v>7.6855895246000011E-4</v>
      </c>
      <c r="JA19" s="1">
        <f>Table156[[#This Row],[Total_Cost_MUSD]]*Table156[[#This Row],[prob50-failure_rating4]]/50</f>
        <v>2.9559959709999999E-4</v>
      </c>
      <c r="JB19" s="1">
        <f>Table156[[#This Row],[Total_Cost_MUSD]]*Table156[[#This Row],[prob50-failure_rating5]]/50</f>
        <v>4.7295935536000002E-6</v>
      </c>
      <c r="JC19" s="1">
        <f>Table156[[#This Row],[Total_Cost_MUSD]]*Table156[[#This Row],[prob50-failure_rating6]]/50</f>
        <v>1.4779979855E-4</v>
      </c>
      <c r="JD19" s="1">
        <f>Table156[[#This Row],[Total_Cost_MUSD]]*Table156[[#This Row],[prob50-failure_rating7]]/50</f>
        <v>1.4779979855E-4</v>
      </c>
      <c r="JE19" s="1">
        <f>Table156[[#This Row],[Total_Cost_MUSD]]*Table156[[#This Row],[prob50-failure_rating8]]/50</f>
        <v>2.9559959710000005E-6</v>
      </c>
      <c r="JF19" s="1">
        <f>Table156[[#This Row],[Total_Cost_MUSD]]*Table156[[#This Row],[prob50-failure_rating9]]/50</f>
        <v>1.7735975826000002E-6</v>
      </c>
      <c r="JG19" s="1">
        <f>Table156[[#This Row],[Total_Cost_MUSD]]*Table156[[#This Row],[prob10-failure_rating1]]/10</f>
        <v>2.955995971E-2</v>
      </c>
      <c r="JH19" s="1">
        <f>Table156[[#This Row],[Total_Cost_MUSD]]*Table156[[#This Row],[prob10-failure_rating2]]/10</f>
        <v>2.3647967767999999E-2</v>
      </c>
      <c r="JI19" s="1">
        <f>Table156[[#This Row],[Total_Cost_MUSD]]*Table156[[#This Row],[prob10-failure_rating3]]/10</f>
        <v>4.7295935536000007E-3</v>
      </c>
      <c r="JJ19" s="1">
        <f>Table156[[#This Row],[Total_Cost_MUSD]]*Table156[[#This Row],[prob10-failure_rating4]]/10</f>
        <v>1.7735975825999999E-3</v>
      </c>
      <c r="JK19" s="1">
        <f>Table156[[#This Row],[Total_Cost_MUSD]]*Table156[[#This Row],[prob10-failure_rating5]]/10</f>
        <v>1.1823983884000002E-4</v>
      </c>
      <c r="JL19" s="1">
        <f>Table156[[#This Row],[Total_Cost_MUSD]]*Table156[[#This Row],[prob10-failure_rating6]]/10</f>
        <v>1.1823983884000002E-3</v>
      </c>
      <c r="JM19" s="1">
        <f>Table156[[#This Row],[Total_Cost_MUSD]]*Table156[[#This Row],[prob10-failure_rating7]]/10</f>
        <v>1.1823983884000002E-3</v>
      </c>
      <c r="JN19" s="1">
        <f>Table156[[#This Row],[Total_Cost_MUSD]]*Table156[[#This Row],[prob10-failure_rating8]]/10</f>
        <v>5.9119919420000008E-5</v>
      </c>
      <c r="JO19" s="1">
        <f>Table156[[#This Row],[Total_Cost_MUSD]]*Table156[[#This Row],[prob10-failure_rating9]]/10</f>
        <v>1.1823983884E-5</v>
      </c>
      <c r="JP19" s="1">
        <f>Table156[[#This Row],[FailureCost_Rating1]]</f>
        <v>29559.959709999999</v>
      </c>
      <c r="JQ19" s="1">
        <f>Table156[[#This Row],[FailureCost_Rating2]]</f>
        <v>29559.959709999999</v>
      </c>
      <c r="JR19" s="1">
        <f>(Table156[[#This Row],[failurecost500_rating2]]+Table156[[#This Row],[failurecost100_rating2]]+Table156[[#This Row],[failurecost50_rating2]]+Table156[[#This Row],[failurecost10_rating2]])*1000000</f>
        <v>29559.959709999999</v>
      </c>
      <c r="JS19" s="1">
        <f>(Table156[[#This Row],[failurecost500_rating3]]+Table156[[#This Row],[failurecost100_rating3]]+Table156[[#This Row],[failurecost50_rating3]]+Table156[[#This Row],[failurecost10_rating3]])*1000000</f>
        <v>6384.9512973600013</v>
      </c>
      <c r="JT19" s="1">
        <f>(Table156[[#This Row],[failurecost500_rating4]]+Table156[[#This Row],[failurecost100_rating4]]+Table156[[#This Row],[failurecost50_rating4]]+Table156[[#This Row],[failurecost10_rating4]])*1000000</f>
        <v>2240.6449460180002</v>
      </c>
      <c r="JU19" s="1">
        <f>(Table156[[#This Row],[failurecost500_rating5]]+Table156[[#This Row],[failurecost100_rating5]]+Table156[[#This Row],[failurecost50_rating5]]+Table156[[#This Row],[failurecost10_rating5]])*1000000</f>
        <v>125.74806860634003</v>
      </c>
      <c r="JV19" s="1">
        <f>(Table156[[#This Row],[failurecost500_rating6]]+Table156[[#This Row],[failurecost100_rating6]]+Table156[[#This Row],[failurecost50_rating6]]+Table156[[#This Row],[failurecost10_rating6]])*1000000</f>
        <v>1414.7396717206</v>
      </c>
      <c r="JW19" s="1">
        <f>(Table156[[#This Row],[failurecost500_rating7]]+Table156[[#This Row],[failurecost100_rating7]]+Table156[[#This Row],[failurecost50_rating7]]+Table156[[#This Row],[failurecost10_rating7]])*1000000</f>
        <v>1414.7396717206</v>
      </c>
      <c r="JX19" s="1">
        <f>(Table156[[#This Row],[failurecost500_rating8]]+Table156[[#This Row],[failurecost100_rating8]]+Table156[[#This Row],[failurecost50_rating8]]+Table156[[#This Row],[failurecost10_rating8]])*1000000</f>
        <v>63.790393054180008</v>
      </c>
      <c r="JY19" s="1">
        <f>(Table156[[#This Row],[failurecost500_rating9]]+Table156[[#This Row],[failurecost100_rating9]]+Table156[[#This Row],[failurecost50_rating9]]+Table156[[#This Row],[failurecost10_rating9]])*1000000</f>
        <v>14.63218005645</v>
      </c>
    </row>
    <row r="20" spans="1:285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Table156[[#This Row],[Depth10_Soil_vol]]*(9.353+9.027)+(Table156[[#This Row],[Depth10_Soil_vol]]/2.5)*20*1.053+(PI()*Table156[[#This Row],[Depth10_Scour]])*Table156[[#This Row],[DECK_WIDTH_MT_052]]*1.062</f>
        <v>13853.451944603266</v>
      </c>
      <c r="AR20" s="1">
        <f>Table156[[#This Row],[Depth50_Soil_vol]]*(9.353+9.027)+(Table156[[#This Row],[Depth50_Soil_vol]]/2.5)*20*1.053+(PI()*Table156[[#This Row],[Depth50_Scour]])*Table156[[#This Row],[DECK_WIDTH_MT_052]]*1.062</f>
        <v>14885.488907843239</v>
      </c>
      <c r="AS20" s="1">
        <f>Table156[[#This Row],[Depth100_Soil_vol]]*(9.353+9.027)+(Table156[[#This Row],[Depth100_Soil_vol]]/2.5)*20*1.053+(PI()*Table156[[#This Row],[Depth100_Scour]])*Table156[[#This Row],[DECK_WIDTH_MT_052]]*1.062</f>
        <v>15342.083437730904</v>
      </c>
      <c r="AT20" s="1">
        <f>Table156[[#This Row],[Depth500_Soil_vol]]*(9.353+9.027)+(Table156[[#This Row],[Depth500_Soil_vol]]/2.5)*20*1.053+(PI()*Table156[[#This Row],[Depth500_Scour]])*Table156[[#This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MAX(0,(Table156[[#This Row],[Current_rating]]-Table156[[#This Row],[Depth10_Rating]])/10+(Table156[[#This Row],[Current_rating]]-Table156[[#This Row],[Depth50_Rating]])/50+(Table156[[#This Row],[Current_rating]]-Table156[[#This Row],[Depth100_Rating]])/100+(Table156[[#This Row],[Current_rating]]-Table156[[#This Row],[Depth500_Rating]])/500)</f>
        <v>0.26400000000000001</v>
      </c>
      <c r="GF20" s="1">
        <v>38.312809770000001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v>12770.936590000003</v>
      </c>
      <c r="GM20" s="1">
        <v>11493.842930999999</v>
      </c>
      <c r="GN20" s="1">
        <v>10216.749271999999</v>
      </c>
      <c r="GO20" s="1">
        <v>7662.5619539999998</v>
      </c>
      <c r="GP20" s="1">
        <v>5108.3746359999996</v>
      </c>
      <c r="GQ20" s="1">
        <v>2554.1873179999998</v>
      </c>
      <c r="GR20" s="1">
        <v>1277.0936590000001</v>
      </c>
      <c r="GS20" s="1">
        <v>0</v>
      </c>
      <c r="GT20" s="1">
        <v>0</v>
      </c>
      <c r="GU20" s="1">
        <v>0</v>
      </c>
      <c r="GV20" s="1">
        <f t="shared" si="0"/>
        <v>2.5000000000000001E-2</v>
      </c>
      <c r="GW20" s="1">
        <v>0.01</v>
      </c>
      <c r="GX20" s="1">
        <v>2.5000000000000001E-3</v>
      </c>
      <c r="GY20" s="1">
        <v>4.0000000000000002E-4</v>
      </c>
      <c r="GZ20" s="1">
        <v>6.9999999999999999E-6</v>
      </c>
      <c r="HA20" s="1">
        <v>1.8000000000000001E-4</v>
      </c>
      <c r="HB20" s="1">
        <v>1.8000000000000001E-4</v>
      </c>
      <c r="HC20" s="1">
        <v>3.9999999999999998E-6</v>
      </c>
      <c r="HD20" s="1">
        <v>2.5000000000000002E-6</v>
      </c>
      <c r="HE20" s="1">
        <f t="shared" si="1"/>
        <v>1.2500000000000001E-2</v>
      </c>
      <c r="HF20" s="1">
        <v>6.0000000000000001E-3</v>
      </c>
      <c r="HG20" s="1">
        <v>2.5000000000000001E-3</v>
      </c>
      <c r="HH20" s="1">
        <v>5.0000000000000001E-4</v>
      </c>
      <c r="HI20" s="1">
        <v>7.9999999999999996E-6</v>
      </c>
      <c r="HJ20" s="1">
        <v>2.5000000000000001E-4</v>
      </c>
      <c r="HK20" s="1">
        <v>2.5000000000000001E-4</v>
      </c>
      <c r="HL20" s="1">
        <v>5.0000000000000004E-6</v>
      </c>
      <c r="HM20" s="1">
        <v>3.0000000000000001E-6</v>
      </c>
      <c r="HN20" s="1">
        <v>0.01</v>
      </c>
      <c r="HO20" s="1">
        <v>6.0000000000000001E-3</v>
      </c>
      <c r="HP20" s="1">
        <v>1.2999999999999999E-3</v>
      </c>
      <c r="HQ20" s="1">
        <v>5.0000000000000001E-4</v>
      </c>
      <c r="HR20" s="1">
        <v>7.9999999999999996E-6</v>
      </c>
      <c r="HS20" s="1">
        <v>2.5000000000000001E-4</v>
      </c>
      <c r="HT20" s="1">
        <v>2.5000000000000001E-4</v>
      </c>
      <c r="HU20" s="1">
        <v>5.0000000000000004E-6</v>
      </c>
      <c r="HV20" s="1">
        <v>3.0000000000000001E-6</v>
      </c>
      <c r="HW20" s="1">
        <v>0.01</v>
      </c>
      <c r="HX20" s="1">
        <v>8.0000000000000002E-3</v>
      </c>
      <c r="HY20" s="1">
        <v>1.6000000000000001E-3</v>
      </c>
      <c r="HZ20" s="1">
        <v>5.9999999999999995E-4</v>
      </c>
      <c r="IA20" s="1">
        <v>4.0000000000000003E-5</v>
      </c>
      <c r="IB20" s="1">
        <v>4.0000000000000002E-4</v>
      </c>
      <c r="IC20" s="1">
        <v>4.0000000000000002E-4</v>
      </c>
      <c r="ID20" s="1">
        <v>2.0000000000000002E-5</v>
      </c>
      <c r="IE20" s="1">
        <v>3.9999999999999998E-6</v>
      </c>
      <c r="IF20" s="1">
        <f>Table156[[#This Row],[Total_Cost_MUSD]]*Table156[[#This Row],[prob500-failure_rating1]]/500</f>
        <v>1.9156404885000001E-3</v>
      </c>
      <c r="IG20" s="1">
        <f>Table156[[#This Row],[Total_Cost_MUSD]]*Table156[[#This Row],[prob500-failure_rating2]]/500</f>
        <v>7.6625619539999999E-4</v>
      </c>
      <c r="IH20" s="1">
        <f>Table156[[#This Row],[Total_Cost_MUSD]]*Table156[[#This Row],[prob500-failure_rating3]]/500</f>
        <v>1.9156404885E-4</v>
      </c>
      <c r="II20" s="1">
        <f>Table156[[#This Row],[Total_Cost_MUSD]]*Table156[[#This Row],[prob500-failure_rating4]]/500</f>
        <v>3.0650247816E-5</v>
      </c>
      <c r="IJ20" s="1">
        <f>Table156[[#This Row],[Total_Cost_MUSD]]*Table156[[#This Row],[prob500-failure_rating5]]/500</f>
        <v>5.3637933677999999E-7</v>
      </c>
      <c r="IK20" s="1">
        <f>Table156[[#This Row],[Total_Cost_MUSD]]*Table156[[#This Row],[prob500-failure_rating6]]/500</f>
        <v>1.3792611517200001E-5</v>
      </c>
      <c r="IL20" s="1">
        <f>Table156[[#This Row],[Total_Cost_MUSD]]*Table156[[#This Row],[prob500-failure_rating7]]/500</f>
        <v>1.3792611517200001E-5</v>
      </c>
      <c r="IM20" s="1">
        <f>Table156[[#This Row],[Total_Cost_MUSD]]*Table156[[#This Row],[prob500-failure_rating8]]/500</f>
        <v>3.0650247816000001E-7</v>
      </c>
      <c r="IN20" s="1">
        <f>Table156[[#This Row],[Total_Cost_MUSD]]*Table156[[#This Row],[prob500-failure_rating9]]/500</f>
        <v>1.9156404885000002E-7</v>
      </c>
      <c r="IO20" s="1">
        <f>Table156[[#This Row],[Total_Cost_MUSD]]*Table156[[#This Row],[prob100-failure_rating1]]/100</f>
        <v>4.7891012212500006E-3</v>
      </c>
      <c r="IP20" s="1">
        <f>Table156[[#This Row],[Total_Cost_MUSD]]*Table156[[#This Row],[prob100-failure_rating2]]/100</f>
        <v>2.2987685862000001E-3</v>
      </c>
      <c r="IQ20" s="1">
        <f>Table156[[#This Row],[Total_Cost_MUSD]]*Table156[[#This Row],[prob100-failure_rating3]]/100</f>
        <v>9.5782024424999996E-4</v>
      </c>
      <c r="IR20" s="1">
        <f>Table156[[#This Row],[Total_Cost_MUSD]]*Table156[[#This Row],[prob100-failure_rating4]]/100</f>
        <v>1.9156404885000002E-4</v>
      </c>
      <c r="IS20" s="1">
        <f>Table156[[#This Row],[Total_Cost_MUSD]]*Table156[[#This Row],[prob100-failure_rating5]]/100</f>
        <v>3.0650247815999999E-6</v>
      </c>
      <c r="IT20" s="1">
        <f>Table156[[#This Row],[Total_Cost_MUSD]]*Table156[[#This Row],[prob100-failure_rating6]]/100</f>
        <v>9.5782024425000012E-5</v>
      </c>
      <c r="IU20" s="1">
        <f>Table156[[#This Row],[Total_Cost_MUSD]]*Table156[[#This Row],[prob100-failure_rating7]]/100</f>
        <v>9.5782024425000012E-5</v>
      </c>
      <c r="IV20" s="1">
        <f>Table156[[#This Row],[Total_Cost_MUSD]]*Table156[[#This Row],[prob100-failure_rating8]]/100</f>
        <v>1.9156404885000004E-6</v>
      </c>
      <c r="IW20" s="1">
        <f>Table156[[#This Row],[Total_Cost_MUSD]]*Table156[[#This Row],[prob100-failure_rating9]]/100</f>
        <v>1.1493842930999999E-6</v>
      </c>
      <c r="IX20" s="1">
        <f>Table156[[#This Row],[Total_Cost_MUSD]]*Table156[[#This Row],[prob50-failure_rating1]]/50</f>
        <v>7.6625619539999997E-3</v>
      </c>
      <c r="IY20" s="1">
        <f>Table156[[#This Row],[Total_Cost_MUSD]]*Table156[[#This Row],[prob50-failure_rating2]]/50</f>
        <v>4.5975371724000002E-3</v>
      </c>
      <c r="IZ20" s="1">
        <f>Table156[[#This Row],[Total_Cost_MUSD]]*Table156[[#This Row],[prob50-failure_rating3]]/50</f>
        <v>9.9613305402000002E-4</v>
      </c>
      <c r="JA20" s="1">
        <f>Table156[[#This Row],[Total_Cost_MUSD]]*Table156[[#This Row],[prob50-failure_rating4]]/50</f>
        <v>3.8312809770000005E-4</v>
      </c>
      <c r="JB20" s="1">
        <f>Table156[[#This Row],[Total_Cost_MUSD]]*Table156[[#This Row],[prob50-failure_rating5]]/50</f>
        <v>6.1300495631999998E-6</v>
      </c>
      <c r="JC20" s="1">
        <f>Table156[[#This Row],[Total_Cost_MUSD]]*Table156[[#This Row],[prob50-failure_rating6]]/50</f>
        <v>1.9156404885000002E-4</v>
      </c>
      <c r="JD20" s="1">
        <f>Table156[[#This Row],[Total_Cost_MUSD]]*Table156[[#This Row],[prob50-failure_rating7]]/50</f>
        <v>1.9156404885000002E-4</v>
      </c>
      <c r="JE20" s="1">
        <f>Table156[[#This Row],[Total_Cost_MUSD]]*Table156[[#This Row],[prob50-failure_rating8]]/50</f>
        <v>3.8312809770000008E-6</v>
      </c>
      <c r="JF20" s="1">
        <f>Table156[[#This Row],[Total_Cost_MUSD]]*Table156[[#This Row],[prob50-failure_rating9]]/50</f>
        <v>2.2987685861999998E-6</v>
      </c>
      <c r="JG20" s="1">
        <f>Table156[[#This Row],[Total_Cost_MUSD]]*Table156[[#This Row],[prob10-failure_rating1]]/10</f>
        <v>3.8312809769999998E-2</v>
      </c>
      <c r="JH20" s="1">
        <f>Table156[[#This Row],[Total_Cost_MUSD]]*Table156[[#This Row],[prob10-failure_rating2]]/10</f>
        <v>3.0650247816000002E-2</v>
      </c>
      <c r="JI20" s="1">
        <f>Table156[[#This Row],[Total_Cost_MUSD]]*Table156[[#This Row],[prob10-failure_rating3]]/10</f>
        <v>6.1300495632000008E-3</v>
      </c>
      <c r="JJ20" s="1">
        <f>Table156[[#This Row],[Total_Cost_MUSD]]*Table156[[#This Row],[prob10-failure_rating4]]/10</f>
        <v>2.2987685862000001E-3</v>
      </c>
      <c r="JK20" s="1">
        <f>Table156[[#This Row],[Total_Cost_MUSD]]*Table156[[#This Row],[prob10-failure_rating5]]/10</f>
        <v>1.5325123908000002E-4</v>
      </c>
      <c r="JL20" s="1">
        <f>Table156[[#This Row],[Total_Cost_MUSD]]*Table156[[#This Row],[prob10-failure_rating6]]/10</f>
        <v>1.5325123908000002E-3</v>
      </c>
      <c r="JM20" s="1">
        <f>Table156[[#This Row],[Total_Cost_MUSD]]*Table156[[#This Row],[prob10-failure_rating7]]/10</f>
        <v>1.5325123908000002E-3</v>
      </c>
      <c r="JN20" s="1">
        <f>Table156[[#This Row],[Total_Cost_MUSD]]*Table156[[#This Row],[prob10-failure_rating8]]/10</f>
        <v>7.662561954000001E-5</v>
      </c>
      <c r="JO20" s="1">
        <f>Table156[[#This Row],[Total_Cost_MUSD]]*Table156[[#This Row],[prob10-failure_rating9]]/10</f>
        <v>1.5325123908E-5</v>
      </c>
      <c r="JP20" s="1">
        <f>Table156[[#This Row],[FailureCost_Rating1]]</f>
        <v>38312.809770000007</v>
      </c>
      <c r="JQ20" s="1">
        <f>Table156[[#This Row],[FailureCost_Rating2]]</f>
        <v>38312.809770000007</v>
      </c>
      <c r="JR20" s="1">
        <f>(Table156[[#This Row],[failurecost500_rating2]]+Table156[[#This Row],[failurecost100_rating2]]+Table156[[#This Row],[failurecost50_rating2]]+Table156[[#This Row],[failurecost10_rating2]])*1000000</f>
        <v>38312.809770000007</v>
      </c>
      <c r="JS20" s="1">
        <f>(Table156[[#This Row],[failurecost500_rating3]]+Table156[[#This Row],[failurecost100_rating3]]+Table156[[#This Row],[failurecost50_rating3]]+Table156[[#This Row],[failurecost10_rating3]])*1000000</f>
        <v>8275.5669103200016</v>
      </c>
      <c r="JT20" s="1">
        <f>(Table156[[#This Row],[failurecost500_rating4]]+Table156[[#This Row],[failurecost100_rating4]]+Table156[[#This Row],[failurecost50_rating4]]+Table156[[#This Row],[failurecost10_rating4]])*1000000</f>
        <v>2904.1109805659999</v>
      </c>
      <c r="JU20" s="1">
        <f>(Table156[[#This Row],[failurecost500_rating5]]+Table156[[#This Row],[failurecost100_rating5]]+Table156[[#This Row],[failurecost50_rating5]]+Table156[[#This Row],[failurecost10_rating5]])*1000000</f>
        <v>162.98269276158004</v>
      </c>
      <c r="JV20" s="1">
        <f>(Table156[[#This Row],[failurecost500_rating6]]+Table156[[#This Row],[failurecost100_rating6]]+Table156[[#This Row],[failurecost50_rating6]]+Table156[[#This Row],[failurecost10_rating6]])*1000000</f>
        <v>1833.6510755922002</v>
      </c>
      <c r="JW20" s="1">
        <f>(Table156[[#This Row],[failurecost500_rating7]]+Table156[[#This Row],[failurecost100_rating7]]+Table156[[#This Row],[failurecost50_rating7]]+Table156[[#This Row],[failurecost10_rating7]])*1000000</f>
        <v>1833.6510755922002</v>
      </c>
      <c r="JX20" s="1">
        <f>(Table156[[#This Row],[failurecost500_rating8]]+Table156[[#This Row],[failurecost100_rating8]]+Table156[[#This Row],[failurecost50_rating8]]+Table156[[#This Row],[failurecost10_rating8]])*1000000</f>
        <v>82.67904348366001</v>
      </c>
      <c r="JY20" s="1">
        <f>(Table156[[#This Row],[failurecost500_rating9]]+Table156[[#This Row],[failurecost100_rating9]]+Table156[[#This Row],[failurecost50_rating9]]+Table156[[#This Row],[failurecost10_rating9]])*1000000</f>
        <v>18.96484083615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DB31-1A40-45E6-B3C3-3B1B5C0D18FB}">
  <dimension ref="A1:JY20"/>
  <sheetViews>
    <sheetView topLeftCell="JB1" zoomScaleNormal="100" workbookViewId="0">
      <selection activeCell="GU2" sqref="GL2:GU20"/>
    </sheetView>
  </sheetViews>
  <sheetFormatPr defaultColWidth="8.6640625" defaultRowHeight="14.4" x14ac:dyDescent="0.3"/>
  <cols>
    <col min="1" max="1" width="10.44140625" customWidth="1"/>
    <col min="2" max="2" width="17" customWidth="1"/>
    <col min="3" max="3" width="15.44140625" customWidth="1"/>
    <col min="4" max="4" width="11.109375" customWidth="1"/>
    <col min="5" max="5" width="12" customWidth="1"/>
    <col min="6" max="7" width="10.44140625" hidden="1" customWidth="1"/>
    <col min="8" max="9" width="11.44140625" hidden="1" customWidth="1"/>
    <col min="10" max="10" width="14.44140625" hidden="1" customWidth="1"/>
    <col min="11" max="11" width="14" hidden="1" customWidth="1"/>
    <col min="12" max="12" width="15.44140625" hidden="1" customWidth="1"/>
    <col min="13" max="13" width="15" hidden="1" customWidth="1"/>
    <col min="14" max="14" width="15.44140625" hidden="1" customWidth="1"/>
    <col min="15" max="15" width="15" hidden="1" customWidth="1"/>
    <col min="16" max="16" width="16.44140625" hidden="1" customWidth="1"/>
    <col min="17" max="17" width="16" hidden="1" customWidth="1"/>
    <col min="18" max="18" width="16.44140625" hidden="1" customWidth="1"/>
    <col min="19" max="19" width="16" hidden="1" customWidth="1"/>
    <col min="20" max="20" width="24.6640625" hidden="1" customWidth="1"/>
    <col min="21" max="22" width="25.6640625" hidden="1" customWidth="1"/>
    <col min="23" max="24" width="26.6640625" hidden="1" customWidth="1"/>
    <col min="25" max="25" width="8.6640625" hidden="1" customWidth="1"/>
    <col min="26" max="26" width="19.6640625" hidden="1" customWidth="1"/>
    <col min="27" max="28" width="18.44140625" hidden="1" customWidth="1"/>
    <col min="29" max="30" width="19.44140625" hidden="1" customWidth="1"/>
    <col min="31" max="32" width="16.6640625" hidden="1" customWidth="1"/>
    <col min="33" max="34" width="17.6640625" hidden="1" customWidth="1"/>
    <col min="35" max="36" width="16.44140625" hidden="1" customWidth="1"/>
    <col min="37" max="38" width="17.44140625" hidden="1" customWidth="1"/>
    <col min="39" max="40" width="18.44140625" hidden="1" customWidth="1"/>
    <col min="41" max="46" width="19.44140625" hidden="1" customWidth="1"/>
    <col min="47" max="47" width="19.6640625" hidden="1" customWidth="1"/>
    <col min="48" max="48" width="20" hidden="1" customWidth="1"/>
    <col min="49" max="49" width="8.6640625" hidden="1" customWidth="1"/>
    <col min="50" max="50" width="9.6640625" customWidth="1"/>
    <col min="51" max="51" width="8.6640625" customWidth="1"/>
    <col min="52" max="52" width="9.6640625" customWidth="1"/>
    <col min="53" max="53" width="10" customWidth="1"/>
    <col min="54" max="54" width="18.33203125" hidden="1" customWidth="1"/>
    <col min="55" max="55" width="26.44140625" hidden="1" customWidth="1"/>
    <col min="56" max="56" width="10.33203125" hidden="1" customWidth="1"/>
    <col min="57" max="57" width="12.33203125" hidden="1" customWidth="1"/>
    <col min="58" max="58" width="20.6640625" hidden="1" customWidth="1"/>
    <col min="59" max="59" width="21.33203125" hidden="1" customWidth="1"/>
    <col min="60" max="60" width="21.44140625" hidden="1" customWidth="1"/>
    <col min="61" max="61" width="23.44140625" hidden="1" customWidth="1"/>
    <col min="62" max="62" width="17.6640625" hidden="1" customWidth="1"/>
    <col min="63" max="63" width="24.6640625" hidden="1" customWidth="1"/>
    <col min="64" max="64" width="20.44140625" hidden="1" customWidth="1"/>
    <col min="65" max="65" width="18.44140625" hidden="1" customWidth="1"/>
    <col min="66" max="66" width="22.6640625" hidden="1" customWidth="1"/>
    <col min="67" max="67" width="24.44140625" hidden="1" customWidth="1"/>
    <col min="68" max="68" width="23.33203125" hidden="1" customWidth="1"/>
    <col min="69" max="69" width="16.33203125" hidden="1" customWidth="1"/>
    <col min="70" max="70" width="20.44140625" hidden="1" customWidth="1"/>
    <col min="71" max="71" width="16.6640625" hidden="1" customWidth="1"/>
    <col min="72" max="72" width="27.109375" hidden="1" customWidth="1"/>
    <col min="73" max="73" width="22.6640625" hidden="1" customWidth="1"/>
    <col min="74" max="74" width="21.6640625" hidden="1" customWidth="1"/>
    <col min="75" max="75" width="20.44140625" hidden="1" customWidth="1"/>
    <col min="76" max="76" width="11.33203125" hidden="1" customWidth="1"/>
    <col min="77" max="77" width="20.44140625" hidden="1" customWidth="1"/>
    <col min="78" max="78" width="14.109375" hidden="1" customWidth="1"/>
    <col min="79" max="79" width="25" hidden="1" customWidth="1"/>
    <col min="80" max="80" width="17.6640625" hidden="1" customWidth="1"/>
    <col min="81" max="81" width="26" hidden="1" customWidth="1"/>
    <col min="82" max="82" width="27.109375" hidden="1" customWidth="1"/>
    <col min="83" max="83" width="10.6640625" hidden="1" customWidth="1"/>
    <col min="84" max="84" width="16.33203125" hidden="1" customWidth="1"/>
    <col min="85" max="85" width="19.6640625" hidden="1" customWidth="1"/>
    <col min="86" max="86" width="22.6640625" hidden="1" customWidth="1"/>
    <col min="87" max="87" width="20.44140625" hidden="1" customWidth="1"/>
    <col min="88" max="88" width="21.109375" hidden="1" customWidth="1"/>
    <col min="89" max="89" width="25" hidden="1" customWidth="1"/>
    <col min="90" max="90" width="16.6640625" hidden="1" customWidth="1"/>
    <col min="91" max="91" width="20.109375" hidden="1" customWidth="1"/>
    <col min="92" max="92" width="17.6640625" hidden="1" customWidth="1"/>
    <col min="93" max="93" width="22.6640625" hidden="1" customWidth="1"/>
    <col min="94" max="94" width="14.6640625" hidden="1" customWidth="1"/>
    <col min="95" max="95" width="18.6640625" hidden="1" customWidth="1"/>
    <col min="96" max="96" width="24.44140625" hidden="1" customWidth="1"/>
    <col min="97" max="97" width="25.109375" hidden="1" customWidth="1"/>
    <col min="98" max="98" width="27.6640625" hidden="1" customWidth="1"/>
    <col min="99" max="99" width="19.44140625" hidden="1" customWidth="1"/>
    <col min="100" max="100" width="20.44140625" hidden="1" customWidth="1"/>
    <col min="101" max="101" width="24.109375" hidden="1" customWidth="1"/>
    <col min="102" max="102" width="23.6640625" hidden="1" customWidth="1"/>
    <col min="103" max="103" width="18.44140625" hidden="1" customWidth="1"/>
    <col min="104" max="104" width="18.33203125" hidden="1" customWidth="1"/>
    <col min="105" max="105" width="24.44140625" hidden="1" customWidth="1"/>
    <col min="106" max="106" width="18.6640625" hidden="1" customWidth="1"/>
    <col min="107" max="107" width="20.109375" hidden="1" customWidth="1"/>
    <col min="108" max="109" width="25.44140625" hidden="1" customWidth="1"/>
    <col min="110" max="110" width="22" hidden="1" customWidth="1"/>
    <col min="111" max="111" width="23.44140625" hidden="1" customWidth="1"/>
    <col min="112" max="112" width="27.6640625" hidden="1" customWidth="1"/>
    <col min="113" max="113" width="22.6640625" hidden="1" customWidth="1"/>
    <col min="114" max="114" width="25.44140625" hidden="1" customWidth="1"/>
    <col min="115" max="115" width="26.33203125" hidden="1" customWidth="1"/>
    <col min="116" max="116" width="22" hidden="1" customWidth="1"/>
    <col min="117" max="117" width="20.6640625" hidden="1" customWidth="1"/>
    <col min="118" max="118" width="20.44140625" hidden="1" customWidth="1"/>
    <col min="119" max="119" width="24.109375" hidden="1" customWidth="1"/>
    <col min="120" max="120" width="18" hidden="1" customWidth="1"/>
    <col min="121" max="121" width="29.44140625" hidden="1" customWidth="1"/>
    <col min="122" max="122" width="27.33203125" hidden="1" customWidth="1"/>
    <col min="123" max="123" width="21.6640625" hidden="1" customWidth="1"/>
    <col min="124" max="124" width="21.33203125" hidden="1" customWidth="1"/>
    <col min="125" max="125" width="24.6640625" hidden="1" customWidth="1"/>
    <col min="126" max="126" width="25.44140625" hidden="1" customWidth="1"/>
    <col min="127" max="127" width="24.44140625" hidden="1" customWidth="1"/>
    <col min="128" max="128" width="25.44140625" hidden="1" customWidth="1"/>
    <col min="129" max="129" width="24" hidden="1" customWidth="1"/>
    <col min="130" max="130" width="28.109375" hidden="1" customWidth="1"/>
    <col min="131" max="131" width="24.44140625" hidden="1" customWidth="1"/>
    <col min="132" max="132" width="20.44140625" hidden="1" customWidth="1"/>
    <col min="133" max="134" width="23.44140625" hidden="1" customWidth="1"/>
    <col min="135" max="135" width="24.6640625" hidden="1" customWidth="1"/>
    <col min="136" max="136" width="23.44140625" hidden="1" customWidth="1"/>
    <col min="137" max="137" width="18.6640625" hidden="1" customWidth="1"/>
    <col min="138" max="138" width="23.44140625" hidden="1" customWidth="1"/>
    <col min="139" max="139" width="29" hidden="1" customWidth="1"/>
    <col min="140" max="140" width="17.44140625" hidden="1" customWidth="1"/>
    <col min="141" max="141" width="28.6640625" hidden="1" customWidth="1"/>
    <col min="142" max="142" width="20.6640625" hidden="1" customWidth="1"/>
    <col min="143" max="143" width="28.33203125" hidden="1" customWidth="1"/>
    <col min="144" max="144" width="29.44140625" hidden="1" customWidth="1"/>
    <col min="145" max="145" width="23.33203125" hidden="1" customWidth="1"/>
    <col min="146" max="146" width="23.6640625" hidden="1" customWidth="1"/>
    <col min="147" max="147" width="26.6640625" hidden="1" customWidth="1"/>
    <col min="148" max="148" width="22.6640625" hidden="1" customWidth="1"/>
    <col min="149" max="149" width="19.6640625" hidden="1" customWidth="1"/>
    <col min="150" max="150" width="26.44140625" hidden="1" customWidth="1"/>
    <col min="151" max="151" width="26.109375" hidden="1" customWidth="1"/>
    <col min="152" max="152" width="28.6640625" hidden="1" customWidth="1"/>
    <col min="153" max="153" width="26.33203125" hidden="1" customWidth="1"/>
    <col min="154" max="154" width="26.6640625" hidden="1" customWidth="1"/>
    <col min="155" max="155" width="24.6640625" hidden="1" customWidth="1"/>
    <col min="156" max="156" width="23.44140625" hidden="1" customWidth="1"/>
    <col min="157" max="157" width="24.109375" hidden="1" customWidth="1"/>
    <col min="158" max="158" width="21.44140625" hidden="1" customWidth="1"/>
    <col min="159" max="159" width="27.6640625" hidden="1" customWidth="1"/>
    <col min="160" max="160" width="28.33203125" hidden="1" customWidth="1"/>
    <col min="161" max="161" width="21.6640625" hidden="1" customWidth="1"/>
    <col min="162" max="162" width="24.33203125" hidden="1" customWidth="1"/>
    <col min="163" max="163" width="25.109375" hidden="1" customWidth="1"/>
    <col min="164" max="165" width="26.44140625" hidden="1" customWidth="1"/>
    <col min="166" max="166" width="23.33203125" hidden="1" customWidth="1"/>
    <col min="167" max="167" width="22.33203125" hidden="1" customWidth="1"/>
    <col min="168" max="168" width="22" hidden="1" customWidth="1"/>
    <col min="169" max="169" width="18.6640625" hidden="1" customWidth="1"/>
    <col min="170" max="170" width="27.6640625" hidden="1" customWidth="1"/>
    <col min="171" max="171" width="24" hidden="1" customWidth="1"/>
    <col min="172" max="172" width="14.6640625" hidden="1" customWidth="1"/>
    <col min="173" max="173" width="16.6640625" hidden="1" customWidth="1"/>
    <col min="174" max="174" width="21" hidden="1" customWidth="1"/>
    <col min="175" max="175" width="18.33203125" hidden="1" customWidth="1"/>
    <col min="176" max="176" width="13.44140625" hidden="1" customWidth="1"/>
    <col min="177" max="177" width="18" hidden="1" customWidth="1"/>
    <col min="178" max="178" width="32.6640625" hidden="1" customWidth="1"/>
    <col min="179" max="179" width="34" hidden="1" customWidth="1"/>
    <col min="180" max="180" width="38.44140625" hidden="1" customWidth="1"/>
    <col min="181" max="181" width="49" hidden="1" customWidth="1"/>
    <col min="182" max="186" width="30.44140625" hidden="1" customWidth="1"/>
    <col min="187" max="187" width="10.44140625" customWidth="1"/>
    <col min="188" max="188" width="11.6640625" customWidth="1"/>
    <col min="189" max="191" width="25.44140625" hidden="1" customWidth="1"/>
    <col min="192" max="192" width="24.44140625" hidden="1" customWidth="1"/>
    <col min="193" max="193" width="7.6640625" customWidth="1"/>
    <col min="194" max="194" width="12.44140625" customWidth="1"/>
    <col min="195" max="195" width="11.33203125" customWidth="1"/>
    <col min="196" max="196" width="11" customWidth="1"/>
    <col min="197" max="197" width="11.109375" customWidth="1"/>
    <col min="198" max="203" width="11.44140625" bestFit="1" customWidth="1"/>
    <col min="204" max="205" width="9.33203125" customWidth="1"/>
    <col min="212" max="212" width="9.44140625" bestFit="1" customWidth="1"/>
    <col min="240" max="240" width="13.6640625" bestFit="1" customWidth="1"/>
    <col min="241" max="266" width="11.44140625" bestFit="1" customWidth="1"/>
    <col min="267" max="276" width="11.44140625" customWidth="1"/>
    <col min="277" max="277" width="11.44140625" bestFit="1" customWidth="1"/>
    <col min="278" max="278" width="11.44140625" customWidth="1"/>
    <col min="279" max="285" width="11.44140625" bestFit="1" customWidth="1"/>
  </cols>
  <sheetData>
    <row r="1" spans="1:285" s="2" customFormat="1" ht="5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313</v>
      </c>
      <c r="AR1" s="2" t="s">
        <v>314</v>
      </c>
      <c r="AS1" s="2" t="s">
        <v>315</v>
      </c>
      <c r="AT1" s="2" t="s">
        <v>316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411</v>
      </c>
      <c r="GE1" s="2" t="s">
        <v>410</v>
      </c>
      <c r="GF1" s="2" t="s">
        <v>181</v>
      </c>
      <c r="GG1" s="2" t="s">
        <v>311</v>
      </c>
      <c r="GH1" s="2" t="s">
        <v>310</v>
      </c>
      <c r="GI1" s="2" t="s">
        <v>309</v>
      </c>
      <c r="GJ1" s="2" t="s">
        <v>308</v>
      </c>
      <c r="GK1" s="2" t="s">
        <v>312</v>
      </c>
      <c r="GL1" s="2" t="s">
        <v>409</v>
      </c>
      <c r="GM1" s="2" t="s">
        <v>318</v>
      </c>
      <c r="GN1" s="2" t="s">
        <v>319</v>
      </c>
      <c r="GO1" s="2" t="s">
        <v>320</v>
      </c>
      <c r="GP1" s="2" t="s">
        <v>321</v>
      </c>
      <c r="GQ1" s="2" t="s">
        <v>322</v>
      </c>
      <c r="GR1" s="2" t="s">
        <v>323</v>
      </c>
      <c r="GS1" s="2" t="s">
        <v>324</v>
      </c>
      <c r="GT1" s="2" t="s">
        <v>325</v>
      </c>
      <c r="GU1" s="2" t="s">
        <v>326</v>
      </c>
      <c r="GV1" s="2" t="s">
        <v>327</v>
      </c>
      <c r="GW1" s="2" t="s">
        <v>328</v>
      </c>
      <c r="GX1" s="2" t="s">
        <v>329</v>
      </c>
      <c r="GY1" s="2" t="s">
        <v>330</v>
      </c>
      <c r="GZ1" s="2" t="s">
        <v>331</v>
      </c>
      <c r="HA1" s="2" t="s">
        <v>332</v>
      </c>
      <c r="HB1" s="2" t="s">
        <v>333</v>
      </c>
      <c r="HC1" s="2" t="s">
        <v>334</v>
      </c>
      <c r="HD1" s="2" t="s">
        <v>335</v>
      </c>
      <c r="HE1" s="2" t="s">
        <v>336</v>
      </c>
      <c r="HF1" s="2" t="s">
        <v>337</v>
      </c>
      <c r="HG1" s="2" t="s">
        <v>338</v>
      </c>
      <c r="HH1" s="2" t="s">
        <v>339</v>
      </c>
      <c r="HI1" s="2" t="s">
        <v>340</v>
      </c>
      <c r="HJ1" s="2" t="s">
        <v>341</v>
      </c>
      <c r="HK1" s="2" t="s">
        <v>342</v>
      </c>
      <c r="HL1" s="2" t="s">
        <v>343</v>
      </c>
      <c r="HM1" s="2" t="s">
        <v>344</v>
      </c>
      <c r="HN1" s="2" t="s">
        <v>345</v>
      </c>
      <c r="HO1" s="2" t="s">
        <v>346</v>
      </c>
      <c r="HP1" s="2" t="s">
        <v>347</v>
      </c>
      <c r="HQ1" s="2" t="s">
        <v>348</v>
      </c>
      <c r="HR1" s="2" t="s">
        <v>349</v>
      </c>
      <c r="HS1" s="2" t="s">
        <v>350</v>
      </c>
      <c r="HT1" s="2" t="s">
        <v>351</v>
      </c>
      <c r="HU1" s="2" t="s">
        <v>352</v>
      </c>
      <c r="HV1" s="2" t="s">
        <v>353</v>
      </c>
      <c r="HW1" s="2" t="s">
        <v>354</v>
      </c>
      <c r="HX1" s="2" t="s">
        <v>355</v>
      </c>
      <c r="HY1" s="2" t="s">
        <v>356</v>
      </c>
      <c r="HZ1" s="2" t="s">
        <v>357</v>
      </c>
      <c r="IA1" s="2" t="s">
        <v>358</v>
      </c>
      <c r="IB1" s="2" t="s">
        <v>359</v>
      </c>
      <c r="IC1" s="2" t="s">
        <v>360</v>
      </c>
      <c r="ID1" s="2" t="s">
        <v>361</v>
      </c>
      <c r="IE1" s="2" t="s">
        <v>362</v>
      </c>
      <c r="IF1" s="2" t="s">
        <v>363</v>
      </c>
      <c r="IG1" s="2" t="s">
        <v>364</v>
      </c>
      <c r="IH1" s="2" t="s">
        <v>365</v>
      </c>
      <c r="II1" s="2" t="s">
        <v>366</v>
      </c>
      <c r="IJ1" s="2" t="s">
        <v>367</v>
      </c>
      <c r="IK1" s="2" t="s">
        <v>368</v>
      </c>
      <c r="IL1" s="2" t="s">
        <v>369</v>
      </c>
      <c r="IM1" s="2" t="s">
        <v>370</v>
      </c>
      <c r="IN1" s="2" t="s">
        <v>371</v>
      </c>
      <c r="IO1" s="2" t="s">
        <v>372</v>
      </c>
      <c r="IP1" s="2" t="s">
        <v>373</v>
      </c>
      <c r="IQ1" s="2" t="s">
        <v>374</v>
      </c>
      <c r="IR1" s="2" t="s">
        <v>375</v>
      </c>
      <c r="IS1" s="2" t="s">
        <v>376</v>
      </c>
      <c r="IT1" s="2" t="s">
        <v>377</v>
      </c>
      <c r="IU1" s="2" t="s">
        <v>378</v>
      </c>
      <c r="IV1" s="2" t="s">
        <v>379</v>
      </c>
      <c r="IW1" s="2" t="s">
        <v>380</v>
      </c>
      <c r="IX1" s="2" t="s">
        <v>381</v>
      </c>
      <c r="IY1" s="2" t="s">
        <v>382</v>
      </c>
      <c r="IZ1" s="2" t="s">
        <v>383</v>
      </c>
      <c r="JA1" s="2" t="s">
        <v>384</v>
      </c>
      <c r="JB1" s="2" t="s">
        <v>385</v>
      </c>
      <c r="JC1" s="2" t="s">
        <v>386</v>
      </c>
      <c r="JD1" s="2" t="s">
        <v>387</v>
      </c>
      <c r="JE1" s="2" t="s">
        <v>388</v>
      </c>
      <c r="JF1" s="2" t="s">
        <v>389</v>
      </c>
      <c r="JG1" s="2" t="s">
        <v>399</v>
      </c>
      <c r="JH1" s="2" t="s">
        <v>400</v>
      </c>
      <c r="JI1" s="2" t="s">
        <v>401</v>
      </c>
      <c r="JJ1" s="2" t="s">
        <v>402</v>
      </c>
      <c r="JK1" s="2" t="s">
        <v>403</v>
      </c>
      <c r="JL1" s="2" t="s">
        <v>404</v>
      </c>
      <c r="JM1" s="2" t="s">
        <v>405</v>
      </c>
      <c r="JN1" s="2" t="s">
        <v>406</v>
      </c>
      <c r="JO1" s="2" t="s">
        <v>407</v>
      </c>
      <c r="JP1" s="3" t="s">
        <v>408</v>
      </c>
      <c r="JQ1" s="3" t="s">
        <v>390</v>
      </c>
      <c r="JR1" s="3" t="s">
        <v>391</v>
      </c>
      <c r="JS1" s="3" t="s">
        <v>392</v>
      </c>
      <c r="JT1" s="3" t="s">
        <v>393</v>
      </c>
      <c r="JU1" s="3" t="s">
        <v>394</v>
      </c>
      <c r="JV1" s="3" t="s">
        <v>395</v>
      </c>
      <c r="JW1" s="3" t="s">
        <v>396</v>
      </c>
      <c r="JX1" s="3" t="s">
        <v>397</v>
      </c>
      <c r="JY1" s="3" t="s">
        <v>398</v>
      </c>
    </row>
    <row r="2" spans="1:285" ht="28.8" x14ac:dyDescent="0.3">
      <c r="A2" s="1">
        <v>1</v>
      </c>
      <c r="B2" s="1" t="s">
        <v>182</v>
      </c>
      <c r="C2" s="1" t="s">
        <v>183</v>
      </c>
      <c r="D2" s="1">
        <v>42.382629999999999</v>
      </c>
      <c r="E2" s="1">
        <v>-70.994299999999996</v>
      </c>
      <c r="F2" s="1">
        <v>15.287716870000001</v>
      </c>
      <c r="G2" s="1">
        <v>12.987716669999999</v>
      </c>
      <c r="H2" s="1">
        <v>16.38772011</v>
      </c>
      <c r="I2" s="1">
        <v>18.587717059999999</v>
      </c>
      <c r="J2" s="1">
        <v>363.41</v>
      </c>
      <c r="K2" s="1">
        <v>250.39080730000001</v>
      </c>
      <c r="L2" s="1">
        <v>686.24599999999998</v>
      </c>
      <c r="M2" s="1">
        <v>307.23662039999999</v>
      </c>
      <c r="N2" s="1">
        <v>686.24599999999998</v>
      </c>
      <c r="O2" s="1">
        <v>307.23662039999999</v>
      </c>
      <c r="P2" s="1">
        <v>686.24599999999998</v>
      </c>
      <c r="Q2" s="1">
        <v>307.23662039999999</v>
      </c>
      <c r="R2" s="1">
        <v>686.24599999999998</v>
      </c>
      <c r="S2" s="1">
        <v>307.23662039999999</v>
      </c>
      <c r="T2" s="1">
        <v>1.4513711739999999</v>
      </c>
      <c r="U2" s="1">
        <v>2.2336074359999998</v>
      </c>
      <c r="V2" s="1">
        <v>2.2336074359999998</v>
      </c>
      <c r="W2" s="1">
        <v>2.2336074359999998</v>
      </c>
      <c r="X2" s="1">
        <v>2.2336074359999998</v>
      </c>
      <c r="Y2" s="1">
        <v>5.6800000000000003E-2</v>
      </c>
      <c r="Z2" s="1">
        <v>10.66666667</v>
      </c>
      <c r="AA2" s="1">
        <v>8.1447056720000006</v>
      </c>
      <c r="AB2" s="1">
        <v>8.1447056720000006</v>
      </c>
      <c r="AC2" s="1">
        <v>8.1447056720000006</v>
      </c>
      <c r="AD2" s="1">
        <v>8.1447056720000006</v>
      </c>
      <c r="AE2" s="1">
        <v>0.72156338600000003</v>
      </c>
      <c r="AF2" s="1">
        <v>0.66507339600000004</v>
      </c>
      <c r="AG2" s="1">
        <v>0.64236463300000002</v>
      </c>
      <c r="AH2" s="1">
        <v>0.60315351699999997</v>
      </c>
      <c r="AI2" s="1">
        <v>6.7231717230000001</v>
      </c>
      <c r="AJ2" s="1">
        <v>6.8727972230000001</v>
      </c>
      <c r="AK2" s="1">
        <v>6.9375683989999999</v>
      </c>
      <c r="AL2" s="1">
        <v>7.0565560019999998</v>
      </c>
      <c r="AM2" s="1">
        <v>432.25516119999997</v>
      </c>
      <c r="AN2" s="1">
        <v>461.76197480000002</v>
      </c>
      <c r="AO2" s="1">
        <v>474.94072299999999</v>
      </c>
      <c r="AP2" s="1">
        <v>499.79965579999998</v>
      </c>
      <c r="AQ2" s="1">
        <f>Table1567[[#This Row],[Depth10_Soil_vol]]*(9.353+9.027)+(Table1567[[#This Row],[Depth10_Soil_vol]]/2.5)*20*1.053+(PI()*Table1567[[#This Row],[Depth10_Scour]])*Table1567[[#This Row],[DECK_WIDTH_MT_052]]*1.062</f>
        <v>11998.897701083155</v>
      </c>
      <c r="AR2" s="1">
        <f>Table1567[[#This Row],[Depth50_Soil_vol]]*(9.353+9.027)+(Table1567[[#This Row],[Depth50_Soil_vol]]/2.5)*20*1.053+(PI()*Table1567[[#This Row],[Depth50_Scour]])*Table1567[[#This Row],[DECK_WIDTH_MT_052]]*1.062</f>
        <v>12798.983727608316</v>
      </c>
      <c r="AS2" s="1">
        <f>Table1567[[#This Row],[Depth100_Soil_vol]]*(9.353+9.027)+(Table1567[[#This Row],[Depth100_Soil_vol]]/2.5)*20*1.053+(PI()*Table1567[[#This Row],[Depth100_Scour]])*Table1567[[#This Row],[DECK_WIDTH_MT_052]]*1.062</f>
        <v>13156.203147223239</v>
      </c>
      <c r="AT2" s="1">
        <f>Table1567[[#This Row],[Depth500_Soil_vol]]*(9.353+9.027)+(Table1567[[#This Row],[Depth500_Soil_vol]]/2.5)*20*1.053+(PI()*Table1567[[#This Row],[Depth500_Scour]])*Table1567[[#This Row],[DECK_WIDTH_MT_052]]*1.062</f>
        <v>13829.826539765416</v>
      </c>
      <c r="AU2" s="1">
        <v>1.74</v>
      </c>
      <c r="AV2" s="1">
        <v>20.76</v>
      </c>
      <c r="AW2" s="1" t="s">
        <v>184</v>
      </c>
      <c r="AX2" s="1">
        <v>5</v>
      </c>
      <c r="AY2" s="1">
        <v>5</v>
      </c>
      <c r="AZ2" s="1">
        <v>5</v>
      </c>
      <c r="BA2" s="1">
        <v>5</v>
      </c>
      <c r="BB2" s="1">
        <v>25</v>
      </c>
      <c r="BC2" s="1" t="s">
        <v>185</v>
      </c>
      <c r="BD2" s="1">
        <v>42225748</v>
      </c>
      <c r="BE2" s="1">
        <v>70593935</v>
      </c>
      <c r="BF2" s="1">
        <v>1</v>
      </c>
      <c r="BG2" s="1">
        <v>3</v>
      </c>
      <c r="BH2" s="1">
        <v>1</v>
      </c>
      <c r="BI2" s="1">
        <v>145</v>
      </c>
      <c r="BJ2" s="1">
        <v>0</v>
      </c>
      <c r="BK2" s="1">
        <v>6</v>
      </c>
      <c r="BL2" s="1">
        <v>25</v>
      </c>
      <c r="BM2" s="1">
        <v>7000</v>
      </c>
      <c r="BN2" s="1" t="s">
        <v>186</v>
      </c>
      <c r="BO2" s="1">
        <v>0</v>
      </c>
      <c r="BP2" s="1" t="s">
        <v>187</v>
      </c>
      <c r="BQ2" s="1" t="s">
        <v>188</v>
      </c>
      <c r="BR2" s="1">
        <v>99.99</v>
      </c>
      <c r="BS2" s="1">
        <v>2.7040000000000002</v>
      </c>
      <c r="BT2" s="1">
        <v>0</v>
      </c>
      <c r="BU2" s="1">
        <v>0</v>
      </c>
      <c r="BV2" s="1">
        <v>0</v>
      </c>
      <c r="BW2" s="1">
        <v>5</v>
      </c>
      <c r="BX2" s="1">
        <v>3</v>
      </c>
      <c r="BY2" s="1">
        <v>4</v>
      </c>
      <c r="BZ2" s="1">
        <v>4</v>
      </c>
      <c r="CA2" s="1">
        <v>16</v>
      </c>
      <c r="CB2" s="1">
        <v>2013</v>
      </c>
      <c r="CC2" s="1">
        <v>2</v>
      </c>
      <c r="CD2" s="1">
        <v>0</v>
      </c>
      <c r="CE2" s="1">
        <v>34100</v>
      </c>
      <c r="CF2" s="1">
        <v>2019</v>
      </c>
      <c r="CG2" s="1">
        <v>9</v>
      </c>
      <c r="CH2" s="1">
        <v>13.4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4</v>
      </c>
      <c r="CQ2" s="1">
        <v>1</v>
      </c>
      <c r="CR2" s="1">
        <v>1.8</v>
      </c>
      <c r="CS2" s="1">
        <v>7.6</v>
      </c>
      <c r="CT2" s="1" t="s">
        <v>189</v>
      </c>
      <c r="CU2" s="1">
        <v>5</v>
      </c>
      <c r="CV2" s="1">
        <v>5</v>
      </c>
      <c r="CW2" s="1">
        <v>6</v>
      </c>
      <c r="CX2" s="1">
        <v>1</v>
      </c>
      <c r="CY2" s="1">
        <v>0</v>
      </c>
      <c r="CZ2" s="1">
        <v>0</v>
      </c>
      <c r="DA2" s="1">
        <v>5</v>
      </c>
      <c r="DB2" s="1">
        <v>0</v>
      </c>
      <c r="DC2" s="1">
        <v>13.4</v>
      </c>
      <c r="DD2" s="1">
        <v>11.8</v>
      </c>
      <c r="DE2" s="1">
        <v>62.2</v>
      </c>
      <c r="DF2" s="1">
        <v>2.1</v>
      </c>
      <c r="DG2" s="1">
        <v>2.1</v>
      </c>
      <c r="DH2" s="1">
        <v>13.4</v>
      </c>
      <c r="DI2" s="1">
        <v>18.399999999999999</v>
      </c>
      <c r="DJ2" s="1">
        <v>99.99</v>
      </c>
      <c r="DK2" s="1" t="s">
        <v>190</v>
      </c>
      <c r="DL2" s="1">
        <v>0</v>
      </c>
      <c r="DM2" s="1" t="s">
        <v>190</v>
      </c>
      <c r="DN2" s="1">
        <v>0</v>
      </c>
      <c r="DO2" s="1">
        <v>0</v>
      </c>
      <c r="DP2" s="1">
        <v>7</v>
      </c>
      <c r="DQ2" s="1">
        <v>7</v>
      </c>
      <c r="DR2" s="1">
        <v>7</v>
      </c>
      <c r="DS2" s="1">
        <v>8</v>
      </c>
      <c r="DT2" s="1" t="s">
        <v>190</v>
      </c>
      <c r="DU2" s="1">
        <v>1</v>
      </c>
      <c r="DV2" s="1">
        <v>66.900000000000006</v>
      </c>
      <c r="DW2" s="1">
        <v>1</v>
      </c>
      <c r="DX2" s="1">
        <v>61.8</v>
      </c>
      <c r="DY2" s="1">
        <v>7</v>
      </c>
      <c r="DZ2" s="1">
        <v>6</v>
      </c>
      <c r="EA2" s="1" t="s">
        <v>190</v>
      </c>
      <c r="EB2" s="1">
        <v>5</v>
      </c>
      <c r="EC2" s="1">
        <v>7</v>
      </c>
      <c r="ED2" s="1">
        <v>7</v>
      </c>
      <c r="EE2" s="1">
        <v>0</v>
      </c>
      <c r="EF2" s="1">
        <v>0</v>
      </c>
      <c r="EG2" s="1">
        <v>0</v>
      </c>
      <c r="EH2" s="1">
        <v>719</v>
      </c>
      <c r="EI2" s="1">
        <v>24</v>
      </c>
      <c r="EJ2" s="1" t="s">
        <v>191</v>
      </c>
      <c r="EK2" s="1" t="s">
        <v>192</v>
      </c>
      <c r="EL2" s="1" t="s">
        <v>191</v>
      </c>
      <c r="EM2" s="1">
        <v>0</v>
      </c>
      <c r="EN2" s="1">
        <v>519</v>
      </c>
      <c r="EO2" s="1">
        <v>0</v>
      </c>
      <c r="EP2" s="1">
        <v>0</v>
      </c>
      <c r="EQ2" s="1">
        <v>0</v>
      </c>
      <c r="ER2" s="1">
        <v>0</v>
      </c>
      <c r="ES2" s="1">
        <v>2020</v>
      </c>
      <c r="ET2" s="1">
        <v>0</v>
      </c>
      <c r="EU2" s="1">
        <v>0</v>
      </c>
      <c r="EV2" s="1" t="s">
        <v>193</v>
      </c>
      <c r="EW2" s="1">
        <v>0</v>
      </c>
      <c r="EX2" s="1" t="s">
        <v>190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1</v>
      </c>
      <c r="FE2" s="1">
        <v>1</v>
      </c>
      <c r="FF2" s="1">
        <v>0</v>
      </c>
      <c r="FG2" s="1">
        <v>1</v>
      </c>
      <c r="FH2" s="1">
        <v>3</v>
      </c>
      <c r="FI2" s="1">
        <v>0</v>
      </c>
      <c r="FJ2" s="1">
        <v>2</v>
      </c>
      <c r="FK2" s="1" t="s">
        <v>194</v>
      </c>
      <c r="FL2" s="1">
        <v>8</v>
      </c>
      <c r="FM2" s="1">
        <v>0</v>
      </c>
      <c r="FN2" s="1">
        <v>0</v>
      </c>
      <c r="FO2" s="1">
        <v>0</v>
      </c>
      <c r="FP2" s="1" t="s">
        <v>190</v>
      </c>
      <c r="FQ2" s="1">
        <v>25</v>
      </c>
      <c r="FR2" s="1" t="s">
        <v>195</v>
      </c>
      <c r="FS2" s="1">
        <v>7</v>
      </c>
      <c r="FT2" s="1">
        <v>1144.48</v>
      </c>
      <c r="FU2" s="1">
        <v>183</v>
      </c>
      <c r="FV2" s="1">
        <v>50</v>
      </c>
      <c r="FW2" s="1">
        <v>65</v>
      </c>
      <c r="FX2" s="1">
        <v>2</v>
      </c>
      <c r="FY2" s="1">
        <v>5</v>
      </c>
      <c r="FZ2" s="1">
        <v>125892.8</v>
      </c>
      <c r="GA2" s="1">
        <v>14836313.25</v>
      </c>
      <c r="GB2" s="1">
        <v>11528582.17</v>
      </c>
      <c r="GC2" s="1">
        <v>2500000</v>
      </c>
      <c r="GD2" s="1"/>
      <c r="GE2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0.39600000000000002</v>
      </c>
      <c r="GF2" s="1">
        <v>28.990788219999999</v>
      </c>
      <c r="GG2" s="1">
        <v>0</v>
      </c>
      <c r="GH2" s="1">
        <v>0</v>
      </c>
      <c r="GI2" s="1">
        <v>0</v>
      </c>
      <c r="GJ2" s="1">
        <v>0</v>
      </c>
      <c r="GK2" s="1">
        <v>8</v>
      </c>
      <c r="GL2" s="1">
        <v>12884.794764444443</v>
      </c>
      <c r="GM2" s="1">
        <v>7247.6970550000005</v>
      </c>
      <c r="GN2" s="1">
        <v>4638.5261152000003</v>
      </c>
      <c r="GO2" s="1">
        <v>3221.1986911111107</v>
      </c>
      <c r="GP2" s="1">
        <v>2366.5949567346938</v>
      </c>
      <c r="GQ2" s="1">
        <v>1811.9242637500001</v>
      </c>
      <c r="GR2" s="1">
        <v>1431.6438627160492</v>
      </c>
      <c r="GS2" s="1">
        <v>0</v>
      </c>
      <c r="GT2" s="1">
        <v>0</v>
      </c>
      <c r="GU2" s="1">
        <v>0</v>
      </c>
      <c r="GV2" s="1">
        <v>0.01</v>
      </c>
      <c r="GW2" s="1">
        <v>5.0000000000000001E-3</v>
      </c>
      <c r="GX2" s="1">
        <v>1.1000000000000001E-3</v>
      </c>
      <c r="GY2" s="1">
        <v>4.0000000000000002E-4</v>
      </c>
      <c r="GZ2" s="1">
        <v>6.9999999999999994E-5</v>
      </c>
      <c r="HA2" s="1">
        <v>1.8E-5</v>
      </c>
      <c r="HB2" s="1">
        <v>1.8E-5</v>
      </c>
      <c r="HC2" s="1">
        <v>3.9999999999999998E-7</v>
      </c>
      <c r="HD2" s="1">
        <v>2.4999999999999999E-7</v>
      </c>
      <c r="HE2" s="1">
        <v>1</v>
      </c>
      <c r="HF2" s="1">
        <v>0.01</v>
      </c>
      <c r="HG2" s="1">
        <v>1.25E-3</v>
      </c>
      <c r="HH2" s="1">
        <v>2.7500000000000002E-4</v>
      </c>
      <c r="HI2" s="1">
        <v>1E-4</v>
      </c>
      <c r="HJ2" s="1">
        <v>1.7499999999999998E-5</v>
      </c>
      <c r="HK2" s="1">
        <v>4.5000000000000001E-6</v>
      </c>
      <c r="HL2" s="1">
        <v>4.5000000000000001E-6</v>
      </c>
      <c r="HM2" s="1">
        <v>9.9999999999999995E-8</v>
      </c>
      <c r="HN2" s="1">
        <v>0.01</v>
      </c>
      <c r="HO2" s="1">
        <v>8.3333333333333339E-4</v>
      </c>
      <c r="HP2" s="1">
        <v>1.8333333333333334E-4</v>
      </c>
      <c r="HQ2" s="1">
        <v>6.666666666666667E-5</v>
      </c>
      <c r="HR2" s="1">
        <v>1.1666666666666666E-5</v>
      </c>
      <c r="HS2" s="1">
        <v>3.0000000000000001E-6</v>
      </c>
      <c r="HT2" s="1">
        <v>3.0000000000000001E-6</v>
      </c>
      <c r="HU2" s="1">
        <v>6.6666666666666668E-8</v>
      </c>
      <c r="HV2" s="1">
        <v>4.1666666666666663E-8</v>
      </c>
      <c r="HW2" s="1">
        <v>0.01</v>
      </c>
      <c r="HX2" s="1">
        <v>5.0000000000000001E-4</v>
      </c>
      <c r="HY2" s="1">
        <v>1.1E-4</v>
      </c>
      <c r="HZ2" s="1">
        <v>4.0000000000000003E-5</v>
      </c>
      <c r="IA2" s="1">
        <v>6.999999999999999E-6</v>
      </c>
      <c r="IB2" s="1">
        <v>1.8000000000000001E-6</v>
      </c>
      <c r="IC2" s="1">
        <v>1.8000000000000001E-6</v>
      </c>
      <c r="ID2" s="1">
        <v>4.0000000000000001E-8</v>
      </c>
      <c r="IE2" s="1">
        <v>2.4999999999999999E-8</v>
      </c>
      <c r="IF2" s="1">
        <f>Table1567[[#This Row],[Total_Cost_MUSD]]*Table1567[[#This Row],[prob500-failure_rating1]]/500</f>
        <v>5.7981576440000002E-4</v>
      </c>
      <c r="IG2" s="1">
        <f>Table1567[[#This Row],[Total_Cost_MUSD]]*Table1567[[#This Row],[prob500-failure_rating2]]/500</f>
        <v>2.8990788220000001E-4</v>
      </c>
      <c r="IH2" s="1">
        <f>Table1567[[#This Row],[Total_Cost_MUSD]]*Table1567[[#This Row],[prob500-failure_rating3]]/500</f>
        <v>6.3779734084000008E-5</v>
      </c>
      <c r="II2" s="1">
        <f>Table1567[[#This Row],[Total_Cost_MUSD]]*Table1567[[#This Row],[prob500-failure_rating4]]/500</f>
        <v>2.3192630576E-5</v>
      </c>
      <c r="IJ2" s="1">
        <f>Table1567[[#This Row],[Total_Cost_MUSD]]*Table1567[[#This Row],[prob500-failure_rating5]]/500</f>
        <v>4.0587103507999992E-6</v>
      </c>
      <c r="IK2" s="1">
        <f>Table1567[[#This Row],[Total_Cost_MUSD]]*Table1567[[#This Row],[prob500-failure_rating6]]/500</f>
        <v>1.04366837592E-6</v>
      </c>
      <c r="IL2" s="1">
        <f>Table1567[[#This Row],[Total_Cost_MUSD]]*Table1567[[#This Row],[prob500-failure_rating7]]/500</f>
        <v>1.04366837592E-6</v>
      </c>
      <c r="IM2" s="1">
        <f>Table1567[[#This Row],[Total_Cost_MUSD]]*Table1567[[#This Row],[prob500-failure_rating8]]/500</f>
        <v>2.3192630575999999E-8</v>
      </c>
      <c r="IN2" s="1">
        <f>Table1567[[#This Row],[Total_Cost_MUSD]]*Table1567[[#This Row],[prob500-failure_rating9]]/500</f>
        <v>1.4495394109999998E-8</v>
      </c>
      <c r="IO2" s="1">
        <f>Table1567[[#This Row],[Total_Cost_MUSD]]*Table1567[[#This Row],[prob100-failure_rating1]]/100</f>
        <v>0.28990788219999997</v>
      </c>
      <c r="IP2" s="1">
        <f>Table1567[[#This Row],[Total_Cost_MUSD]]*Table1567[[#This Row],[prob100-failure_rating2]]/100</f>
        <v>2.8990788220000004E-3</v>
      </c>
      <c r="IQ2" s="1">
        <f>Table1567[[#This Row],[Total_Cost_MUSD]]*Table1567[[#This Row],[prob100-failure_rating3]]/100</f>
        <v>3.6238485275000005E-4</v>
      </c>
      <c r="IR2" s="1">
        <f>Table1567[[#This Row],[Total_Cost_MUSD]]*Table1567[[#This Row],[prob100-failure_rating4]]/100</f>
        <v>7.9724667605000007E-5</v>
      </c>
      <c r="IS2" s="1">
        <f>Table1567[[#This Row],[Total_Cost_MUSD]]*Table1567[[#This Row],[prob100-failure_rating5]]/100</f>
        <v>2.899078822E-5</v>
      </c>
      <c r="IT2" s="1">
        <f>Table1567[[#This Row],[Total_Cost_MUSD]]*Table1567[[#This Row],[prob100-failure_rating6]]/100</f>
        <v>5.073387938499999E-6</v>
      </c>
      <c r="IU2" s="1">
        <f>Table1567[[#This Row],[Total_Cost_MUSD]]*Table1567[[#This Row],[prob100-failure_rating7]]/100</f>
        <v>1.3045854698999999E-6</v>
      </c>
      <c r="IV2" s="1">
        <f>Table1567[[#This Row],[Total_Cost_MUSD]]*Table1567[[#This Row],[prob100-failure_rating8]]/100</f>
        <v>1.3045854698999999E-6</v>
      </c>
      <c r="IW2" s="1">
        <f>Table1567[[#This Row],[Total_Cost_MUSD]]*Table1567[[#This Row],[prob100-failure_rating9]]/100</f>
        <v>2.899078822E-8</v>
      </c>
      <c r="IX2" s="1">
        <f>Table1567[[#This Row],[Total_Cost_MUSD]]*Table1567[[#This Row],[prob50-failure_rating1]]/50</f>
        <v>5.7981576440000009E-3</v>
      </c>
      <c r="IY2" s="1">
        <f>Table1567[[#This Row],[Total_Cost_MUSD]]*Table1567[[#This Row],[prob50-failure_rating2]]/50</f>
        <v>4.8317980366666667E-4</v>
      </c>
      <c r="IZ2" s="1">
        <f>Table1567[[#This Row],[Total_Cost_MUSD]]*Table1567[[#This Row],[prob50-failure_rating3]]/50</f>
        <v>1.0629955680666667E-4</v>
      </c>
      <c r="JA2" s="1">
        <f>Table1567[[#This Row],[Total_Cost_MUSD]]*Table1567[[#This Row],[prob50-failure_rating4]]/50</f>
        <v>3.8654384293333334E-5</v>
      </c>
      <c r="JB2" s="1">
        <f>Table1567[[#This Row],[Total_Cost_MUSD]]*Table1567[[#This Row],[prob50-failure_rating5]]/50</f>
        <v>6.7645172513333331E-6</v>
      </c>
      <c r="JC2" s="1">
        <f>Table1567[[#This Row],[Total_Cost_MUSD]]*Table1567[[#This Row],[prob50-failure_rating6]]/50</f>
        <v>1.7394472931999999E-6</v>
      </c>
      <c r="JD2" s="1">
        <f>Table1567[[#This Row],[Total_Cost_MUSD]]*Table1567[[#This Row],[prob50-failure_rating7]]/50</f>
        <v>1.7394472931999999E-6</v>
      </c>
      <c r="JE2" s="1">
        <f>Table1567[[#This Row],[Total_Cost_MUSD]]*Table1567[[#This Row],[prob50-failure_rating8]]/50</f>
        <v>3.8654384293333333E-8</v>
      </c>
      <c r="JF2" s="1">
        <f>Table1567[[#This Row],[Total_Cost_MUSD]]*Table1567[[#This Row],[prob50-failure_rating9]]/50</f>
        <v>2.4158990183333328E-8</v>
      </c>
      <c r="JG2" s="1">
        <f>Table1567[[#This Row],[Total_Cost_MUSD]]*Table1567[[#This Row],[prob10-failure_rating1]]/10</f>
        <v>2.8990788220000001E-2</v>
      </c>
      <c r="JH2" s="1">
        <f>Table1567[[#This Row],[Total_Cost_MUSD]]*Table1567[[#This Row],[prob10-failure_rating2]]/10</f>
        <v>1.449539411E-3</v>
      </c>
      <c r="JI2" s="1">
        <f>Table1567[[#This Row],[Total_Cost_MUSD]]*Table1567[[#This Row],[prob10-failure_rating3]]/10</f>
        <v>3.1889867041999997E-4</v>
      </c>
      <c r="JJ2" s="1">
        <f>Table1567[[#This Row],[Total_Cost_MUSD]]*Table1567[[#This Row],[prob10-failure_rating4]]/10</f>
        <v>1.1596315288E-4</v>
      </c>
      <c r="JK2" s="1">
        <f>Table1567[[#This Row],[Total_Cost_MUSD]]*Table1567[[#This Row],[prob10-failure_rating5]]/10</f>
        <v>2.0293551753999996E-5</v>
      </c>
      <c r="JL2" s="1">
        <f>Table1567[[#This Row],[Total_Cost_MUSD]]*Table1567[[#This Row],[prob10-failure_rating6]]/10</f>
        <v>5.2183418795999997E-6</v>
      </c>
      <c r="JM2" s="1">
        <f>Table1567[[#This Row],[Total_Cost_MUSD]]*Table1567[[#This Row],[prob10-failure_rating7]]/10</f>
        <v>5.2183418795999997E-6</v>
      </c>
      <c r="JN2" s="1">
        <f>Table1567[[#This Row],[Total_Cost_MUSD]]*Table1567[[#This Row],[prob10-failure_rating8]]/10</f>
        <v>1.1596315288000001E-7</v>
      </c>
      <c r="JO2" s="1">
        <f>Table1567[[#This Row],[Total_Cost_MUSD]]*Table1567[[#This Row],[prob10-failure_rating9]]/10</f>
        <v>7.2476970550000004E-8</v>
      </c>
      <c r="JP2" s="1">
        <f>Table1567[[#This Row],[FailureCost_Rating1]]</f>
        <v>5121.7059188666672</v>
      </c>
      <c r="JQ2" s="1">
        <f>Table1567[[#This Row],[FailureCost_Rating2]]</f>
        <v>5121.7059188666672</v>
      </c>
      <c r="JR2" s="1">
        <f>(Table1567[[#This Row],[failurecost500_rating2]]+Table1567[[#This Row],[failurecost100_rating2]]+Table1567[[#This Row],[failurecost50_rating2]]+Table1567[[#This Row],[failurecost10_rating2]])*1000000</f>
        <v>5121.7059188666672</v>
      </c>
      <c r="JS2" s="1">
        <f>(Table1567[[#This Row],[failurecost500_rating3]]+Table1567[[#This Row],[failurecost100_rating3]]+Table1567[[#This Row],[failurecost50_rating3]]+Table1567[[#This Row],[failurecost10_rating3]])*1000000</f>
        <v>851.36281406066666</v>
      </c>
      <c r="JT2" s="1">
        <f>(Table1567[[#This Row],[failurecost500_rating4]]+Table1567[[#This Row],[failurecost100_rating4]]+Table1567[[#This Row],[failurecost50_rating4]]+Table1567[[#This Row],[failurecost10_rating4]])*1000000</f>
        <v>257.53483535433338</v>
      </c>
      <c r="JU2" s="1">
        <f>(Table1567[[#This Row],[failurecost500_rating5]]+Table1567[[#This Row],[failurecost100_rating5]]+Table1567[[#This Row],[failurecost50_rating5]]+Table1567[[#This Row],[failurecost10_rating5]])*1000000</f>
        <v>60.107567576133334</v>
      </c>
      <c r="JV2" s="1">
        <f>(Table1567[[#This Row],[failurecost500_rating6]]+Table1567[[#This Row],[failurecost100_rating6]]+Table1567[[#This Row],[failurecost50_rating6]]+Table1567[[#This Row],[failurecost10_rating6]])*1000000</f>
        <v>13.074845487219999</v>
      </c>
      <c r="JW2" s="1">
        <f>(Table1567[[#This Row],[failurecost500_rating7]]+Table1567[[#This Row],[failurecost100_rating7]]+Table1567[[#This Row],[failurecost50_rating7]]+Table1567[[#This Row],[failurecost10_rating7]])*1000000</f>
        <v>9.3060430186200005</v>
      </c>
      <c r="JX2" s="1">
        <f>(Table1567[[#This Row],[failurecost500_rating8]]+Table1567[[#This Row],[failurecost100_rating8]]+Table1567[[#This Row],[failurecost50_rating8]]+Table1567[[#This Row],[failurecost10_rating8]])*1000000</f>
        <v>1.4823956376493332</v>
      </c>
      <c r="JY2" s="1">
        <f>(Table1567[[#This Row],[failurecost500_rating9]]+Table1567[[#This Row],[failurecost100_rating9]]+Table1567[[#This Row],[failurecost50_rating9]]+Table1567[[#This Row],[failurecost10_rating9]])*1000000</f>
        <v>0.14012214306333332</v>
      </c>
    </row>
    <row r="3" spans="1:285" ht="28.8" x14ac:dyDescent="0.3">
      <c r="A3" s="1">
        <v>2</v>
      </c>
      <c r="B3" s="1" t="s">
        <v>196</v>
      </c>
      <c r="C3" s="1" t="s">
        <v>197</v>
      </c>
      <c r="D3" s="1">
        <v>42.361530000000002</v>
      </c>
      <c r="E3" s="1">
        <v>-71.075500000000005</v>
      </c>
      <c r="F3" s="1">
        <v>7.7110228540000003</v>
      </c>
      <c r="G3" s="1">
        <v>0</v>
      </c>
      <c r="H3" s="1">
        <v>8.8110237120000008</v>
      </c>
      <c r="I3" s="1">
        <v>11.01102352</v>
      </c>
      <c r="J3" s="1">
        <v>4379.8351579999999</v>
      </c>
      <c r="K3" s="1">
        <v>3591.4593020000002</v>
      </c>
      <c r="L3" s="1">
        <v>4379.8351579999999</v>
      </c>
      <c r="M3" s="1">
        <v>3591.4593020000002</v>
      </c>
      <c r="N3" s="1">
        <v>11220.843049999999</v>
      </c>
      <c r="O3" s="1">
        <v>3781.0051539999999</v>
      </c>
      <c r="P3" s="1">
        <v>11220.843049999999</v>
      </c>
      <c r="Q3" s="1">
        <v>3781.0051539999999</v>
      </c>
      <c r="R3" s="1">
        <v>7007.5071799999996</v>
      </c>
      <c r="S3" s="1">
        <v>3212.8744879999999</v>
      </c>
      <c r="T3" s="1">
        <v>1.2195140719999999</v>
      </c>
      <c r="U3" s="1">
        <v>1.2195140719999999</v>
      </c>
      <c r="V3" s="1">
        <v>2.9676878489999998</v>
      </c>
      <c r="W3" s="1">
        <v>2.9676878489999998</v>
      </c>
      <c r="X3" s="1">
        <v>2.1810709400000001</v>
      </c>
      <c r="Y3" s="1">
        <v>2.9354839000000001E-2</v>
      </c>
      <c r="Z3" s="1">
        <v>44.433333330000004</v>
      </c>
      <c r="AA3" s="1">
        <v>3.9113593889999998</v>
      </c>
      <c r="AB3" s="1">
        <v>7.0764480689999996</v>
      </c>
      <c r="AC3" s="1">
        <v>7.0764480689999996</v>
      </c>
      <c r="AD3" s="1">
        <v>5.7630144139999997</v>
      </c>
      <c r="AE3" s="1">
        <v>0</v>
      </c>
      <c r="AF3" s="1">
        <v>0.81362601300000004</v>
      </c>
      <c r="AG3" s="1">
        <v>0.76114541400000002</v>
      </c>
      <c r="AH3" s="1">
        <v>0.55449975299999998</v>
      </c>
      <c r="AI3" s="1">
        <v>0</v>
      </c>
      <c r="AJ3" s="1">
        <v>15.64069488</v>
      </c>
      <c r="AK3" s="1">
        <v>15.92481828</v>
      </c>
      <c r="AL3" s="1">
        <v>15.024549110000001</v>
      </c>
      <c r="AM3" s="1">
        <v>0</v>
      </c>
      <c r="AN3" s="1">
        <v>291.92565680000001</v>
      </c>
      <c r="AO3" s="1">
        <v>308.1254634</v>
      </c>
      <c r="AP3" s="1">
        <v>258.76675340000003</v>
      </c>
      <c r="AQ3" s="1">
        <f>Table1567[[#This Row],[Depth10_Soil_vol]]*(9.353+9.027)+(Table1567[[#This Row],[Depth10_Soil_vol]]/2.5)*20*1.053+(PI()*Table1567[[#This Row],[Depth10_Scour]])*Table1567[[#This Row],[DECK_WIDTH_MT_052]]*1.062</f>
        <v>0</v>
      </c>
      <c r="AR3" s="1">
        <f>Table1567[[#This Row],[Depth50_Soil_vol]]*(9.353+9.027)+(Table1567[[#This Row],[Depth50_Soil_vol]]/2.5)*20*1.053+(PI()*Table1567[[#This Row],[Depth50_Scour]])*Table1567[[#This Row],[DECK_WIDTH_MT_052]]*1.062</f>
        <v>9520.728233804819</v>
      </c>
      <c r="AS3" s="1">
        <f>Table1567[[#This Row],[Depth100_Soil_vol]]*(9.353+9.027)+(Table1567[[#This Row],[Depth100_Soil_vol]]/2.5)*20*1.053+(PI()*Table1567[[#This Row],[Depth100_Scour]])*Table1567[[#This Row],[DECK_WIDTH_MT_052]]*1.062</f>
        <v>9985.7559384332872</v>
      </c>
      <c r="AT3" s="1">
        <f>Table1567[[#This Row],[Depth500_Soil_vol]]*(9.353+9.027)+(Table1567[[#This Row],[Depth500_Soil_vol]]/2.5)*20*1.053+(PI()*Table1567[[#This Row],[Depth500_Scour]])*Table1567[[#This Row],[DECK_WIDTH_MT_052]]*1.062</f>
        <v>8565.1270255381023</v>
      </c>
      <c r="AU3" s="1">
        <v>7.8</v>
      </c>
      <c r="AV3" s="1">
        <v>45.61</v>
      </c>
      <c r="AW3" s="1" t="s">
        <v>198</v>
      </c>
      <c r="AX3" s="1">
        <v>8</v>
      </c>
      <c r="AY3" s="1">
        <v>5</v>
      </c>
      <c r="AZ3" s="1">
        <v>5</v>
      </c>
      <c r="BA3" s="1">
        <v>5</v>
      </c>
      <c r="BB3" s="1">
        <v>25</v>
      </c>
      <c r="BC3" s="1" t="s">
        <v>199</v>
      </c>
      <c r="BD3" s="1">
        <v>42214149</v>
      </c>
      <c r="BE3" s="1">
        <v>71043169</v>
      </c>
      <c r="BF3" s="1">
        <v>1</v>
      </c>
      <c r="BG3" s="1">
        <v>3</v>
      </c>
      <c r="BH3" s="1">
        <v>1</v>
      </c>
      <c r="BI3" s="1">
        <v>3</v>
      </c>
      <c r="BJ3" s="1">
        <v>0</v>
      </c>
      <c r="BK3" s="1">
        <v>6</v>
      </c>
      <c r="BL3" s="1">
        <v>25</v>
      </c>
      <c r="BM3" s="1">
        <v>7000</v>
      </c>
      <c r="BN3" s="1" t="s">
        <v>200</v>
      </c>
      <c r="BO3" s="1">
        <v>0</v>
      </c>
      <c r="BP3" s="1" t="s">
        <v>201</v>
      </c>
      <c r="BQ3" s="1" t="s">
        <v>202</v>
      </c>
      <c r="BR3" s="1">
        <v>99.99</v>
      </c>
      <c r="BS3" s="1">
        <v>1.6E-2</v>
      </c>
      <c r="BT3" s="1">
        <v>1</v>
      </c>
      <c r="BU3" s="1">
        <v>0</v>
      </c>
      <c r="BV3" s="1">
        <v>0</v>
      </c>
      <c r="BW3" s="1">
        <v>3</v>
      </c>
      <c r="BX3" s="1">
        <v>3</v>
      </c>
      <c r="BY3" s="1">
        <v>1</v>
      </c>
      <c r="BZ3" s="1">
        <v>1</v>
      </c>
      <c r="CA3" s="1">
        <v>14</v>
      </c>
      <c r="CB3" s="1">
        <v>1905</v>
      </c>
      <c r="CC3" s="1">
        <v>6</v>
      </c>
      <c r="CD3" s="1">
        <v>6</v>
      </c>
      <c r="CE3" s="1">
        <v>29100</v>
      </c>
      <c r="CF3" s="1">
        <v>2018</v>
      </c>
      <c r="CG3" s="1">
        <v>0</v>
      </c>
      <c r="CH3" s="1">
        <v>17.100000000000001</v>
      </c>
      <c r="CI3" s="1">
        <v>3</v>
      </c>
      <c r="CJ3" s="1">
        <v>0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9.1</v>
      </c>
      <c r="CS3" s="1">
        <v>57.3</v>
      </c>
      <c r="CT3" s="1" t="s">
        <v>203</v>
      </c>
      <c r="CU3" s="1">
        <v>4</v>
      </c>
      <c r="CV3" s="1">
        <v>6</v>
      </c>
      <c r="CW3" s="1">
        <v>3</v>
      </c>
      <c r="CX3" s="1">
        <v>11</v>
      </c>
      <c r="CY3" s="1">
        <v>3</v>
      </c>
      <c r="CZ3" s="1">
        <v>2</v>
      </c>
      <c r="DA3" s="1">
        <v>11</v>
      </c>
      <c r="DB3" s="1">
        <v>2</v>
      </c>
      <c r="DC3" s="1">
        <v>25.9</v>
      </c>
      <c r="DD3" s="1">
        <v>74.099999999999994</v>
      </c>
      <c r="DE3" s="1">
        <v>650.70000000000005</v>
      </c>
      <c r="DF3" s="1">
        <v>3</v>
      </c>
      <c r="DG3" s="1">
        <v>1.8</v>
      </c>
      <c r="DH3" s="1">
        <v>27.6</v>
      </c>
      <c r="DI3" s="1">
        <v>32.5</v>
      </c>
      <c r="DJ3" s="1">
        <v>99.99</v>
      </c>
      <c r="DK3" s="1" t="s">
        <v>204</v>
      </c>
      <c r="DL3" s="1">
        <v>3.37</v>
      </c>
      <c r="DM3" s="1" t="s">
        <v>204</v>
      </c>
      <c r="DN3" s="1">
        <v>6.1</v>
      </c>
      <c r="DO3" s="1">
        <v>9.1</v>
      </c>
      <c r="DP3" s="1">
        <v>7</v>
      </c>
      <c r="DQ3" s="1">
        <v>7</v>
      </c>
      <c r="DR3" s="1">
        <v>6</v>
      </c>
      <c r="DS3" s="1">
        <v>7</v>
      </c>
      <c r="DT3" s="1" t="s">
        <v>190</v>
      </c>
      <c r="DU3" s="1">
        <v>1</v>
      </c>
      <c r="DV3" s="1">
        <v>57.9</v>
      </c>
      <c r="DW3" s="1">
        <v>1</v>
      </c>
      <c r="DX3" s="1">
        <v>39.4</v>
      </c>
      <c r="DY3" s="1">
        <v>6</v>
      </c>
      <c r="DZ3" s="1">
        <v>7</v>
      </c>
      <c r="EA3" s="1">
        <v>3</v>
      </c>
      <c r="EB3" s="1">
        <v>5</v>
      </c>
      <c r="EC3" s="1">
        <v>9</v>
      </c>
      <c r="ED3" s="1">
        <v>4</v>
      </c>
      <c r="EE3" s="1">
        <v>0</v>
      </c>
      <c r="EF3" s="1">
        <v>0</v>
      </c>
      <c r="EG3" s="1">
        <v>0</v>
      </c>
      <c r="EH3" s="1">
        <v>918</v>
      </c>
      <c r="EI3" s="1">
        <v>24</v>
      </c>
      <c r="EJ3" s="1" t="s">
        <v>191</v>
      </c>
      <c r="EK3" s="1" t="s">
        <v>205</v>
      </c>
      <c r="EL3" s="1" t="s">
        <v>191</v>
      </c>
      <c r="EM3" s="1">
        <v>0</v>
      </c>
      <c r="EN3" s="1">
        <v>718</v>
      </c>
      <c r="EO3" s="1">
        <v>0</v>
      </c>
      <c r="EP3" s="1">
        <v>0</v>
      </c>
      <c r="EQ3" s="1">
        <v>0</v>
      </c>
      <c r="ER3" s="1">
        <v>0</v>
      </c>
      <c r="ES3" s="1">
        <v>2020</v>
      </c>
      <c r="ET3" s="1">
        <v>0</v>
      </c>
      <c r="EU3" s="1">
        <v>0</v>
      </c>
      <c r="EV3" s="1" t="s">
        <v>193</v>
      </c>
      <c r="EW3" s="1">
        <v>0</v>
      </c>
      <c r="EX3" s="1" t="s">
        <v>190</v>
      </c>
      <c r="EY3" s="1">
        <v>2</v>
      </c>
      <c r="EZ3" s="1">
        <v>0</v>
      </c>
      <c r="FA3" s="1">
        <v>1</v>
      </c>
      <c r="FB3" s="1">
        <v>0</v>
      </c>
      <c r="FC3" s="1">
        <v>2018</v>
      </c>
      <c r="FD3" s="1">
        <v>1</v>
      </c>
      <c r="FE3" s="1">
        <v>6</v>
      </c>
      <c r="FF3" s="1">
        <v>0</v>
      </c>
      <c r="FG3" s="1">
        <v>0</v>
      </c>
      <c r="FH3" s="1">
        <v>5</v>
      </c>
      <c r="FI3" s="1">
        <v>0</v>
      </c>
      <c r="FJ3" s="1">
        <v>1</v>
      </c>
      <c r="FK3" s="1" t="s">
        <v>194</v>
      </c>
      <c r="FL3" s="1">
        <v>5</v>
      </c>
      <c r="FM3" s="1">
        <v>35692</v>
      </c>
      <c r="FN3" s="1">
        <v>2031</v>
      </c>
      <c r="FO3" s="1">
        <v>0</v>
      </c>
      <c r="FP3" s="1" t="s">
        <v>190</v>
      </c>
      <c r="FQ3" s="1">
        <v>25</v>
      </c>
      <c r="FR3" s="1" t="s">
        <v>206</v>
      </c>
      <c r="FS3" s="1">
        <v>6</v>
      </c>
      <c r="FT3" s="1">
        <v>21147.75</v>
      </c>
      <c r="FU3" s="1">
        <v>183</v>
      </c>
      <c r="FV3" s="1">
        <v>50</v>
      </c>
      <c r="FW3" s="1">
        <v>65</v>
      </c>
      <c r="FX3" s="1">
        <v>2</v>
      </c>
      <c r="FY3" s="1">
        <v>5</v>
      </c>
      <c r="FZ3" s="1">
        <v>2622321</v>
      </c>
      <c r="GA3" s="1">
        <v>7868130.75</v>
      </c>
      <c r="GB3" s="1">
        <v>5962447.5149999997</v>
      </c>
      <c r="GC3" s="1">
        <v>2500000</v>
      </c>
      <c r="GD3" s="1"/>
      <c r="GE3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3" s="1">
        <v>18.95289927</v>
      </c>
      <c r="GG3" s="1">
        <v>0</v>
      </c>
      <c r="GH3" s="1">
        <v>0</v>
      </c>
      <c r="GI3" s="1">
        <v>0</v>
      </c>
      <c r="GJ3" s="1">
        <v>0</v>
      </c>
      <c r="GK3" s="1">
        <v>5</v>
      </c>
      <c r="GL3" s="1">
        <v>8423.5107866666658</v>
      </c>
      <c r="GM3" s="1">
        <v>4738.2248175000004</v>
      </c>
      <c r="GN3" s="1">
        <v>3032.4638832000001</v>
      </c>
      <c r="GO3" s="1">
        <v>2105.8776966666665</v>
      </c>
      <c r="GP3" s="1">
        <v>1547.1754506122447</v>
      </c>
      <c r="GQ3" s="1">
        <v>1184.5562043750001</v>
      </c>
      <c r="GR3" s="1">
        <v>935.94564296296289</v>
      </c>
      <c r="GS3" s="1">
        <v>0</v>
      </c>
      <c r="GT3" s="1">
        <v>0</v>
      </c>
      <c r="GU3" s="1">
        <v>0</v>
      </c>
      <c r="GV3" s="1">
        <v>0.01</v>
      </c>
      <c r="GW3" s="1">
        <v>5.0000000000000001E-3</v>
      </c>
      <c r="GX3" s="1">
        <v>1.1000000000000001E-3</v>
      </c>
      <c r="GY3" s="1">
        <v>4.0000000000000002E-4</v>
      </c>
      <c r="GZ3" s="1">
        <v>6.9999999999999994E-5</v>
      </c>
      <c r="HA3" s="1">
        <v>1.8E-5</v>
      </c>
      <c r="HB3" s="1">
        <v>1.8E-5</v>
      </c>
      <c r="HC3" s="1">
        <v>3.9999999999999998E-7</v>
      </c>
      <c r="HD3" s="1">
        <v>2.4999999999999999E-7</v>
      </c>
      <c r="HE3" s="1">
        <v>1</v>
      </c>
      <c r="HF3" s="1">
        <v>0.01</v>
      </c>
      <c r="HG3" s="1">
        <v>1.25E-3</v>
      </c>
      <c r="HH3" s="1">
        <v>2.7500000000000002E-4</v>
      </c>
      <c r="HI3" s="1">
        <v>1E-4</v>
      </c>
      <c r="HJ3" s="1">
        <v>1.7499999999999998E-5</v>
      </c>
      <c r="HK3" s="1">
        <v>4.5000000000000001E-6</v>
      </c>
      <c r="HL3" s="1">
        <v>4.5000000000000001E-6</v>
      </c>
      <c r="HM3" s="1">
        <v>9.9999999999999995E-8</v>
      </c>
      <c r="HN3" s="1">
        <v>0.01</v>
      </c>
      <c r="HO3" s="1">
        <v>8.3333333333333339E-4</v>
      </c>
      <c r="HP3" s="1">
        <v>1.8333333333333334E-4</v>
      </c>
      <c r="HQ3" s="1">
        <v>6.666666666666667E-5</v>
      </c>
      <c r="HR3" s="1">
        <v>1.1666666666666666E-5</v>
      </c>
      <c r="HS3" s="1">
        <v>3.0000000000000001E-6</v>
      </c>
      <c r="HT3" s="1">
        <v>3.0000000000000001E-6</v>
      </c>
      <c r="HU3" s="1">
        <v>6.6666666666666668E-8</v>
      </c>
      <c r="HV3" s="1">
        <v>4.1666666666666663E-8</v>
      </c>
      <c r="HW3" s="1">
        <v>0.01</v>
      </c>
      <c r="HX3" s="1">
        <v>5.0000000000000001E-4</v>
      </c>
      <c r="HY3" s="1">
        <v>1.1E-4</v>
      </c>
      <c r="HZ3" s="1">
        <v>4.0000000000000003E-5</v>
      </c>
      <c r="IA3" s="1">
        <v>6.999999999999999E-6</v>
      </c>
      <c r="IB3" s="1">
        <v>1.8000000000000001E-6</v>
      </c>
      <c r="IC3" s="1">
        <v>1.8000000000000001E-6</v>
      </c>
      <c r="ID3" s="1">
        <v>4.0000000000000001E-8</v>
      </c>
      <c r="IE3" s="1">
        <v>2.4999999999999999E-8</v>
      </c>
      <c r="IF3" s="1">
        <f>Table1567[[#This Row],[Total_Cost_MUSD]]*Table1567[[#This Row],[prob500-failure_rating1]]/500</f>
        <v>3.7905798540000001E-4</v>
      </c>
      <c r="IG3" s="1">
        <f>Table1567[[#This Row],[Total_Cost_MUSD]]*Table1567[[#This Row],[prob500-failure_rating2]]/500</f>
        <v>1.8952899270000001E-4</v>
      </c>
      <c r="IH3" s="1">
        <f>Table1567[[#This Row],[Total_Cost_MUSD]]*Table1567[[#This Row],[prob500-failure_rating3]]/500</f>
        <v>4.1696378394E-5</v>
      </c>
      <c r="II3" s="1">
        <f>Table1567[[#This Row],[Total_Cost_MUSD]]*Table1567[[#This Row],[prob500-failure_rating4]]/500</f>
        <v>1.5162319416000001E-5</v>
      </c>
      <c r="IJ3" s="1">
        <f>Table1567[[#This Row],[Total_Cost_MUSD]]*Table1567[[#This Row],[prob500-failure_rating5]]/500</f>
        <v>2.6534058977999997E-6</v>
      </c>
      <c r="IK3" s="1">
        <f>Table1567[[#This Row],[Total_Cost_MUSD]]*Table1567[[#This Row],[prob500-failure_rating6]]/500</f>
        <v>6.8230437372000002E-7</v>
      </c>
      <c r="IL3" s="1">
        <f>Table1567[[#This Row],[Total_Cost_MUSD]]*Table1567[[#This Row],[prob500-failure_rating7]]/500</f>
        <v>6.8230437372000002E-7</v>
      </c>
      <c r="IM3" s="1">
        <f>Table1567[[#This Row],[Total_Cost_MUSD]]*Table1567[[#This Row],[prob500-failure_rating8]]/500</f>
        <v>1.5162319415999999E-8</v>
      </c>
      <c r="IN3" s="1">
        <f>Table1567[[#This Row],[Total_Cost_MUSD]]*Table1567[[#This Row],[prob500-failure_rating9]]/500</f>
        <v>9.4764496349999996E-9</v>
      </c>
      <c r="IO3" s="1">
        <f>Table1567[[#This Row],[Total_Cost_MUSD]]*Table1567[[#This Row],[prob100-failure_rating1]]/100</f>
        <v>0.18952899270000001</v>
      </c>
      <c r="IP3" s="1">
        <f>Table1567[[#This Row],[Total_Cost_MUSD]]*Table1567[[#This Row],[prob100-failure_rating2]]/100</f>
        <v>1.8952899270000001E-3</v>
      </c>
      <c r="IQ3" s="1">
        <f>Table1567[[#This Row],[Total_Cost_MUSD]]*Table1567[[#This Row],[prob100-failure_rating3]]/100</f>
        <v>2.3691124087500001E-4</v>
      </c>
      <c r="IR3" s="1">
        <f>Table1567[[#This Row],[Total_Cost_MUSD]]*Table1567[[#This Row],[prob100-failure_rating4]]/100</f>
        <v>5.2120472992500001E-5</v>
      </c>
      <c r="IS3" s="1">
        <f>Table1567[[#This Row],[Total_Cost_MUSD]]*Table1567[[#This Row],[prob100-failure_rating5]]/100</f>
        <v>1.8952899270000002E-5</v>
      </c>
      <c r="IT3" s="1">
        <f>Table1567[[#This Row],[Total_Cost_MUSD]]*Table1567[[#This Row],[prob100-failure_rating6]]/100</f>
        <v>3.3167573722499998E-6</v>
      </c>
      <c r="IU3" s="1">
        <f>Table1567[[#This Row],[Total_Cost_MUSD]]*Table1567[[#This Row],[prob100-failure_rating7]]/100</f>
        <v>8.5288046715000011E-7</v>
      </c>
      <c r="IV3" s="1">
        <f>Table1567[[#This Row],[Total_Cost_MUSD]]*Table1567[[#This Row],[prob100-failure_rating8]]/100</f>
        <v>8.5288046715000011E-7</v>
      </c>
      <c r="IW3" s="1">
        <f>Table1567[[#This Row],[Total_Cost_MUSD]]*Table1567[[#This Row],[prob100-failure_rating9]]/100</f>
        <v>1.8952899269999999E-8</v>
      </c>
      <c r="IX3" s="1">
        <f>Table1567[[#This Row],[Total_Cost_MUSD]]*Table1567[[#This Row],[prob50-failure_rating1]]/50</f>
        <v>3.7905798540000001E-3</v>
      </c>
      <c r="IY3" s="1">
        <f>Table1567[[#This Row],[Total_Cost_MUSD]]*Table1567[[#This Row],[prob50-failure_rating2]]/50</f>
        <v>3.1588165450000005E-4</v>
      </c>
      <c r="IZ3" s="1">
        <f>Table1567[[#This Row],[Total_Cost_MUSD]]*Table1567[[#This Row],[prob50-failure_rating3]]/50</f>
        <v>6.9493963990000001E-5</v>
      </c>
      <c r="JA3" s="1">
        <f>Table1567[[#This Row],[Total_Cost_MUSD]]*Table1567[[#This Row],[prob50-failure_rating4]]/50</f>
        <v>2.5270532359999999E-5</v>
      </c>
      <c r="JB3" s="1">
        <f>Table1567[[#This Row],[Total_Cost_MUSD]]*Table1567[[#This Row],[prob50-failure_rating5]]/50</f>
        <v>4.422343163E-6</v>
      </c>
      <c r="JC3" s="1">
        <f>Table1567[[#This Row],[Total_Cost_MUSD]]*Table1567[[#This Row],[prob50-failure_rating6]]/50</f>
        <v>1.1371739562E-6</v>
      </c>
      <c r="JD3" s="1">
        <f>Table1567[[#This Row],[Total_Cost_MUSD]]*Table1567[[#This Row],[prob50-failure_rating7]]/50</f>
        <v>1.1371739562E-6</v>
      </c>
      <c r="JE3" s="1">
        <f>Table1567[[#This Row],[Total_Cost_MUSD]]*Table1567[[#This Row],[prob50-failure_rating8]]/50</f>
        <v>2.5270532360000002E-8</v>
      </c>
      <c r="JF3" s="1">
        <f>Table1567[[#This Row],[Total_Cost_MUSD]]*Table1567[[#This Row],[prob50-failure_rating9]]/50</f>
        <v>1.5794082724999996E-8</v>
      </c>
      <c r="JG3" s="1">
        <f>Table1567[[#This Row],[Total_Cost_MUSD]]*Table1567[[#This Row],[prob10-failure_rating1]]/10</f>
        <v>1.895289927E-2</v>
      </c>
      <c r="JH3" s="1">
        <f>Table1567[[#This Row],[Total_Cost_MUSD]]*Table1567[[#This Row],[prob10-failure_rating2]]/10</f>
        <v>9.4764496350000004E-4</v>
      </c>
      <c r="JI3" s="1">
        <f>Table1567[[#This Row],[Total_Cost_MUSD]]*Table1567[[#This Row],[prob10-failure_rating3]]/10</f>
        <v>2.0848189197000003E-4</v>
      </c>
      <c r="JJ3" s="1">
        <f>Table1567[[#This Row],[Total_Cost_MUSD]]*Table1567[[#This Row],[prob10-failure_rating4]]/10</f>
        <v>7.5811597080000008E-5</v>
      </c>
      <c r="JK3" s="1">
        <f>Table1567[[#This Row],[Total_Cost_MUSD]]*Table1567[[#This Row],[prob10-failure_rating5]]/10</f>
        <v>1.3267029488999997E-5</v>
      </c>
      <c r="JL3" s="1">
        <f>Table1567[[#This Row],[Total_Cost_MUSD]]*Table1567[[#This Row],[prob10-failure_rating6]]/10</f>
        <v>3.4115218686E-6</v>
      </c>
      <c r="JM3" s="1">
        <f>Table1567[[#This Row],[Total_Cost_MUSD]]*Table1567[[#This Row],[prob10-failure_rating7]]/10</f>
        <v>3.4115218686E-6</v>
      </c>
      <c r="JN3" s="1">
        <f>Table1567[[#This Row],[Total_Cost_MUSD]]*Table1567[[#This Row],[prob10-failure_rating8]]/10</f>
        <v>7.5811597079999997E-8</v>
      </c>
      <c r="JO3" s="1">
        <f>Table1567[[#This Row],[Total_Cost_MUSD]]*Table1567[[#This Row],[prob10-failure_rating9]]/10</f>
        <v>4.7382248174999998E-8</v>
      </c>
      <c r="JP3" s="1">
        <f>Table1567[[#This Row],[FailureCost_Rating1]]</f>
        <v>3348.3455377000005</v>
      </c>
      <c r="JQ3" s="1">
        <f>Table1567[[#This Row],[FailureCost_Rating2]]</f>
        <v>3348.3455377000005</v>
      </c>
      <c r="JR3" s="1">
        <f>(Table1567[[#This Row],[failurecost500_rating2]]+Table1567[[#This Row],[failurecost100_rating2]]+Table1567[[#This Row],[failurecost50_rating2]]+Table1567[[#This Row],[failurecost10_rating2]])*1000000</f>
        <v>3348.3455377000005</v>
      </c>
      <c r="JS3" s="1">
        <f>(Table1567[[#This Row],[failurecost500_rating3]]+Table1567[[#This Row],[failurecost100_rating3]]+Table1567[[#This Row],[failurecost50_rating3]]+Table1567[[#This Row],[failurecost10_rating3]])*1000000</f>
        <v>556.5834752290001</v>
      </c>
      <c r="JT3" s="1">
        <f>(Table1567[[#This Row],[failurecost500_rating4]]+Table1567[[#This Row],[failurecost100_rating4]]+Table1567[[#This Row],[failurecost50_rating4]]+Table1567[[#This Row],[failurecost10_rating4]])*1000000</f>
        <v>168.36492184850002</v>
      </c>
      <c r="JU3" s="1">
        <f>(Table1567[[#This Row],[failurecost500_rating5]]+Table1567[[#This Row],[failurecost100_rating5]]+Table1567[[#This Row],[failurecost50_rating5]]+Table1567[[#This Row],[failurecost10_rating5]])*1000000</f>
        <v>39.295677819799998</v>
      </c>
      <c r="JV3" s="1">
        <f>(Table1567[[#This Row],[failurecost500_rating6]]+Table1567[[#This Row],[failurecost100_rating6]]+Table1567[[#This Row],[failurecost50_rating6]]+Table1567[[#This Row],[failurecost10_rating6]])*1000000</f>
        <v>8.5477575707700009</v>
      </c>
      <c r="JW3" s="1">
        <f>(Table1567[[#This Row],[failurecost500_rating7]]+Table1567[[#This Row],[failurecost100_rating7]]+Table1567[[#This Row],[failurecost50_rating7]]+Table1567[[#This Row],[failurecost10_rating7]])*1000000</f>
        <v>6.0838806656699997</v>
      </c>
      <c r="JX3" s="1">
        <f>(Table1567[[#This Row],[failurecost500_rating8]]+Table1567[[#This Row],[failurecost100_rating8]]+Table1567[[#This Row],[failurecost50_rating8]]+Table1567[[#This Row],[failurecost10_rating8]])*1000000</f>
        <v>0.96912491600600015</v>
      </c>
      <c r="JY3" s="1">
        <f>(Table1567[[#This Row],[failurecost500_rating9]]+Table1567[[#This Row],[failurecost100_rating9]]+Table1567[[#This Row],[failurecost50_rating9]]+Table1567[[#This Row],[failurecost10_rating9]])*1000000</f>
        <v>9.1605679805000007E-2</v>
      </c>
    </row>
    <row r="4" spans="1:285" ht="28.8" x14ac:dyDescent="0.3">
      <c r="A4" s="1">
        <v>3</v>
      </c>
      <c r="B4" s="1" t="s">
        <v>207</v>
      </c>
      <c r="C4" s="1" t="s">
        <v>197</v>
      </c>
      <c r="D4" s="1">
        <v>42.354390000000002</v>
      </c>
      <c r="E4" s="1">
        <v>-71.091200000000001</v>
      </c>
      <c r="F4" s="1">
        <v>7.7110228540000003</v>
      </c>
      <c r="G4" s="1">
        <v>0</v>
      </c>
      <c r="H4" s="1">
        <v>8.8110237120000008</v>
      </c>
      <c r="I4" s="1">
        <v>11.01102352</v>
      </c>
      <c r="J4" s="1">
        <v>3843.3345920000002</v>
      </c>
      <c r="K4" s="1">
        <v>5289.2500630000004</v>
      </c>
      <c r="L4" s="1">
        <v>3843.3345920000002</v>
      </c>
      <c r="M4" s="1">
        <v>5289.2500630000004</v>
      </c>
      <c r="N4" s="1">
        <v>12341.28357</v>
      </c>
      <c r="O4" s="1">
        <v>6096.0155219999997</v>
      </c>
      <c r="P4" s="1">
        <v>12341.28357</v>
      </c>
      <c r="Q4" s="1">
        <v>6096.0155219999997</v>
      </c>
      <c r="R4" s="1">
        <v>8960.0625450000007</v>
      </c>
      <c r="S4" s="1">
        <v>5434.4413009999998</v>
      </c>
      <c r="T4" s="1">
        <v>0.72663128899999996</v>
      </c>
      <c r="U4" s="1">
        <v>0.72663128899999996</v>
      </c>
      <c r="V4" s="1">
        <v>2.0244836199999998</v>
      </c>
      <c r="W4" s="1">
        <v>2.0244836199999998</v>
      </c>
      <c r="X4" s="1">
        <v>1.648755051</v>
      </c>
      <c r="Y4" s="1">
        <v>2.1999999999999999E-2</v>
      </c>
      <c r="Z4" s="1">
        <v>21.333333329999999</v>
      </c>
      <c r="AA4" s="1">
        <v>2.3976405000000001</v>
      </c>
      <c r="AB4" s="1">
        <v>4.7473455859999998</v>
      </c>
      <c r="AC4" s="1">
        <v>4.7473455859999998</v>
      </c>
      <c r="AD4" s="1">
        <v>4.1401120520000001</v>
      </c>
      <c r="AE4" s="1">
        <v>0</v>
      </c>
      <c r="AF4" s="1">
        <v>0.54583370399999998</v>
      </c>
      <c r="AG4" s="1">
        <v>0.51062627599999999</v>
      </c>
      <c r="AH4" s="1">
        <v>0.398349014</v>
      </c>
      <c r="AI4" s="1">
        <v>0</v>
      </c>
      <c r="AJ4" s="1">
        <v>6.7371612909999996</v>
      </c>
      <c r="AK4" s="1">
        <v>6.8595462080000003</v>
      </c>
      <c r="AL4" s="1">
        <v>6.6650728519999998</v>
      </c>
      <c r="AM4" s="1">
        <v>0</v>
      </c>
      <c r="AN4" s="1">
        <v>174.43438219999999</v>
      </c>
      <c r="AO4" s="1">
        <v>184.11425510000001</v>
      </c>
      <c r="AP4" s="1">
        <v>168.894676</v>
      </c>
      <c r="AQ4" s="1">
        <f>Table1567[[#This Row],[Depth10_Soil_vol]]*(9.353+9.027)+(Table1567[[#This Row],[Depth10_Soil_vol]]/2.5)*20*1.053+(PI()*Table1567[[#This Row],[Depth10_Scour]])*Table1567[[#This Row],[DECK_WIDTH_MT_052]]*1.062</f>
        <v>0</v>
      </c>
      <c r="AR4" s="1">
        <f>Table1567[[#This Row],[Depth50_Soil_vol]]*(9.353+9.027)+(Table1567[[#This Row],[Depth50_Soil_vol]]/2.5)*20*1.053+(PI()*Table1567[[#This Row],[Depth50_Scour]])*Table1567[[#This Row],[DECK_WIDTH_MT_052]]*1.062</f>
        <v>5183.5345730170238</v>
      </c>
      <c r="AS4" s="1">
        <f>Table1567[[#This Row],[Depth100_Soil_vol]]*(9.353+9.027)+(Table1567[[#This Row],[Depth100_Soil_vol]]/2.5)*20*1.053+(PI()*Table1567[[#This Row],[Depth100_Scour]])*Table1567[[#This Row],[DECK_WIDTH_MT_052]]*1.062</f>
        <v>5452.2219529566692</v>
      </c>
      <c r="AT4" s="1">
        <f>Table1567[[#This Row],[Depth500_Soil_vol]]*(9.353+9.027)+(Table1567[[#This Row],[Depth500_Soil_vol]]/2.5)*20*1.053+(PI()*Table1567[[#This Row],[Depth500_Scour]])*Table1567[[#This Row],[DECK_WIDTH_MT_052]]*1.062</f>
        <v>5029.6126760163042</v>
      </c>
      <c r="AU4" s="1">
        <v>2.78</v>
      </c>
      <c r="AV4" s="1">
        <v>21.98</v>
      </c>
      <c r="AW4" s="1" t="s">
        <v>208</v>
      </c>
      <c r="AX4" s="1">
        <v>8</v>
      </c>
      <c r="AY4" s="1">
        <v>5</v>
      </c>
      <c r="AZ4" s="1">
        <v>5</v>
      </c>
      <c r="BA4" s="1">
        <v>5</v>
      </c>
      <c r="BB4" s="1">
        <v>25</v>
      </c>
      <c r="BC4" s="1" t="s">
        <v>209</v>
      </c>
      <c r="BD4" s="1">
        <v>42211580</v>
      </c>
      <c r="BE4" s="1">
        <v>71052831</v>
      </c>
      <c r="BF4" s="1">
        <v>1</v>
      </c>
      <c r="BG4" s="1">
        <v>3</v>
      </c>
      <c r="BH4" s="1">
        <v>2</v>
      </c>
      <c r="BI4" s="1" t="s">
        <v>210</v>
      </c>
      <c r="BJ4" s="1">
        <v>0</v>
      </c>
      <c r="BK4" s="1">
        <v>6</v>
      </c>
      <c r="BL4" s="1">
        <v>25</v>
      </c>
      <c r="BM4" s="1">
        <v>7000</v>
      </c>
      <c r="BN4" s="1" t="s">
        <v>211</v>
      </c>
      <c r="BO4" s="1">
        <v>0</v>
      </c>
      <c r="BP4" s="1" t="s">
        <v>212</v>
      </c>
      <c r="BQ4" s="1" t="s">
        <v>213</v>
      </c>
      <c r="BR4" s="1">
        <v>99.99</v>
      </c>
      <c r="BS4" s="1">
        <v>4.4740000000000002</v>
      </c>
      <c r="BT4" s="1">
        <v>1</v>
      </c>
      <c r="BU4" s="1">
        <v>0</v>
      </c>
      <c r="BV4" s="1">
        <v>0</v>
      </c>
      <c r="BW4" s="1">
        <v>6</v>
      </c>
      <c r="BX4" s="1">
        <v>3</v>
      </c>
      <c r="BY4" s="1">
        <v>1</v>
      </c>
      <c r="BZ4" s="1">
        <v>1</v>
      </c>
      <c r="CA4" s="1">
        <v>14</v>
      </c>
      <c r="CB4" s="1">
        <v>1891</v>
      </c>
      <c r="CC4" s="1">
        <v>4</v>
      </c>
      <c r="CD4" s="1">
        <v>4</v>
      </c>
      <c r="CE4" s="1">
        <v>32273</v>
      </c>
      <c r="CF4" s="1">
        <v>2018</v>
      </c>
      <c r="CG4" s="1">
        <v>5</v>
      </c>
      <c r="CH4" s="1">
        <v>15.8</v>
      </c>
      <c r="CI4" s="1">
        <v>0</v>
      </c>
      <c r="CJ4" s="1">
        <v>0</v>
      </c>
      <c r="CK4" s="1">
        <v>0</v>
      </c>
      <c r="CL4" s="1">
        <v>0</v>
      </c>
      <c r="CM4" s="1" t="s">
        <v>190</v>
      </c>
      <c r="CN4" s="1" t="s">
        <v>190</v>
      </c>
      <c r="CO4" s="1" t="s">
        <v>190</v>
      </c>
      <c r="CP4" s="1">
        <v>1</v>
      </c>
      <c r="CQ4" s="1">
        <v>1</v>
      </c>
      <c r="CR4" s="1">
        <v>3.7</v>
      </c>
      <c r="CS4" s="1">
        <v>18.3</v>
      </c>
      <c r="CT4" s="1" t="s">
        <v>189</v>
      </c>
      <c r="CU4" s="1">
        <v>5</v>
      </c>
      <c r="CV4" s="1">
        <v>6</v>
      </c>
      <c r="CW4" s="1">
        <v>4</v>
      </c>
      <c r="CX4" s="1">
        <v>2</v>
      </c>
      <c r="CY4" s="1">
        <v>0</v>
      </c>
      <c r="CZ4" s="1">
        <v>0</v>
      </c>
      <c r="DA4" s="1">
        <v>25</v>
      </c>
      <c r="DB4" s="1">
        <v>0</v>
      </c>
      <c r="DC4" s="1">
        <v>15.8</v>
      </c>
      <c r="DD4" s="1">
        <v>32.1</v>
      </c>
      <c r="DE4" s="1">
        <v>661.8</v>
      </c>
      <c r="DF4" s="1">
        <v>2.7</v>
      </c>
      <c r="DG4" s="1">
        <v>2.7</v>
      </c>
      <c r="DH4" s="1">
        <v>15.8</v>
      </c>
      <c r="DI4" s="1">
        <v>22.6</v>
      </c>
      <c r="DJ4" s="1">
        <v>99.99</v>
      </c>
      <c r="DK4" s="1" t="s">
        <v>204</v>
      </c>
      <c r="DL4" s="1">
        <v>3.81</v>
      </c>
      <c r="DM4" s="1" t="s">
        <v>204</v>
      </c>
      <c r="DN4" s="1">
        <v>1.5</v>
      </c>
      <c r="DO4" s="1">
        <v>0.2</v>
      </c>
      <c r="DP4" s="1">
        <v>7</v>
      </c>
      <c r="DQ4" s="1">
        <v>6</v>
      </c>
      <c r="DR4" s="1">
        <v>7</v>
      </c>
      <c r="DS4" s="1">
        <v>7</v>
      </c>
      <c r="DT4" s="1" t="s">
        <v>190</v>
      </c>
      <c r="DU4" s="1">
        <v>1</v>
      </c>
      <c r="DV4" s="1">
        <v>78.400000000000006</v>
      </c>
      <c r="DW4" s="1">
        <v>1</v>
      </c>
      <c r="DX4" s="1">
        <v>47</v>
      </c>
      <c r="DY4" s="1">
        <v>6</v>
      </c>
      <c r="DZ4" s="1">
        <v>4</v>
      </c>
      <c r="EA4" s="1">
        <v>3</v>
      </c>
      <c r="EB4" s="1">
        <v>5</v>
      </c>
      <c r="EC4" s="1">
        <v>8</v>
      </c>
      <c r="ED4" s="1">
        <v>8</v>
      </c>
      <c r="EE4" s="1">
        <v>33</v>
      </c>
      <c r="EF4" s="1">
        <v>1</v>
      </c>
      <c r="EG4" s="1">
        <v>662</v>
      </c>
      <c r="EH4" s="1">
        <v>519</v>
      </c>
      <c r="EI4" s="1">
        <v>24</v>
      </c>
      <c r="EJ4" s="1" t="s">
        <v>214</v>
      </c>
      <c r="EK4" s="1" t="s">
        <v>192</v>
      </c>
      <c r="EL4" s="1" t="s">
        <v>191</v>
      </c>
      <c r="EM4" s="1">
        <v>519</v>
      </c>
      <c r="EN4" s="1">
        <v>817</v>
      </c>
      <c r="EO4" s="1">
        <v>0</v>
      </c>
      <c r="EP4" s="1">
        <v>44315</v>
      </c>
      <c r="EQ4" s="1">
        <v>4432</v>
      </c>
      <c r="ER4" s="1">
        <v>66473</v>
      </c>
      <c r="ES4" s="1">
        <v>2020</v>
      </c>
      <c r="ET4" s="1">
        <v>0</v>
      </c>
      <c r="EU4" s="1">
        <v>0</v>
      </c>
      <c r="EV4" s="1" t="s">
        <v>193</v>
      </c>
      <c r="EW4" s="1">
        <v>0</v>
      </c>
      <c r="EX4" s="1" t="s">
        <v>190</v>
      </c>
      <c r="EY4" s="1">
        <v>2</v>
      </c>
      <c r="EZ4" s="1">
        <v>0</v>
      </c>
      <c r="FA4" s="1">
        <v>1</v>
      </c>
      <c r="FB4" s="1">
        <v>0</v>
      </c>
      <c r="FC4" s="1">
        <v>1990</v>
      </c>
      <c r="FD4" s="1">
        <v>1</v>
      </c>
      <c r="FE4" s="1">
        <v>6</v>
      </c>
      <c r="FF4" s="1">
        <v>1</v>
      </c>
      <c r="FG4" s="1">
        <v>1</v>
      </c>
      <c r="FH4" s="1">
        <v>8</v>
      </c>
      <c r="FI4" s="1">
        <v>0</v>
      </c>
      <c r="FJ4" s="1">
        <v>1</v>
      </c>
      <c r="FK4" s="1" t="s">
        <v>194</v>
      </c>
      <c r="FL4" s="1">
        <v>8</v>
      </c>
      <c r="FM4" s="1">
        <v>77386</v>
      </c>
      <c r="FN4" s="1">
        <v>2032</v>
      </c>
      <c r="FO4" s="1">
        <v>0</v>
      </c>
      <c r="FP4" s="1" t="s">
        <v>190</v>
      </c>
      <c r="FQ4" s="1">
        <v>25</v>
      </c>
      <c r="FR4" s="1" t="s">
        <v>206</v>
      </c>
      <c r="FS4" s="1">
        <v>6</v>
      </c>
      <c r="FT4" s="1">
        <v>14956.68</v>
      </c>
      <c r="FU4" s="1">
        <v>183</v>
      </c>
      <c r="FV4" s="1">
        <v>60</v>
      </c>
      <c r="FW4" s="1">
        <v>80</v>
      </c>
      <c r="FX4" s="1">
        <v>2</v>
      </c>
      <c r="FY4" s="1">
        <v>5</v>
      </c>
      <c r="FZ4" s="1">
        <v>2093935.2</v>
      </c>
      <c r="GA4" s="1">
        <v>18355720.57</v>
      </c>
      <c r="GB4" s="1">
        <v>13423265.6</v>
      </c>
      <c r="GC4" s="1">
        <v>2500000</v>
      </c>
      <c r="GD4" s="1"/>
      <c r="GE4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9.6000000000000002E-2</v>
      </c>
      <c r="GF4" s="1">
        <v>36.37292137</v>
      </c>
      <c r="GG4" s="1">
        <v>0</v>
      </c>
      <c r="GH4" s="1">
        <v>0</v>
      </c>
      <c r="GI4" s="1">
        <v>0</v>
      </c>
      <c r="GJ4" s="1">
        <v>0</v>
      </c>
      <c r="GK4" s="1">
        <v>8</v>
      </c>
      <c r="GL4" s="1">
        <v>16165.742831111111</v>
      </c>
      <c r="GM4" s="1">
        <v>9093.2303424999991</v>
      </c>
      <c r="GN4" s="1">
        <v>5819.6674192000009</v>
      </c>
      <c r="GO4" s="1">
        <v>4041.4357077777777</v>
      </c>
      <c r="GP4" s="1">
        <v>2969.2180710204084</v>
      </c>
      <c r="GQ4" s="1">
        <v>2273.3075856249998</v>
      </c>
      <c r="GR4" s="1">
        <v>1796.1936479012345</v>
      </c>
      <c r="GS4" s="1">
        <v>0</v>
      </c>
      <c r="GT4" s="1">
        <v>0</v>
      </c>
      <c r="GU4" s="1">
        <v>0</v>
      </c>
      <c r="GV4" s="1">
        <v>0.01</v>
      </c>
      <c r="GW4" s="1">
        <v>5.0000000000000001E-3</v>
      </c>
      <c r="GX4" s="1">
        <v>1.1000000000000001E-3</v>
      </c>
      <c r="GY4" s="1">
        <v>4.0000000000000002E-4</v>
      </c>
      <c r="GZ4" s="1">
        <v>6.9999999999999994E-5</v>
      </c>
      <c r="HA4" s="1">
        <v>1.8E-5</v>
      </c>
      <c r="HB4" s="1">
        <v>1.8E-5</v>
      </c>
      <c r="HC4" s="1">
        <v>3.9999999999999998E-7</v>
      </c>
      <c r="HD4" s="1">
        <v>2.4999999999999999E-7</v>
      </c>
      <c r="HE4" s="1">
        <v>1</v>
      </c>
      <c r="HF4" s="1">
        <v>0.01</v>
      </c>
      <c r="HG4" s="1">
        <v>1.25E-3</v>
      </c>
      <c r="HH4" s="1">
        <v>2.7500000000000002E-4</v>
      </c>
      <c r="HI4" s="1">
        <v>1E-4</v>
      </c>
      <c r="HJ4" s="1">
        <v>1.7499999999999998E-5</v>
      </c>
      <c r="HK4" s="1">
        <v>4.5000000000000001E-6</v>
      </c>
      <c r="HL4" s="1">
        <v>4.5000000000000001E-6</v>
      </c>
      <c r="HM4" s="1">
        <v>9.9999999999999995E-8</v>
      </c>
      <c r="HN4" s="1">
        <v>0.01</v>
      </c>
      <c r="HO4" s="1">
        <v>8.3333333333333339E-4</v>
      </c>
      <c r="HP4" s="1">
        <v>1.8333333333333334E-4</v>
      </c>
      <c r="HQ4" s="1">
        <v>6.666666666666667E-5</v>
      </c>
      <c r="HR4" s="1">
        <v>1.1666666666666666E-5</v>
      </c>
      <c r="HS4" s="1">
        <v>3.0000000000000001E-6</v>
      </c>
      <c r="HT4" s="1">
        <v>3.0000000000000001E-6</v>
      </c>
      <c r="HU4" s="1">
        <v>6.6666666666666668E-8</v>
      </c>
      <c r="HV4" s="1">
        <v>4.1666666666666663E-8</v>
      </c>
      <c r="HW4" s="1">
        <v>0.01</v>
      </c>
      <c r="HX4" s="1">
        <v>5.0000000000000001E-4</v>
      </c>
      <c r="HY4" s="1">
        <v>1.1E-4</v>
      </c>
      <c r="HZ4" s="1">
        <v>4.0000000000000003E-5</v>
      </c>
      <c r="IA4" s="1">
        <v>6.999999999999999E-6</v>
      </c>
      <c r="IB4" s="1">
        <v>1.8000000000000001E-6</v>
      </c>
      <c r="IC4" s="1">
        <v>1.8000000000000001E-6</v>
      </c>
      <c r="ID4" s="1">
        <v>4.0000000000000001E-8</v>
      </c>
      <c r="IE4" s="1">
        <v>2.4999999999999999E-8</v>
      </c>
      <c r="IF4" s="1">
        <f>Table1567[[#This Row],[Total_Cost_MUSD]]*Table1567[[#This Row],[prob500-failure_rating1]]/500</f>
        <v>7.2745842739999999E-4</v>
      </c>
      <c r="IG4" s="1">
        <f>Table1567[[#This Row],[Total_Cost_MUSD]]*Table1567[[#This Row],[prob500-failure_rating2]]/500</f>
        <v>3.637292137E-4</v>
      </c>
      <c r="IH4" s="1">
        <f>Table1567[[#This Row],[Total_Cost_MUSD]]*Table1567[[#This Row],[prob500-failure_rating3]]/500</f>
        <v>8.0020427014000002E-5</v>
      </c>
      <c r="II4" s="1">
        <f>Table1567[[#This Row],[Total_Cost_MUSD]]*Table1567[[#This Row],[prob500-failure_rating4]]/500</f>
        <v>2.9098337096E-5</v>
      </c>
      <c r="IJ4" s="1">
        <f>Table1567[[#This Row],[Total_Cost_MUSD]]*Table1567[[#This Row],[prob500-failure_rating5]]/500</f>
        <v>5.0922089918E-6</v>
      </c>
      <c r="IK4" s="1">
        <f>Table1567[[#This Row],[Total_Cost_MUSD]]*Table1567[[#This Row],[prob500-failure_rating6]]/500</f>
        <v>1.30942516932E-6</v>
      </c>
      <c r="IL4" s="1">
        <f>Table1567[[#This Row],[Total_Cost_MUSD]]*Table1567[[#This Row],[prob500-failure_rating7]]/500</f>
        <v>1.30942516932E-6</v>
      </c>
      <c r="IM4" s="1">
        <f>Table1567[[#This Row],[Total_Cost_MUSD]]*Table1567[[#This Row],[prob500-failure_rating8]]/500</f>
        <v>2.9098337096E-8</v>
      </c>
      <c r="IN4" s="1">
        <f>Table1567[[#This Row],[Total_Cost_MUSD]]*Table1567[[#This Row],[prob500-failure_rating9]]/500</f>
        <v>1.8186460685000001E-8</v>
      </c>
      <c r="IO4" s="1">
        <f>Table1567[[#This Row],[Total_Cost_MUSD]]*Table1567[[#This Row],[prob100-failure_rating1]]/100</f>
        <v>0.3637292137</v>
      </c>
      <c r="IP4" s="1">
        <f>Table1567[[#This Row],[Total_Cost_MUSD]]*Table1567[[#This Row],[prob100-failure_rating2]]/100</f>
        <v>3.6372921370000002E-3</v>
      </c>
      <c r="IQ4" s="1">
        <f>Table1567[[#This Row],[Total_Cost_MUSD]]*Table1567[[#This Row],[prob100-failure_rating3]]/100</f>
        <v>4.5466151712500002E-4</v>
      </c>
      <c r="IR4" s="1">
        <f>Table1567[[#This Row],[Total_Cost_MUSD]]*Table1567[[#This Row],[prob100-failure_rating4]]/100</f>
        <v>1.000255337675E-4</v>
      </c>
      <c r="IS4" s="1">
        <f>Table1567[[#This Row],[Total_Cost_MUSD]]*Table1567[[#This Row],[prob100-failure_rating5]]/100</f>
        <v>3.637292137E-5</v>
      </c>
      <c r="IT4" s="1">
        <f>Table1567[[#This Row],[Total_Cost_MUSD]]*Table1567[[#This Row],[prob100-failure_rating6]]/100</f>
        <v>6.3652612397499998E-6</v>
      </c>
      <c r="IU4" s="1">
        <f>Table1567[[#This Row],[Total_Cost_MUSD]]*Table1567[[#This Row],[prob100-failure_rating7]]/100</f>
        <v>1.6367814616500001E-6</v>
      </c>
      <c r="IV4" s="1">
        <f>Table1567[[#This Row],[Total_Cost_MUSD]]*Table1567[[#This Row],[prob100-failure_rating8]]/100</f>
        <v>1.6367814616500001E-6</v>
      </c>
      <c r="IW4" s="1">
        <f>Table1567[[#This Row],[Total_Cost_MUSD]]*Table1567[[#This Row],[prob100-failure_rating9]]/100</f>
        <v>3.6372921370000001E-8</v>
      </c>
      <c r="IX4" s="1">
        <f>Table1567[[#This Row],[Total_Cost_MUSD]]*Table1567[[#This Row],[prob50-failure_rating1]]/50</f>
        <v>7.2745842740000004E-3</v>
      </c>
      <c r="IY4" s="1">
        <f>Table1567[[#This Row],[Total_Cost_MUSD]]*Table1567[[#This Row],[prob50-failure_rating2]]/50</f>
        <v>6.062153561666667E-4</v>
      </c>
      <c r="IZ4" s="1">
        <f>Table1567[[#This Row],[Total_Cost_MUSD]]*Table1567[[#This Row],[prob50-failure_rating3]]/50</f>
        <v>1.3336737835666667E-4</v>
      </c>
      <c r="JA4" s="1">
        <f>Table1567[[#This Row],[Total_Cost_MUSD]]*Table1567[[#This Row],[prob50-failure_rating4]]/50</f>
        <v>4.8497228493333337E-5</v>
      </c>
      <c r="JB4" s="1">
        <f>Table1567[[#This Row],[Total_Cost_MUSD]]*Table1567[[#This Row],[prob50-failure_rating5]]/50</f>
        <v>8.487014986333333E-6</v>
      </c>
      <c r="JC4" s="1">
        <f>Table1567[[#This Row],[Total_Cost_MUSD]]*Table1567[[#This Row],[prob50-failure_rating6]]/50</f>
        <v>2.1823752822000001E-6</v>
      </c>
      <c r="JD4" s="1">
        <f>Table1567[[#This Row],[Total_Cost_MUSD]]*Table1567[[#This Row],[prob50-failure_rating7]]/50</f>
        <v>2.1823752822000001E-6</v>
      </c>
      <c r="JE4" s="1">
        <f>Table1567[[#This Row],[Total_Cost_MUSD]]*Table1567[[#This Row],[prob50-failure_rating8]]/50</f>
        <v>4.8497228493333337E-8</v>
      </c>
      <c r="JF4" s="1">
        <f>Table1567[[#This Row],[Total_Cost_MUSD]]*Table1567[[#This Row],[prob50-failure_rating9]]/50</f>
        <v>3.031076780833333E-8</v>
      </c>
      <c r="JG4" s="1">
        <f>Table1567[[#This Row],[Total_Cost_MUSD]]*Table1567[[#This Row],[prob10-failure_rating1]]/10</f>
        <v>3.6372921369999998E-2</v>
      </c>
      <c r="JH4" s="1">
        <f>Table1567[[#This Row],[Total_Cost_MUSD]]*Table1567[[#This Row],[prob10-failure_rating2]]/10</f>
        <v>1.8186460684999999E-3</v>
      </c>
      <c r="JI4" s="1">
        <f>Table1567[[#This Row],[Total_Cost_MUSD]]*Table1567[[#This Row],[prob10-failure_rating3]]/10</f>
        <v>4.0010213507E-4</v>
      </c>
      <c r="JJ4" s="1">
        <f>Table1567[[#This Row],[Total_Cost_MUSD]]*Table1567[[#This Row],[prob10-failure_rating4]]/10</f>
        <v>1.4549168548000003E-4</v>
      </c>
      <c r="JK4" s="1">
        <f>Table1567[[#This Row],[Total_Cost_MUSD]]*Table1567[[#This Row],[prob10-failure_rating5]]/10</f>
        <v>2.5461044958999996E-5</v>
      </c>
      <c r="JL4" s="1">
        <f>Table1567[[#This Row],[Total_Cost_MUSD]]*Table1567[[#This Row],[prob10-failure_rating6]]/10</f>
        <v>6.5471258466000012E-6</v>
      </c>
      <c r="JM4" s="1">
        <f>Table1567[[#This Row],[Total_Cost_MUSD]]*Table1567[[#This Row],[prob10-failure_rating7]]/10</f>
        <v>6.5471258466000012E-6</v>
      </c>
      <c r="JN4" s="1">
        <f>Table1567[[#This Row],[Total_Cost_MUSD]]*Table1567[[#This Row],[prob10-failure_rating8]]/10</f>
        <v>1.4549168548E-7</v>
      </c>
      <c r="JO4" s="1">
        <f>Table1567[[#This Row],[Total_Cost_MUSD]]*Table1567[[#This Row],[prob10-failure_rating9]]/10</f>
        <v>9.0932303424999996E-8</v>
      </c>
      <c r="JP4" s="1">
        <f>Table1567[[#This Row],[FailureCost_Rating1]]</f>
        <v>6425.8827753666665</v>
      </c>
      <c r="JQ4" s="1">
        <f>Table1567[[#This Row],[FailureCost_Rating2]]</f>
        <v>6425.8827753666665</v>
      </c>
      <c r="JR4" s="1">
        <f>(Table1567[[#This Row],[failurecost500_rating2]]+Table1567[[#This Row],[failurecost100_rating2]]+Table1567[[#This Row],[failurecost50_rating2]]+Table1567[[#This Row],[failurecost10_rating2]])*1000000</f>
        <v>6425.8827753666665</v>
      </c>
      <c r="JS4" s="1">
        <f>(Table1567[[#This Row],[failurecost500_rating3]]+Table1567[[#This Row],[failurecost100_rating3]]+Table1567[[#This Row],[failurecost50_rating3]]+Table1567[[#This Row],[failurecost10_rating3]])*1000000</f>
        <v>1068.1514575656665</v>
      </c>
      <c r="JT4" s="1">
        <f>(Table1567[[#This Row],[failurecost500_rating4]]+Table1567[[#This Row],[failurecost100_rating4]]+Table1567[[#This Row],[failurecost50_rating4]]+Table1567[[#This Row],[failurecost10_rating4]])*1000000</f>
        <v>323.11278483683338</v>
      </c>
      <c r="JU4" s="1">
        <f>(Table1567[[#This Row],[failurecost500_rating5]]+Table1567[[#This Row],[failurecost100_rating5]]+Table1567[[#This Row],[failurecost50_rating5]]+Table1567[[#This Row],[failurecost10_rating5]])*1000000</f>
        <v>75.413190307133334</v>
      </c>
      <c r="JV4" s="1">
        <f>(Table1567[[#This Row],[failurecost500_rating6]]+Table1567[[#This Row],[failurecost100_rating6]]+Table1567[[#This Row],[failurecost50_rating6]]+Table1567[[#This Row],[failurecost10_rating6]])*1000000</f>
        <v>16.404187537870001</v>
      </c>
      <c r="JW4" s="1">
        <f>(Table1567[[#This Row],[failurecost500_rating7]]+Table1567[[#This Row],[failurecost100_rating7]]+Table1567[[#This Row],[failurecost50_rating7]]+Table1567[[#This Row],[failurecost10_rating7]])*1000000</f>
        <v>11.675707759770001</v>
      </c>
      <c r="JX4" s="1">
        <f>(Table1567[[#This Row],[failurecost500_rating8]]+Table1567[[#This Row],[failurecost100_rating8]]+Table1567[[#This Row],[failurecost50_rating8]]+Table1567[[#This Row],[failurecost10_rating8]])*1000000</f>
        <v>1.8598687127193334</v>
      </c>
      <c r="JY4" s="1">
        <f>(Table1567[[#This Row],[failurecost500_rating9]]+Table1567[[#This Row],[failurecost100_rating9]]+Table1567[[#This Row],[failurecost50_rating9]]+Table1567[[#This Row],[failurecost10_rating9]])*1000000</f>
        <v>0.17580245328833333</v>
      </c>
    </row>
    <row r="5" spans="1:285" ht="28.8" x14ac:dyDescent="0.3">
      <c r="A5" s="1">
        <v>4</v>
      </c>
      <c r="B5" s="1" t="s">
        <v>215</v>
      </c>
      <c r="C5" s="1" t="s">
        <v>197</v>
      </c>
      <c r="D5" s="1">
        <v>42.368609999999997</v>
      </c>
      <c r="E5" s="1">
        <v>-71.071899999999999</v>
      </c>
      <c r="F5" s="1">
        <v>1.6835941080000001</v>
      </c>
      <c r="G5" s="1">
        <v>0</v>
      </c>
      <c r="H5" s="1">
        <v>2.783594608</v>
      </c>
      <c r="I5" s="1">
        <v>4.983594418</v>
      </c>
      <c r="J5" s="1">
        <v>129.0365181</v>
      </c>
      <c r="K5" s="1">
        <v>88.875780910000003</v>
      </c>
      <c r="L5" s="1">
        <v>129.0365181</v>
      </c>
      <c r="M5" s="1">
        <v>88.875780910000003</v>
      </c>
      <c r="N5" s="1">
        <v>253.76823619999999</v>
      </c>
      <c r="O5" s="1">
        <v>96.874482689999994</v>
      </c>
      <c r="P5" s="1">
        <v>253.76823619999999</v>
      </c>
      <c r="Q5" s="1">
        <v>96.874482689999994</v>
      </c>
      <c r="R5" s="1">
        <v>253.76823619999999</v>
      </c>
      <c r="S5" s="1">
        <v>96.874482689999994</v>
      </c>
      <c r="T5" s="1">
        <v>1.4518749289999999</v>
      </c>
      <c r="U5" s="1">
        <v>1.4518749289999999</v>
      </c>
      <c r="V5" s="1">
        <v>2.619557071</v>
      </c>
      <c r="W5" s="1">
        <v>2.619557071</v>
      </c>
      <c r="X5" s="1">
        <v>2.619557071</v>
      </c>
      <c r="Y5" s="1">
        <v>0.08</v>
      </c>
      <c r="Z5" s="1">
        <v>27.8</v>
      </c>
      <c r="AA5" s="1">
        <v>7.2531689400000001</v>
      </c>
      <c r="AB5" s="1">
        <v>10.749631219999999</v>
      </c>
      <c r="AC5" s="1">
        <v>10.749631219999999</v>
      </c>
      <c r="AD5" s="1">
        <v>10.749631219999999</v>
      </c>
      <c r="AE5" s="1">
        <v>0</v>
      </c>
      <c r="AF5" s="1">
        <v>2.64508945</v>
      </c>
      <c r="AG5" s="1">
        <v>2.0571031469999999</v>
      </c>
      <c r="AH5" s="1">
        <v>1.5374029730000001</v>
      </c>
      <c r="AI5" s="1">
        <v>0</v>
      </c>
      <c r="AJ5" s="1">
        <v>16.947391759999999</v>
      </c>
      <c r="AK5" s="1">
        <v>18.137717290000001</v>
      </c>
      <c r="AL5" s="1">
        <v>19.62135898</v>
      </c>
      <c r="AM5" s="1">
        <v>0</v>
      </c>
      <c r="AN5" s="1">
        <v>270.30494290000001</v>
      </c>
      <c r="AO5" s="1">
        <v>331.35480000000001</v>
      </c>
      <c r="AP5" s="1">
        <v>419.50064350000002</v>
      </c>
      <c r="AQ5" s="1">
        <f>Table1567[[#This Row],[Depth10_Soil_vol]]*(9.353+9.027)+(Table1567[[#This Row],[Depth10_Soil_vol]]/2.5)*20*1.053+(PI()*Table1567[[#This Row],[Depth10_Scour]])*Table1567[[#This Row],[DECK_WIDTH_MT_052]]*1.062</f>
        <v>0</v>
      </c>
      <c r="AR5" s="1">
        <f>Table1567[[#This Row],[Depth50_Soil_vol]]*(9.353+9.027)+(Table1567[[#This Row],[Depth50_Soil_vol]]/2.5)*20*1.053+(PI()*Table1567[[#This Row],[Depth50_Scour]])*Table1567[[#This Row],[DECK_WIDTH_MT_052]]*1.062</f>
        <v>8698.4034732067958</v>
      </c>
      <c r="AS5" s="1">
        <f>Table1567[[#This Row],[Depth100_Soil_vol]]*(9.353+9.027)+(Table1567[[#This Row],[Depth100_Soil_vol]]/2.5)*20*1.053+(PI()*Table1567[[#This Row],[Depth100_Scour]])*Table1567[[#This Row],[DECK_WIDTH_MT_052]]*1.062</f>
        <v>10436.848001870483</v>
      </c>
      <c r="AT5" s="1">
        <f>Table1567[[#This Row],[Depth500_Soil_vol]]*(9.353+9.027)+(Table1567[[#This Row],[Depth500_Soil_vol]]/2.5)*20*1.053+(PI()*Table1567[[#This Row],[Depth500_Scour]])*Table1567[[#This Row],[DECK_WIDTH_MT_052]]*1.062</f>
        <v>12926.723669323255</v>
      </c>
      <c r="AU5" s="1">
        <v>9.18</v>
      </c>
      <c r="AV5" s="1">
        <v>17.7</v>
      </c>
      <c r="AW5" s="1" t="s">
        <v>216</v>
      </c>
      <c r="AX5" s="1">
        <v>8</v>
      </c>
      <c r="AY5" s="1">
        <v>5</v>
      </c>
      <c r="AZ5" s="1">
        <v>5</v>
      </c>
      <c r="BA5" s="1">
        <v>5</v>
      </c>
      <c r="BB5" s="1">
        <v>25</v>
      </c>
      <c r="BC5" s="1" t="s">
        <v>217</v>
      </c>
      <c r="BD5" s="1">
        <v>42220175</v>
      </c>
      <c r="BE5" s="1">
        <v>71040878</v>
      </c>
      <c r="BF5" s="1">
        <v>1</v>
      </c>
      <c r="BG5" s="1">
        <v>3</v>
      </c>
      <c r="BH5" s="1">
        <v>1</v>
      </c>
      <c r="BI5" s="1">
        <v>28</v>
      </c>
      <c r="BJ5" s="1">
        <v>0</v>
      </c>
      <c r="BK5" s="1">
        <v>6</v>
      </c>
      <c r="BL5" s="1">
        <v>25</v>
      </c>
      <c r="BM5" s="1">
        <v>7000</v>
      </c>
      <c r="BN5" s="1" t="s">
        <v>218</v>
      </c>
      <c r="BO5" s="1">
        <v>0</v>
      </c>
      <c r="BP5" s="1" t="s">
        <v>219</v>
      </c>
      <c r="BQ5" s="1" t="s">
        <v>220</v>
      </c>
      <c r="BR5" s="1">
        <v>99.99</v>
      </c>
      <c r="BS5" s="1">
        <v>1.6E-2</v>
      </c>
      <c r="BT5" s="1">
        <v>1</v>
      </c>
      <c r="BU5" s="1">
        <v>0</v>
      </c>
      <c r="BV5" s="1">
        <v>0</v>
      </c>
      <c r="BW5" s="1">
        <v>2</v>
      </c>
      <c r="BX5" s="1">
        <v>3</v>
      </c>
      <c r="BY5" s="1">
        <v>1</v>
      </c>
      <c r="BZ5" s="1">
        <v>1</v>
      </c>
      <c r="CA5" s="1">
        <v>14</v>
      </c>
      <c r="CB5" s="1">
        <v>1910</v>
      </c>
      <c r="CC5" s="1">
        <v>5</v>
      </c>
      <c r="CD5" s="1">
        <v>0</v>
      </c>
      <c r="CE5" s="1">
        <v>43250</v>
      </c>
      <c r="CF5" s="1">
        <v>2017</v>
      </c>
      <c r="CG5" s="1">
        <v>9</v>
      </c>
      <c r="CH5" s="1">
        <v>18.399999999999999</v>
      </c>
      <c r="CI5" s="1">
        <v>3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0</v>
      </c>
      <c r="CP5" s="1">
        <v>3</v>
      </c>
      <c r="CQ5" s="1">
        <v>1</v>
      </c>
      <c r="CR5" s="1">
        <v>4.5999999999999996</v>
      </c>
      <c r="CS5" s="1">
        <v>13.7</v>
      </c>
      <c r="CT5" s="1" t="s">
        <v>189</v>
      </c>
      <c r="CU5" s="1">
        <v>5</v>
      </c>
      <c r="CV5" s="1">
        <v>5</v>
      </c>
      <c r="CW5" s="1">
        <v>3</v>
      </c>
      <c r="CX5" s="1">
        <v>16</v>
      </c>
      <c r="CY5" s="1">
        <v>3</v>
      </c>
      <c r="CZ5" s="1">
        <v>2</v>
      </c>
      <c r="DA5" s="1">
        <v>1</v>
      </c>
      <c r="DB5" s="1">
        <v>2</v>
      </c>
      <c r="DC5" s="1">
        <v>10</v>
      </c>
      <c r="DD5" s="1">
        <v>19.2</v>
      </c>
      <c r="DE5" s="1">
        <v>27.7</v>
      </c>
      <c r="DF5" s="1">
        <v>3.1</v>
      </c>
      <c r="DG5" s="1">
        <v>2.9</v>
      </c>
      <c r="DH5" s="1">
        <v>18.399999999999999</v>
      </c>
      <c r="DI5" s="1">
        <v>25.7</v>
      </c>
      <c r="DJ5" s="1">
        <v>99.99</v>
      </c>
      <c r="DK5" s="1" t="s">
        <v>190</v>
      </c>
      <c r="DL5" s="1">
        <v>0</v>
      </c>
      <c r="DM5" s="1" t="s">
        <v>190</v>
      </c>
      <c r="DN5" s="1">
        <v>0</v>
      </c>
      <c r="DO5" s="1">
        <v>0</v>
      </c>
      <c r="DP5" s="1">
        <v>8</v>
      </c>
      <c r="DQ5" s="1">
        <v>7</v>
      </c>
      <c r="DR5" s="1">
        <v>6</v>
      </c>
      <c r="DS5" s="1">
        <v>7</v>
      </c>
      <c r="DT5" s="1" t="s">
        <v>190</v>
      </c>
      <c r="DU5" s="1">
        <v>1</v>
      </c>
      <c r="DV5" s="1">
        <v>68.8</v>
      </c>
      <c r="DW5" s="1">
        <v>1</v>
      </c>
      <c r="DX5" s="1">
        <v>49.7</v>
      </c>
      <c r="DY5" s="1">
        <v>6</v>
      </c>
      <c r="DZ5" s="1">
        <v>2</v>
      </c>
      <c r="EA5" s="1" t="s">
        <v>190</v>
      </c>
      <c r="EB5" s="1">
        <v>5</v>
      </c>
      <c r="EC5" s="1">
        <v>6</v>
      </c>
      <c r="ED5" s="1">
        <v>7</v>
      </c>
      <c r="EE5" s="1">
        <v>33</v>
      </c>
      <c r="EF5" s="1">
        <v>1</v>
      </c>
      <c r="EG5" s="1">
        <v>28</v>
      </c>
      <c r="EH5" s="1">
        <v>1219</v>
      </c>
      <c r="EI5" s="1">
        <v>24</v>
      </c>
      <c r="EJ5" s="1" t="s">
        <v>214</v>
      </c>
      <c r="EK5" s="1" t="s">
        <v>221</v>
      </c>
      <c r="EL5" s="1" t="s">
        <v>191</v>
      </c>
      <c r="EM5" s="1">
        <v>1219</v>
      </c>
      <c r="EN5" s="1">
        <v>117</v>
      </c>
      <c r="EO5" s="1">
        <v>0</v>
      </c>
      <c r="EP5" s="1">
        <v>2202</v>
      </c>
      <c r="EQ5" s="1">
        <v>221</v>
      </c>
      <c r="ER5" s="1">
        <v>3304</v>
      </c>
      <c r="ES5" s="1">
        <v>2020</v>
      </c>
      <c r="ET5" s="1">
        <v>0</v>
      </c>
      <c r="EU5" s="1">
        <v>0</v>
      </c>
      <c r="EV5" s="1" t="s">
        <v>193</v>
      </c>
      <c r="EW5" s="1">
        <v>0</v>
      </c>
      <c r="EX5" s="1" t="s">
        <v>190</v>
      </c>
      <c r="EY5" s="1">
        <v>2</v>
      </c>
      <c r="EZ5" s="1">
        <v>0</v>
      </c>
      <c r="FA5" s="1">
        <v>1</v>
      </c>
      <c r="FB5" s="1">
        <v>0</v>
      </c>
      <c r="FC5" s="1">
        <v>2011</v>
      </c>
      <c r="FD5" s="1">
        <v>4</v>
      </c>
      <c r="FE5" s="1">
        <v>9</v>
      </c>
      <c r="FF5" s="1">
        <v>0</v>
      </c>
      <c r="FG5" s="1">
        <v>0</v>
      </c>
      <c r="FH5" s="1">
        <v>4</v>
      </c>
      <c r="FI5" s="1">
        <v>0</v>
      </c>
      <c r="FJ5" s="1">
        <v>5</v>
      </c>
      <c r="FK5" s="1" t="s">
        <v>194</v>
      </c>
      <c r="FL5" s="1">
        <v>8</v>
      </c>
      <c r="FM5" s="1">
        <v>69489</v>
      </c>
      <c r="FN5" s="1">
        <v>2032</v>
      </c>
      <c r="FO5" s="1">
        <v>0</v>
      </c>
      <c r="FP5" s="1" t="s">
        <v>190</v>
      </c>
      <c r="FQ5" s="1">
        <v>25</v>
      </c>
      <c r="FR5" s="1" t="s">
        <v>206</v>
      </c>
      <c r="FS5" s="1">
        <v>6</v>
      </c>
      <c r="FT5" s="1">
        <v>711.89</v>
      </c>
      <c r="FU5" s="1">
        <v>183</v>
      </c>
      <c r="FV5" s="1">
        <v>60</v>
      </c>
      <c r="FW5" s="1">
        <v>80</v>
      </c>
      <c r="FX5" s="1">
        <v>2</v>
      </c>
      <c r="FY5" s="1">
        <v>5</v>
      </c>
      <c r="FZ5" s="1">
        <v>85426.8</v>
      </c>
      <c r="GA5" s="1">
        <v>7661478</v>
      </c>
      <c r="GB5" s="1">
        <v>5878310.1519999998</v>
      </c>
      <c r="GC5" s="1">
        <v>2500000</v>
      </c>
      <c r="GD5" s="1"/>
      <c r="GE5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9.6000000000000002E-2</v>
      </c>
      <c r="GF5" s="1">
        <v>16.12521495</v>
      </c>
      <c r="GG5" s="1">
        <v>0</v>
      </c>
      <c r="GH5" s="1">
        <v>0</v>
      </c>
      <c r="GI5" s="1">
        <v>0</v>
      </c>
      <c r="GJ5" s="1">
        <v>0</v>
      </c>
      <c r="GK5" s="1">
        <v>8</v>
      </c>
      <c r="GL5" s="1">
        <v>7166.7621999999992</v>
      </c>
      <c r="GM5" s="1">
        <v>4031.3037375000004</v>
      </c>
      <c r="GN5" s="1">
        <v>2580.0343920000005</v>
      </c>
      <c r="GO5" s="1">
        <v>1791.6905499999998</v>
      </c>
      <c r="GP5" s="1">
        <v>1316.3440775510203</v>
      </c>
      <c r="GQ5" s="1">
        <v>1007.8259343750001</v>
      </c>
      <c r="GR5" s="1">
        <v>796.30691111111105</v>
      </c>
      <c r="GS5" s="1">
        <v>0</v>
      </c>
      <c r="GT5" s="1">
        <v>0</v>
      </c>
      <c r="GU5" s="1">
        <v>0</v>
      </c>
      <c r="GV5" s="1">
        <v>0.01</v>
      </c>
      <c r="GW5" s="1">
        <v>5.0000000000000001E-3</v>
      </c>
      <c r="GX5" s="1">
        <v>1.1000000000000001E-3</v>
      </c>
      <c r="GY5" s="1">
        <v>4.0000000000000002E-4</v>
      </c>
      <c r="GZ5" s="1">
        <v>6.9999999999999994E-5</v>
      </c>
      <c r="HA5" s="1">
        <v>1.8E-5</v>
      </c>
      <c r="HB5" s="1">
        <v>1.8E-5</v>
      </c>
      <c r="HC5" s="1">
        <v>3.9999999999999998E-7</v>
      </c>
      <c r="HD5" s="1">
        <v>2.4999999999999999E-7</v>
      </c>
      <c r="HE5" s="1">
        <v>1</v>
      </c>
      <c r="HF5" s="1">
        <v>0.01</v>
      </c>
      <c r="HG5" s="1">
        <v>1.25E-3</v>
      </c>
      <c r="HH5" s="1">
        <v>2.7500000000000002E-4</v>
      </c>
      <c r="HI5" s="1">
        <v>1E-4</v>
      </c>
      <c r="HJ5" s="1">
        <v>1.7499999999999998E-5</v>
      </c>
      <c r="HK5" s="1">
        <v>4.5000000000000001E-6</v>
      </c>
      <c r="HL5" s="1">
        <v>4.5000000000000001E-6</v>
      </c>
      <c r="HM5" s="1">
        <v>9.9999999999999995E-8</v>
      </c>
      <c r="HN5" s="1">
        <v>0.01</v>
      </c>
      <c r="HO5" s="1">
        <v>8.3333333333333339E-4</v>
      </c>
      <c r="HP5" s="1">
        <v>1.8333333333333334E-4</v>
      </c>
      <c r="HQ5" s="1">
        <v>6.666666666666667E-5</v>
      </c>
      <c r="HR5" s="1">
        <v>1.1666666666666666E-5</v>
      </c>
      <c r="HS5" s="1">
        <v>3.0000000000000001E-6</v>
      </c>
      <c r="HT5" s="1">
        <v>3.0000000000000001E-6</v>
      </c>
      <c r="HU5" s="1">
        <v>6.6666666666666668E-8</v>
      </c>
      <c r="HV5" s="1">
        <v>4.1666666666666663E-8</v>
      </c>
      <c r="HW5" s="1">
        <v>0.01</v>
      </c>
      <c r="HX5" s="1">
        <v>5.0000000000000001E-4</v>
      </c>
      <c r="HY5" s="1">
        <v>1.1E-4</v>
      </c>
      <c r="HZ5" s="1">
        <v>4.0000000000000003E-5</v>
      </c>
      <c r="IA5" s="1">
        <v>6.999999999999999E-6</v>
      </c>
      <c r="IB5" s="1">
        <v>1.8000000000000001E-6</v>
      </c>
      <c r="IC5" s="1">
        <v>1.8000000000000001E-6</v>
      </c>
      <c r="ID5" s="1">
        <v>4.0000000000000001E-8</v>
      </c>
      <c r="IE5" s="1">
        <v>2.4999999999999999E-8</v>
      </c>
      <c r="IF5" s="1">
        <f>Table1567[[#This Row],[Total_Cost_MUSD]]*Table1567[[#This Row],[prob500-failure_rating1]]/500</f>
        <v>3.2250429899999999E-4</v>
      </c>
      <c r="IG5" s="1">
        <f>Table1567[[#This Row],[Total_Cost_MUSD]]*Table1567[[#This Row],[prob500-failure_rating2]]/500</f>
        <v>1.6125214949999999E-4</v>
      </c>
      <c r="IH5" s="1">
        <f>Table1567[[#This Row],[Total_Cost_MUSD]]*Table1567[[#This Row],[prob500-failure_rating3]]/500</f>
        <v>3.5475472890000008E-5</v>
      </c>
      <c r="II5" s="1">
        <f>Table1567[[#This Row],[Total_Cost_MUSD]]*Table1567[[#This Row],[prob500-failure_rating4]]/500</f>
        <v>1.2900171960000001E-5</v>
      </c>
      <c r="IJ5" s="1">
        <f>Table1567[[#This Row],[Total_Cost_MUSD]]*Table1567[[#This Row],[prob500-failure_rating5]]/500</f>
        <v>2.2575300929999998E-6</v>
      </c>
      <c r="IK5" s="1">
        <f>Table1567[[#This Row],[Total_Cost_MUSD]]*Table1567[[#This Row],[prob500-failure_rating6]]/500</f>
        <v>5.8050773820000004E-7</v>
      </c>
      <c r="IL5" s="1">
        <f>Table1567[[#This Row],[Total_Cost_MUSD]]*Table1567[[#This Row],[prob500-failure_rating7]]/500</f>
        <v>5.8050773820000004E-7</v>
      </c>
      <c r="IM5" s="1">
        <f>Table1567[[#This Row],[Total_Cost_MUSD]]*Table1567[[#This Row],[prob500-failure_rating8]]/500</f>
        <v>1.2900171959999999E-8</v>
      </c>
      <c r="IN5" s="1">
        <f>Table1567[[#This Row],[Total_Cost_MUSD]]*Table1567[[#This Row],[prob500-failure_rating9]]/500</f>
        <v>8.0626074749999993E-9</v>
      </c>
      <c r="IO5" s="1">
        <f>Table1567[[#This Row],[Total_Cost_MUSD]]*Table1567[[#This Row],[prob100-failure_rating1]]/100</f>
        <v>0.1612521495</v>
      </c>
      <c r="IP5" s="1">
        <f>Table1567[[#This Row],[Total_Cost_MUSD]]*Table1567[[#This Row],[prob100-failure_rating2]]/100</f>
        <v>1.612521495E-3</v>
      </c>
      <c r="IQ5" s="1">
        <f>Table1567[[#This Row],[Total_Cost_MUSD]]*Table1567[[#This Row],[prob100-failure_rating3]]/100</f>
        <v>2.01565186875E-4</v>
      </c>
      <c r="IR5" s="1">
        <f>Table1567[[#This Row],[Total_Cost_MUSD]]*Table1567[[#This Row],[prob100-failure_rating4]]/100</f>
        <v>4.4344341112500009E-5</v>
      </c>
      <c r="IS5" s="1">
        <f>Table1567[[#This Row],[Total_Cost_MUSD]]*Table1567[[#This Row],[prob100-failure_rating5]]/100</f>
        <v>1.6125214950000001E-5</v>
      </c>
      <c r="IT5" s="1">
        <f>Table1567[[#This Row],[Total_Cost_MUSD]]*Table1567[[#This Row],[prob100-failure_rating6]]/100</f>
        <v>2.8219126162499997E-6</v>
      </c>
      <c r="IU5" s="1">
        <f>Table1567[[#This Row],[Total_Cost_MUSD]]*Table1567[[#This Row],[prob100-failure_rating7]]/100</f>
        <v>7.2563467275E-7</v>
      </c>
      <c r="IV5" s="1">
        <f>Table1567[[#This Row],[Total_Cost_MUSD]]*Table1567[[#This Row],[prob100-failure_rating8]]/100</f>
        <v>7.2563467275E-7</v>
      </c>
      <c r="IW5" s="1">
        <f>Table1567[[#This Row],[Total_Cost_MUSD]]*Table1567[[#This Row],[prob100-failure_rating9]]/100</f>
        <v>1.6125214949999999E-8</v>
      </c>
      <c r="IX5" s="1">
        <f>Table1567[[#This Row],[Total_Cost_MUSD]]*Table1567[[#This Row],[prob50-failure_rating1]]/50</f>
        <v>3.22504299E-3</v>
      </c>
      <c r="IY5" s="1">
        <f>Table1567[[#This Row],[Total_Cost_MUSD]]*Table1567[[#This Row],[prob50-failure_rating2]]/50</f>
        <v>2.687535825E-4</v>
      </c>
      <c r="IZ5" s="1">
        <f>Table1567[[#This Row],[Total_Cost_MUSD]]*Table1567[[#This Row],[prob50-failure_rating3]]/50</f>
        <v>5.9125788149999997E-5</v>
      </c>
      <c r="JA5" s="1">
        <f>Table1567[[#This Row],[Total_Cost_MUSD]]*Table1567[[#This Row],[prob50-failure_rating4]]/50</f>
        <v>2.1500286599999999E-5</v>
      </c>
      <c r="JB5" s="1">
        <f>Table1567[[#This Row],[Total_Cost_MUSD]]*Table1567[[#This Row],[prob50-failure_rating5]]/50</f>
        <v>3.7625501549999999E-6</v>
      </c>
      <c r="JC5" s="1">
        <f>Table1567[[#This Row],[Total_Cost_MUSD]]*Table1567[[#This Row],[prob50-failure_rating6]]/50</f>
        <v>9.6751289699999993E-7</v>
      </c>
      <c r="JD5" s="1">
        <f>Table1567[[#This Row],[Total_Cost_MUSD]]*Table1567[[#This Row],[prob50-failure_rating7]]/50</f>
        <v>9.6751289699999993E-7</v>
      </c>
      <c r="JE5" s="1">
        <f>Table1567[[#This Row],[Total_Cost_MUSD]]*Table1567[[#This Row],[prob50-failure_rating8]]/50</f>
        <v>2.1500286599999999E-8</v>
      </c>
      <c r="JF5" s="1">
        <f>Table1567[[#This Row],[Total_Cost_MUSD]]*Table1567[[#This Row],[prob50-failure_rating9]]/50</f>
        <v>1.3437679125E-8</v>
      </c>
      <c r="JG5" s="1">
        <f>Table1567[[#This Row],[Total_Cost_MUSD]]*Table1567[[#This Row],[prob10-failure_rating1]]/10</f>
        <v>1.6125214950000001E-2</v>
      </c>
      <c r="JH5" s="1">
        <f>Table1567[[#This Row],[Total_Cost_MUSD]]*Table1567[[#This Row],[prob10-failure_rating2]]/10</f>
        <v>8.062607475000001E-4</v>
      </c>
      <c r="JI5" s="1">
        <f>Table1567[[#This Row],[Total_Cost_MUSD]]*Table1567[[#This Row],[prob10-failure_rating3]]/10</f>
        <v>1.7737736445000001E-4</v>
      </c>
      <c r="JJ5" s="1">
        <f>Table1567[[#This Row],[Total_Cost_MUSD]]*Table1567[[#This Row],[prob10-failure_rating4]]/10</f>
        <v>6.4500859800000005E-5</v>
      </c>
      <c r="JK5" s="1">
        <f>Table1567[[#This Row],[Total_Cost_MUSD]]*Table1567[[#This Row],[prob10-failure_rating5]]/10</f>
        <v>1.1287650464999999E-5</v>
      </c>
      <c r="JL5" s="1">
        <f>Table1567[[#This Row],[Total_Cost_MUSD]]*Table1567[[#This Row],[prob10-failure_rating6]]/10</f>
        <v>2.902538691E-6</v>
      </c>
      <c r="JM5" s="1">
        <f>Table1567[[#This Row],[Total_Cost_MUSD]]*Table1567[[#This Row],[prob10-failure_rating7]]/10</f>
        <v>2.902538691E-6</v>
      </c>
      <c r="JN5" s="1">
        <f>Table1567[[#This Row],[Total_Cost_MUSD]]*Table1567[[#This Row],[prob10-failure_rating8]]/10</f>
        <v>6.4500859800000008E-8</v>
      </c>
      <c r="JO5" s="1">
        <f>Table1567[[#This Row],[Total_Cost_MUSD]]*Table1567[[#This Row],[prob10-failure_rating9]]/10</f>
        <v>4.0313037375000002E-8</v>
      </c>
      <c r="JP5" s="1">
        <f>Table1567[[#This Row],[FailureCost_Rating1]]</f>
        <v>2848.7879745</v>
      </c>
      <c r="JQ5" s="1">
        <f>Table1567[[#This Row],[FailureCost_Rating2]]</f>
        <v>2848.7879745</v>
      </c>
      <c r="JR5" s="1">
        <f>(Table1567[[#This Row],[failurecost500_rating2]]+Table1567[[#This Row],[failurecost100_rating2]]+Table1567[[#This Row],[failurecost50_rating2]]+Table1567[[#This Row],[failurecost10_rating2]])*1000000</f>
        <v>2848.7879745</v>
      </c>
      <c r="JS5" s="1">
        <f>(Table1567[[#This Row],[failurecost500_rating3]]+Table1567[[#This Row],[failurecost100_rating3]]+Table1567[[#This Row],[failurecost50_rating3]]+Table1567[[#This Row],[failurecost10_rating3]])*1000000</f>
        <v>473.54381236500001</v>
      </c>
      <c r="JT5" s="1">
        <f>(Table1567[[#This Row],[failurecost500_rating4]]+Table1567[[#This Row],[failurecost100_rating4]]+Table1567[[#This Row],[failurecost50_rating4]]+Table1567[[#This Row],[failurecost10_rating4]])*1000000</f>
        <v>143.24565947249999</v>
      </c>
      <c r="JU5" s="1">
        <f>(Table1567[[#This Row],[failurecost500_rating5]]+Table1567[[#This Row],[failurecost100_rating5]]+Table1567[[#This Row],[failurecost50_rating5]]+Table1567[[#This Row],[failurecost10_rating5]])*1000000</f>
        <v>33.432945662999998</v>
      </c>
      <c r="JV5" s="1">
        <f>(Table1567[[#This Row],[failurecost500_rating6]]+Table1567[[#This Row],[failurecost100_rating6]]+Table1567[[#This Row],[failurecost50_rating6]]+Table1567[[#This Row],[failurecost10_rating6]])*1000000</f>
        <v>7.2724719424500002</v>
      </c>
      <c r="JW5" s="1">
        <f>(Table1567[[#This Row],[failurecost500_rating7]]+Table1567[[#This Row],[failurecost100_rating7]]+Table1567[[#This Row],[failurecost50_rating7]]+Table1567[[#This Row],[failurecost10_rating7]])*1000000</f>
        <v>5.1761939989499997</v>
      </c>
      <c r="JX5" s="1">
        <f>(Table1567[[#This Row],[failurecost500_rating8]]+Table1567[[#This Row],[failurecost100_rating8]]+Table1567[[#This Row],[failurecost50_rating8]]+Table1567[[#This Row],[failurecost10_rating8]])*1000000</f>
        <v>0.82453599111000009</v>
      </c>
      <c r="JY5" s="1">
        <f>(Table1567[[#This Row],[failurecost500_rating9]]+Table1567[[#This Row],[failurecost100_rating9]]+Table1567[[#This Row],[failurecost50_rating9]]+Table1567[[#This Row],[failurecost10_rating9]])*1000000</f>
        <v>7.7938538924999995E-2</v>
      </c>
    </row>
    <row r="6" spans="1:285" ht="29.25" customHeight="1" x14ac:dyDescent="0.3">
      <c r="A6" s="1">
        <v>5</v>
      </c>
      <c r="B6" s="1" t="s">
        <v>222</v>
      </c>
      <c r="C6" s="1" t="s">
        <v>197</v>
      </c>
      <c r="D6" s="1">
        <v>42.36994</v>
      </c>
      <c r="E6" s="1">
        <v>-71.0608</v>
      </c>
      <c r="F6" s="1">
        <v>13.30931854</v>
      </c>
      <c r="G6" s="1">
        <v>11.00931931</v>
      </c>
      <c r="H6" s="1">
        <v>14.40931892</v>
      </c>
      <c r="I6" s="1">
        <v>16.60931969</v>
      </c>
      <c r="J6" s="1">
        <v>2384.3047369999999</v>
      </c>
      <c r="K6" s="1">
        <v>1272.338426</v>
      </c>
      <c r="L6" s="1">
        <v>3671.5531649999998</v>
      </c>
      <c r="M6" s="1">
        <v>1199.514713</v>
      </c>
      <c r="N6" s="1">
        <v>3671.5531649999998</v>
      </c>
      <c r="O6" s="1">
        <v>1199.514713</v>
      </c>
      <c r="P6" s="1">
        <v>3671.5531649999998</v>
      </c>
      <c r="Q6" s="1">
        <v>1199.514713</v>
      </c>
      <c r="R6" s="1">
        <v>3671.5531649999998</v>
      </c>
      <c r="S6" s="1">
        <v>1199.514713</v>
      </c>
      <c r="T6" s="1">
        <v>1.873954828</v>
      </c>
      <c r="U6" s="1">
        <v>3.06086547</v>
      </c>
      <c r="V6" s="1">
        <v>3.06086547</v>
      </c>
      <c r="W6" s="1">
        <v>3.06086547</v>
      </c>
      <c r="X6" s="1">
        <v>3.06086547</v>
      </c>
      <c r="Y6" s="1">
        <v>6.6037736E-2</v>
      </c>
      <c r="Z6" s="1">
        <v>48</v>
      </c>
      <c r="AA6" s="1">
        <v>10.83483356</v>
      </c>
      <c r="AB6" s="1">
        <v>10.83483356</v>
      </c>
      <c r="AC6" s="1">
        <v>10.83483356</v>
      </c>
      <c r="AD6" s="1">
        <v>10.83483356</v>
      </c>
      <c r="AE6" s="1">
        <v>1.04257548</v>
      </c>
      <c r="AF6" s="1">
        <v>0.94822157100000004</v>
      </c>
      <c r="AG6" s="1">
        <v>0.91130974399999998</v>
      </c>
      <c r="AH6" s="1">
        <v>0.84881260199999997</v>
      </c>
      <c r="AI6" s="1">
        <v>12.26583651</v>
      </c>
      <c r="AJ6" s="1">
        <v>12.58405316</v>
      </c>
      <c r="AK6" s="1">
        <v>12.71968554</v>
      </c>
      <c r="AL6" s="1">
        <v>12.966029560000001</v>
      </c>
      <c r="AM6" s="1">
        <v>584.20305919999998</v>
      </c>
      <c r="AN6" s="1">
        <v>630.86138370000003</v>
      </c>
      <c r="AO6" s="1">
        <v>651.48052250000001</v>
      </c>
      <c r="AP6" s="1">
        <v>690.07029699999998</v>
      </c>
      <c r="AQ6" s="1">
        <f>Table1567[[#This Row],[Depth10_Soil_vol]]*(9.353+9.027)+(Table1567[[#This Row],[Depth10_Soil_vol]]/2.5)*20*1.053+(PI()*Table1567[[#This Row],[Depth10_Scour]])*Table1567[[#This Row],[DECK_WIDTH_MT_052]]*1.062</f>
        <v>16919.4190908581</v>
      </c>
      <c r="AR6" s="1">
        <f>Table1567[[#This Row],[Depth50_Soil_vol]]*(9.353+9.027)+(Table1567[[#This Row],[Depth50_Soil_vol]]/2.5)*20*1.053+(PI()*Table1567[[#This Row],[Depth50_Scour]])*Table1567[[#This Row],[DECK_WIDTH_MT_052]]*1.062</f>
        <v>18202.748839783562</v>
      </c>
      <c r="AS6" s="1">
        <f>Table1567[[#This Row],[Depth100_Soil_vol]]*(9.353+9.027)+(Table1567[[#This Row],[Depth100_Soil_vol]]/2.5)*20*1.053+(PI()*Table1567[[#This Row],[Depth100_Scour]])*Table1567[[#This Row],[DECK_WIDTH_MT_052]]*1.062</f>
        <v>18769.361851972091</v>
      </c>
      <c r="AT6" s="1">
        <f>Table1567[[#This Row],[Depth500_Soil_vol]]*(9.353+9.027)+(Table1567[[#This Row],[Depth500_Soil_vol]]/2.5)*20*1.053+(PI()*Table1567[[#This Row],[Depth500_Scour]])*Table1567[[#This Row],[DECK_WIDTH_MT_052]]*1.062</f>
        <v>19829.036538056753</v>
      </c>
      <c r="AU6" s="1">
        <v>3.76</v>
      </c>
      <c r="AV6" s="1">
        <v>4.3600000000000003</v>
      </c>
      <c r="AW6" s="1" t="s">
        <v>184</v>
      </c>
      <c r="AX6" s="1">
        <v>5</v>
      </c>
      <c r="AY6" s="1">
        <v>5</v>
      </c>
      <c r="AZ6" s="1">
        <v>5</v>
      </c>
      <c r="BA6" s="1">
        <v>5</v>
      </c>
      <c r="BB6" s="1">
        <v>25</v>
      </c>
      <c r="BC6" s="1" t="s">
        <v>223</v>
      </c>
      <c r="BD6" s="1">
        <v>42220744</v>
      </c>
      <c r="BE6" s="1">
        <v>71033528</v>
      </c>
      <c r="BF6" s="1">
        <v>1</v>
      </c>
      <c r="BG6" s="1">
        <v>5</v>
      </c>
      <c r="BH6" s="1">
        <v>1</v>
      </c>
      <c r="BI6" s="1">
        <v>0</v>
      </c>
      <c r="BJ6" s="1">
        <v>0</v>
      </c>
      <c r="BK6" s="1">
        <v>6</v>
      </c>
      <c r="BL6" s="1">
        <v>25</v>
      </c>
      <c r="BM6" s="1">
        <v>7000</v>
      </c>
      <c r="BN6" s="1" t="s">
        <v>218</v>
      </c>
      <c r="BO6" s="1">
        <v>0</v>
      </c>
      <c r="BP6" s="1" t="s">
        <v>224</v>
      </c>
      <c r="BQ6" s="1" t="s">
        <v>225</v>
      </c>
      <c r="BR6" s="1">
        <v>4.8499999999999996</v>
      </c>
      <c r="BS6" s="1">
        <v>0.66</v>
      </c>
      <c r="BT6" s="1">
        <v>1</v>
      </c>
      <c r="BU6" s="1">
        <v>0</v>
      </c>
      <c r="BV6" s="1">
        <v>0</v>
      </c>
      <c r="BW6" s="1">
        <v>3</v>
      </c>
      <c r="BX6" s="1">
        <v>3</v>
      </c>
      <c r="BY6" s="1">
        <v>4</v>
      </c>
      <c r="BZ6" s="1">
        <v>4</v>
      </c>
      <c r="CA6" s="1">
        <v>14</v>
      </c>
      <c r="CB6" s="1">
        <v>1900</v>
      </c>
      <c r="CC6" s="1">
        <v>6</v>
      </c>
      <c r="CD6" s="1">
        <v>0</v>
      </c>
      <c r="CE6" s="1">
        <v>43300</v>
      </c>
      <c r="CF6" s="1">
        <v>2016</v>
      </c>
      <c r="CG6" s="1">
        <v>5</v>
      </c>
      <c r="CH6" s="1">
        <v>24.4</v>
      </c>
      <c r="CI6" s="1">
        <v>3</v>
      </c>
      <c r="CJ6" s="1">
        <v>0</v>
      </c>
      <c r="CK6" s="1">
        <v>0</v>
      </c>
      <c r="CL6" s="1">
        <v>0</v>
      </c>
      <c r="CM6" s="1">
        <v>0</v>
      </c>
      <c r="CN6" s="1" t="s">
        <v>190</v>
      </c>
      <c r="CO6" s="1" t="s">
        <v>190</v>
      </c>
      <c r="CP6" s="1">
        <v>2</v>
      </c>
      <c r="CQ6" s="1">
        <v>1</v>
      </c>
      <c r="CR6" s="1">
        <v>7</v>
      </c>
      <c r="CS6" s="1">
        <v>15.2</v>
      </c>
      <c r="CT6" s="1" t="s">
        <v>226</v>
      </c>
      <c r="CU6" s="1">
        <v>5</v>
      </c>
      <c r="CV6" s="1">
        <v>5</v>
      </c>
      <c r="CW6" s="1">
        <v>4</v>
      </c>
      <c r="CX6" s="1">
        <v>10</v>
      </c>
      <c r="CY6" s="1">
        <v>0</v>
      </c>
      <c r="CZ6" s="1">
        <v>0</v>
      </c>
      <c r="DA6" s="1">
        <v>2</v>
      </c>
      <c r="DB6" s="1">
        <v>0</v>
      </c>
      <c r="DC6" s="1">
        <v>6.7</v>
      </c>
      <c r="DD6" s="1">
        <v>36.299999999999997</v>
      </c>
      <c r="DE6" s="1">
        <v>73.5</v>
      </c>
      <c r="DF6" s="1">
        <v>3</v>
      </c>
      <c r="DG6" s="1">
        <v>2.8</v>
      </c>
      <c r="DH6" s="1">
        <v>20.100000000000001</v>
      </c>
      <c r="DI6" s="1">
        <v>30.8</v>
      </c>
      <c r="DJ6" s="1">
        <v>4.8499999999999996</v>
      </c>
      <c r="DK6" s="1" t="s">
        <v>190</v>
      </c>
      <c r="DL6" s="1">
        <v>0</v>
      </c>
      <c r="DM6" s="1" t="s">
        <v>190</v>
      </c>
      <c r="DN6" s="1">
        <v>0</v>
      </c>
      <c r="DO6" s="1">
        <v>0</v>
      </c>
      <c r="DP6" s="1">
        <v>6</v>
      </c>
      <c r="DQ6" s="1">
        <v>3</v>
      </c>
      <c r="DR6" s="1">
        <v>4</v>
      </c>
      <c r="DS6" s="1">
        <v>5</v>
      </c>
      <c r="DT6" s="1" t="s">
        <v>190</v>
      </c>
      <c r="DU6" s="1">
        <v>1</v>
      </c>
      <c r="DV6" s="1">
        <v>35.1</v>
      </c>
      <c r="DW6" s="1">
        <v>1</v>
      </c>
      <c r="DX6" s="1">
        <v>21</v>
      </c>
      <c r="DY6" s="1">
        <v>3</v>
      </c>
      <c r="DZ6" s="1">
        <v>2</v>
      </c>
      <c r="EA6" s="1" t="s">
        <v>190</v>
      </c>
      <c r="EB6" s="1">
        <v>5</v>
      </c>
      <c r="EC6" s="1">
        <v>9</v>
      </c>
      <c r="ED6" s="1">
        <v>5</v>
      </c>
      <c r="EE6" s="1">
        <v>31</v>
      </c>
      <c r="EF6" s="1">
        <v>1</v>
      </c>
      <c r="EG6" s="1">
        <v>84</v>
      </c>
      <c r="EH6" s="1">
        <v>818</v>
      </c>
      <c r="EI6" s="1">
        <v>6</v>
      </c>
      <c r="EJ6" s="1" t="s">
        <v>191</v>
      </c>
      <c r="EK6" s="1" t="s">
        <v>214</v>
      </c>
      <c r="EL6" s="1" t="s">
        <v>227</v>
      </c>
      <c r="EM6" s="1">
        <v>0</v>
      </c>
      <c r="EN6" s="1">
        <v>818</v>
      </c>
      <c r="EO6" s="1">
        <v>220</v>
      </c>
      <c r="EP6" s="1">
        <v>19041</v>
      </c>
      <c r="EQ6" s="1">
        <v>1905</v>
      </c>
      <c r="ER6" s="1">
        <v>28562</v>
      </c>
      <c r="ES6" s="1">
        <v>2020</v>
      </c>
      <c r="ET6" s="1">
        <v>0</v>
      </c>
      <c r="EU6" s="1">
        <v>0</v>
      </c>
      <c r="EV6" s="1" t="s">
        <v>193</v>
      </c>
      <c r="EW6" s="1">
        <v>0</v>
      </c>
      <c r="EX6" s="1" t="s">
        <v>190</v>
      </c>
      <c r="EY6" s="1">
        <v>2</v>
      </c>
      <c r="EZ6" s="1" t="s">
        <v>228</v>
      </c>
      <c r="FA6" s="1">
        <v>1</v>
      </c>
      <c r="FB6" s="1">
        <v>0</v>
      </c>
      <c r="FC6" s="1">
        <v>1956</v>
      </c>
      <c r="FD6" s="1">
        <v>3</v>
      </c>
      <c r="FE6" s="1">
        <v>9</v>
      </c>
      <c r="FF6" s="1">
        <v>0</v>
      </c>
      <c r="FG6" s="1">
        <v>0</v>
      </c>
      <c r="FH6" s="1">
        <v>10</v>
      </c>
      <c r="FI6" s="1">
        <v>0</v>
      </c>
      <c r="FJ6" s="1">
        <v>2</v>
      </c>
      <c r="FK6" s="1" t="s">
        <v>194</v>
      </c>
      <c r="FL6" s="1">
        <v>3</v>
      </c>
      <c r="FM6" s="1">
        <v>60645</v>
      </c>
      <c r="FN6" s="1">
        <v>2031</v>
      </c>
      <c r="FO6" s="1">
        <v>0</v>
      </c>
      <c r="FP6" s="1" t="s">
        <v>190</v>
      </c>
      <c r="FQ6" s="1">
        <v>25</v>
      </c>
      <c r="FR6" s="1" t="s">
        <v>203</v>
      </c>
      <c r="FS6" s="1">
        <v>3</v>
      </c>
      <c r="FT6" s="1">
        <v>2263.8000000000002</v>
      </c>
      <c r="FU6" s="1">
        <v>183</v>
      </c>
      <c r="FV6" s="1">
        <v>50</v>
      </c>
      <c r="FW6" s="1">
        <v>65</v>
      </c>
      <c r="FX6" s="1">
        <v>2</v>
      </c>
      <c r="FY6" s="1">
        <v>5</v>
      </c>
      <c r="FZ6" s="1">
        <v>267128.40000000002</v>
      </c>
      <c r="GA6" s="1">
        <v>12717859.5</v>
      </c>
      <c r="GB6" s="1">
        <v>9093453.773</v>
      </c>
      <c r="GC6" s="1">
        <v>2500000</v>
      </c>
      <c r="GD6" s="1"/>
      <c r="GE6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6" s="1">
        <v>24.57844167</v>
      </c>
      <c r="GG6" s="1">
        <v>0</v>
      </c>
      <c r="GH6" s="1">
        <v>0</v>
      </c>
      <c r="GI6" s="1">
        <v>0</v>
      </c>
      <c r="GJ6" s="1">
        <v>0</v>
      </c>
      <c r="GK6" s="1">
        <v>3</v>
      </c>
      <c r="GL6" s="1">
        <v>10923.751853333331</v>
      </c>
      <c r="GM6" s="1">
        <v>6144.6104175</v>
      </c>
      <c r="GN6" s="1">
        <v>3932.5506672000001</v>
      </c>
      <c r="GO6" s="1">
        <v>2730.9379633333328</v>
      </c>
      <c r="GP6" s="1">
        <v>2006.4034016326532</v>
      </c>
      <c r="GQ6" s="1">
        <v>1536.152604375</v>
      </c>
      <c r="GR6" s="1">
        <v>1213.7502059259259</v>
      </c>
      <c r="GS6" s="1">
        <v>0</v>
      </c>
      <c r="GT6" s="1">
        <v>0</v>
      </c>
      <c r="GU6" s="1">
        <v>0</v>
      </c>
      <c r="GV6" s="1">
        <v>0.01</v>
      </c>
      <c r="GW6" s="1">
        <v>5.0000000000000001E-3</v>
      </c>
      <c r="GX6" s="1">
        <v>1.1000000000000001E-3</v>
      </c>
      <c r="GY6" s="1">
        <v>4.0000000000000002E-4</v>
      </c>
      <c r="GZ6" s="1">
        <v>6.9999999999999994E-5</v>
      </c>
      <c r="HA6" s="1">
        <v>1.8E-5</v>
      </c>
      <c r="HB6" s="1">
        <v>1.8E-5</v>
      </c>
      <c r="HC6" s="1">
        <v>3.9999999999999998E-7</v>
      </c>
      <c r="HD6" s="1">
        <v>2.4999999999999999E-7</v>
      </c>
      <c r="HE6" s="1">
        <v>1</v>
      </c>
      <c r="HF6" s="1">
        <v>0.01</v>
      </c>
      <c r="HG6" s="1">
        <v>1.25E-3</v>
      </c>
      <c r="HH6" s="1">
        <v>2.7500000000000002E-4</v>
      </c>
      <c r="HI6" s="1">
        <v>1E-4</v>
      </c>
      <c r="HJ6" s="1">
        <v>1.7499999999999998E-5</v>
      </c>
      <c r="HK6" s="1">
        <v>4.5000000000000001E-6</v>
      </c>
      <c r="HL6" s="1">
        <v>4.5000000000000001E-6</v>
      </c>
      <c r="HM6" s="1">
        <v>9.9999999999999995E-8</v>
      </c>
      <c r="HN6" s="1">
        <v>0.01</v>
      </c>
      <c r="HO6" s="1">
        <v>8.3333333333333339E-4</v>
      </c>
      <c r="HP6" s="1">
        <v>1.8333333333333334E-4</v>
      </c>
      <c r="HQ6" s="1">
        <v>6.666666666666667E-5</v>
      </c>
      <c r="HR6" s="1">
        <v>1.1666666666666666E-5</v>
      </c>
      <c r="HS6" s="1">
        <v>3.0000000000000001E-6</v>
      </c>
      <c r="HT6" s="1">
        <v>3.0000000000000001E-6</v>
      </c>
      <c r="HU6" s="1">
        <v>6.6666666666666668E-8</v>
      </c>
      <c r="HV6" s="1">
        <v>4.1666666666666663E-8</v>
      </c>
      <c r="HW6" s="1">
        <v>0.01</v>
      </c>
      <c r="HX6" s="1">
        <v>5.0000000000000001E-4</v>
      </c>
      <c r="HY6" s="1">
        <v>1.1E-4</v>
      </c>
      <c r="HZ6" s="1">
        <v>4.0000000000000003E-5</v>
      </c>
      <c r="IA6" s="1">
        <v>6.999999999999999E-6</v>
      </c>
      <c r="IB6" s="1">
        <v>1.8000000000000001E-6</v>
      </c>
      <c r="IC6" s="1">
        <v>1.8000000000000001E-6</v>
      </c>
      <c r="ID6" s="1">
        <v>4.0000000000000001E-8</v>
      </c>
      <c r="IE6" s="1">
        <v>2.4999999999999999E-8</v>
      </c>
      <c r="IF6" s="1">
        <f>Table1567[[#This Row],[Total_Cost_MUSD]]*Table1567[[#This Row],[prob500-failure_rating1]]/500</f>
        <v>4.9156883340000001E-4</v>
      </c>
      <c r="IG6" s="1">
        <f>Table1567[[#This Row],[Total_Cost_MUSD]]*Table1567[[#This Row],[prob500-failure_rating2]]/500</f>
        <v>2.457844167E-4</v>
      </c>
      <c r="IH6" s="1">
        <f>Table1567[[#This Row],[Total_Cost_MUSD]]*Table1567[[#This Row],[prob500-failure_rating3]]/500</f>
        <v>5.4072571674000002E-5</v>
      </c>
      <c r="II6" s="1">
        <f>Table1567[[#This Row],[Total_Cost_MUSD]]*Table1567[[#This Row],[prob500-failure_rating4]]/500</f>
        <v>1.9662753336000002E-5</v>
      </c>
      <c r="IJ6" s="1">
        <f>Table1567[[#This Row],[Total_Cost_MUSD]]*Table1567[[#This Row],[prob500-failure_rating5]]/500</f>
        <v>3.4409818337999996E-6</v>
      </c>
      <c r="IK6" s="1">
        <f>Table1567[[#This Row],[Total_Cost_MUSD]]*Table1567[[#This Row],[prob500-failure_rating6]]/500</f>
        <v>8.8482390011999997E-7</v>
      </c>
      <c r="IL6" s="1">
        <f>Table1567[[#This Row],[Total_Cost_MUSD]]*Table1567[[#This Row],[prob500-failure_rating7]]/500</f>
        <v>8.8482390011999997E-7</v>
      </c>
      <c r="IM6" s="1">
        <f>Table1567[[#This Row],[Total_Cost_MUSD]]*Table1567[[#This Row],[prob500-failure_rating8]]/500</f>
        <v>1.9662753336E-8</v>
      </c>
      <c r="IN6" s="1">
        <f>Table1567[[#This Row],[Total_Cost_MUSD]]*Table1567[[#This Row],[prob500-failure_rating9]]/500</f>
        <v>1.2289220835E-8</v>
      </c>
      <c r="IO6" s="1">
        <f>Table1567[[#This Row],[Total_Cost_MUSD]]*Table1567[[#This Row],[prob100-failure_rating1]]/100</f>
        <v>0.24578441670000001</v>
      </c>
      <c r="IP6" s="1">
        <f>Table1567[[#This Row],[Total_Cost_MUSD]]*Table1567[[#This Row],[prob100-failure_rating2]]/100</f>
        <v>2.457844167E-3</v>
      </c>
      <c r="IQ6" s="1">
        <f>Table1567[[#This Row],[Total_Cost_MUSD]]*Table1567[[#This Row],[prob100-failure_rating3]]/100</f>
        <v>3.07230520875E-4</v>
      </c>
      <c r="IR6" s="1">
        <f>Table1567[[#This Row],[Total_Cost_MUSD]]*Table1567[[#This Row],[prob100-failure_rating4]]/100</f>
        <v>6.7590714592499995E-5</v>
      </c>
      <c r="IS6" s="1">
        <f>Table1567[[#This Row],[Total_Cost_MUSD]]*Table1567[[#This Row],[prob100-failure_rating5]]/100</f>
        <v>2.4578441669999999E-5</v>
      </c>
      <c r="IT6" s="1">
        <f>Table1567[[#This Row],[Total_Cost_MUSD]]*Table1567[[#This Row],[prob100-failure_rating6]]/100</f>
        <v>4.3012272922499991E-6</v>
      </c>
      <c r="IU6" s="1">
        <f>Table1567[[#This Row],[Total_Cost_MUSD]]*Table1567[[#This Row],[prob100-failure_rating7]]/100</f>
        <v>1.1060298751499999E-6</v>
      </c>
      <c r="IV6" s="1">
        <f>Table1567[[#This Row],[Total_Cost_MUSD]]*Table1567[[#This Row],[prob100-failure_rating8]]/100</f>
        <v>1.1060298751499999E-6</v>
      </c>
      <c r="IW6" s="1">
        <f>Table1567[[#This Row],[Total_Cost_MUSD]]*Table1567[[#This Row],[prob100-failure_rating9]]/100</f>
        <v>2.4578441669999999E-8</v>
      </c>
      <c r="IX6" s="1">
        <f>Table1567[[#This Row],[Total_Cost_MUSD]]*Table1567[[#This Row],[prob50-failure_rating1]]/50</f>
        <v>4.9156883340000001E-3</v>
      </c>
      <c r="IY6" s="1">
        <f>Table1567[[#This Row],[Total_Cost_MUSD]]*Table1567[[#This Row],[prob50-failure_rating2]]/50</f>
        <v>4.096406945E-4</v>
      </c>
      <c r="IZ6" s="1">
        <f>Table1567[[#This Row],[Total_Cost_MUSD]]*Table1567[[#This Row],[prob50-failure_rating3]]/50</f>
        <v>9.0120952789999998E-5</v>
      </c>
      <c r="JA6" s="1">
        <f>Table1567[[#This Row],[Total_Cost_MUSD]]*Table1567[[#This Row],[prob50-failure_rating4]]/50</f>
        <v>3.2771255560000003E-5</v>
      </c>
      <c r="JB6" s="1">
        <f>Table1567[[#This Row],[Total_Cost_MUSD]]*Table1567[[#This Row],[prob50-failure_rating5]]/50</f>
        <v>5.7349697229999997E-6</v>
      </c>
      <c r="JC6" s="1">
        <f>Table1567[[#This Row],[Total_Cost_MUSD]]*Table1567[[#This Row],[prob50-failure_rating6]]/50</f>
        <v>1.4747065002000001E-6</v>
      </c>
      <c r="JD6" s="1">
        <f>Table1567[[#This Row],[Total_Cost_MUSD]]*Table1567[[#This Row],[prob50-failure_rating7]]/50</f>
        <v>1.4747065002000001E-6</v>
      </c>
      <c r="JE6" s="1">
        <f>Table1567[[#This Row],[Total_Cost_MUSD]]*Table1567[[#This Row],[prob50-failure_rating8]]/50</f>
        <v>3.2771255559999999E-8</v>
      </c>
      <c r="JF6" s="1">
        <f>Table1567[[#This Row],[Total_Cost_MUSD]]*Table1567[[#This Row],[prob50-failure_rating9]]/50</f>
        <v>2.0482034724999999E-8</v>
      </c>
      <c r="JG6" s="1">
        <f>Table1567[[#This Row],[Total_Cost_MUSD]]*Table1567[[#This Row],[prob10-failure_rating1]]/10</f>
        <v>2.4578441669999999E-2</v>
      </c>
      <c r="JH6" s="1">
        <f>Table1567[[#This Row],[Total_Cost_MUSD]]*Table1567[[#This Row],[prob10-failure_rating2]]/10</f>
        <v>1.2289220835E-3</v>
      </c>
      <c r="JI6" s="1">
        <f>Table1567[[#This Row],[Total_Cost_MUSD]]*Table1567[[#This Row],[prob10-failure_rating3]]/10</f>
        <v>2.7036285837000004E-4</v>
      </c>
      <c r="JJ6" s="1">
        <f>Table1567[[#This Row],[Total_Cost_MUSD]]*Table1567[[#This Row],[prob10-failure_rating4]]/10</f>
        <v>9.8313766679999996E-5</v>
      </c>
      <c r="JK6" s="1">
        <f>Table1567[[#This Row],[Total_Cost_MUSD]]*Table1567[[#This Row],[prob10-failure_rating5]]/10</f>
        <v>1.7204909169E-5</v>
      </c>
      <c r="JL6" s="1">
        <f>Table1567[[#This Row],[Total_Cost_MUSD]]*Table1567[[#This Row],[prob10-failure_rating6]]/10</f>
        <v>4.4241195005999997E-6</v>
      </c>
      <c r="JM6" s="1">
        <f>Table1567[[#This Row],[Total_Cost_MUSD]]*Table1567[[#This Row],[prob10-failure_rating7]]/10</f>
        <v>4.4241195005999997E-6</v>
      </c>
      <c r="JN6" s="1">
        <f>Table1567[[#This Row],[Total_Cost_MUSD]]*Table1567[[#This Row],[prob10-failure_rating8]]/10</f>
        <v>9.8313766679999997E-8</v>
      </c>
      <c r="JO6" s="1">
        <f>Table1567[[#This Row],[Total_Cost_MUSD]]*Table1567[[#This Row],[prob10-failure_rating9]]/10</f>
        <v>6.1446104174999998E-8</v>
      </c>
      <c r="JP6" s="1">
        <f>Table1567[[#This Row],[FailureCost_Rating1]]</f>
        <v>4342.1913617</v>
      </c>
      <c r="JQ6" s="1">
        <f>Table1567[[#This Row],[FailureCost_Rating2]]</f>
        <v>4342.1913617</v>
      </c>
      <c r="JR6" s="1">
        <f>(Table1567[[#This Row],[failurecost500_rating2]]+Table1567[[#This Row],[failurecost100_rating2]]+Table1567[[#This Row],[failurecost50_rating2]]+Table1567[[#This Row],[failurecost10_rating2]])*1000000</f>
        <v>4342.1913617</v>
      </c>
      <c r="JS6" s="1">
        <f>(Table1567[[#This Row],[failurecost500_rating3]]+Table1567[[#This Row],[failurecost100_rating3]]+Table1567[[#This Row],[failurecost50_rating3]]+Table1567[[#This Row],[failurecost10_rating3]])*1000000</f>
        <v>721.78690370900006</v>
      </c>
      <c r="JT6" s="1">
        <f>(Table1567[[#This Row],[failurecost500_rating4]]+Table1567[[#This Row],[failurecost100_rating4]]+Table1567[[#This Row],[failurecost50_rating4]]+Table1567[[#This Row],[failurecost10_rating4]])*1000000</f>
        <v>218.33849016849999</v>
      </c>
      <c r="JU6" s="1">
        <f>(Table1567[[#This Row],[failurecost500_rating5]]+Table1567[[#This Row],[failurecost100_rating5]]+Table1567[[#This Row],[failurecost50_rating5]]+Table1567[[#This Row],[failurecost10_rating5]])*1000000</f>
        <v>50.959302395800002</v>
      </c>
      <c r="JV6" s="1">
        <f>(Table1567[[#This Row],[failurecost500_rating6]]+Table1567[[#This Row],[failurecost100_rating6]]+Table1567[[#This Row],[failurecost50_rating6]]+Table1567[[#This Row],[failurecost10_rating6]])*1000000</f>
        <v>11.08487719317</v>
      </c>
      <c r="JW6" s="1">
        <f>(Table1567[[#This Row],[failurecost500_rating7]]+Table1567[[#This Row],[failurecost100_rating7]]+Table1567[[#This Row],[failurecost50_rating7]]+Table1567[[#This Row],[failurecost10_rating7]])*1000000</f>
        <v>7.8896797760700004</v>
      </c>
      <c r="JX6" s="1">
        <f>(Table1567[[#This Row],[failurecost500_rating8]]+Table1567[[#This Row],[failurecost100_rating8]]+Table1567[[#This Row],[failurecost50_rating8]]+Table1567[[#This Row],[failurecost10_rating8]])*1000000</f>
        <v>1.256777650726</v>
      </c>
      <c r="JY6" s="1">
        <f>(Table1567[[#This Row],[failurecost500_rating9]]+Table1567[[#This Row],[failurecost100_rating9]]+Table1567[[#This Row],[failurecost50_rating9]]+Table1567[[#This Row],[failurecost10_rating9]])*1000000</f>
        <v>0.118795801405</v>
      </c>
    </row>
    <row r="7" spans="1:285" ht="28.8" x14ac:dyDescent="0.3">
      <c r="A7" s="1">
        <v>6</v>
      </c>
      <c r="B7" s="1" t="s">
        <v>229</v>
      </c>
      <c r="C7" s="1" t="s">
        <v>230</v>
      </c>
      <c r="D7" s="1">
        <v>42.380070000000003</v>
      </c>
      <c r="E7" s="1">
        <v>-71.0518</v>
      </c>
      <c r="F7" s="1">
        <v>12.325574870000001</v>
      </c>
      <c r="G7" s="1">
        <v>10.02557564</v>
      </c>
      <c r="H7" s="1">
        <v>13.425576209999999</v>
      </c>
      <c r="I7" s="1">
        <v>15.62557602</v>
      </c>
      <c r="J7" s="1">
        <v>856.10884799999997</v>
      </c>
      <c r="K7" s="1">
        <v>915.54555440000001</v>
      </c>
      <c r="L7" s="1">
        <v>1460.3670239999999</v>
      </c>
      <c r="M7" s="1">
        <v>1078.311461</v>
      </c>
      <c r="N7" s="1">
        <v>1460.3670239999999</v>
      </c>
      <c r="O7" s="1">
        <v>1078.311461</v>
      </c>
      <c r="P7" s="1">
        <v>1645.2238560000001</v>
      </c>
      <c r="Q7" s="1">
        <v>1024.3578440000001</v>
      </c>
      <c r="R7" s="1">
        <v>1645.2238560000001</v>
      </c>
      <c r="S7" s="1">
        <v>1024.3578440000001</v>
      </c>
      <c r="T7" s="1">
        <v>0.93508055800000001</v>
      </c>
      <c r="U7" s="1">
        <v>1.3543091</v>
      </c>
      <c r="V7" s="1">
        <v>1.3543091</v>
      </c>
      <c r="W7" s="1">
        <v>1.6061026570000001</v>
      </c>
      <c r="X7" s="1">
        <v>1.6061026570000001</v>
      </c>
      <c r="Y7" s="1">
        <v>0.117647059</v>
      </c>
      <c r="Z7" s="1">
        <v>17.333333329999999</v>
      </c>
      <c r="AA7" s="1">
        <v>8.3971593979999994</v>
      </c>
      <c r="AB7" s="1">
        <v>8.3971593979999994</v>
      </c>
      <c r="AC7" s="1">
        <v>9.4081175090000002</v>
      </c>
      <c r="AD7" s="1">
        <v>9.4081175090000002</v>
      </c>
      <c r="AE7" s="1">
        <v>0.84672666100000005</v>
      </c>
      <c r="AF7" s="1">
        <v>0.76364990399999999</v>
      </c>
      <c r="AG7" s="1">
        <v>0.81978838799999998</v>
      </c>
      <c r="AH7" s="1">
        <v>0.75988909400000004</v>
      </c>
      <c r="AI7" s="1">
        <v>10.147763490000001</v>
      </c>
      <c r="AJ7" s="1">
        <v>10.43468994</v>
      </c>
      <c r="AK7" s="1">
        <v>11.08461898</v>
      </c>
      <c r="AL7" s="1">
        <v>11.31403944</v>
      </c>
      <c r="AM7" s="1">
        <v>404.8649757</v>
      </c>
      <c r="AN7" s="1">
        <v>440.18764010000001</v>
      </c>
      <c r="AO7" s="1">
        <v>527.66890960000001</v>
      </c>
      <c r="AP7" s="1">
        <v>561.11549590000004</v>
      </c>
      <c r="AQ7" s="1">
        <f>Table1567[[#This Row],[Depth10_Soil_vol]]*(9.353+9.027)+(Table1567[[#This Row],[Depth10_Soil_vol]]/2.5)*20*1.053+(PI()*Table1567[[#This Row],[Depth10_Scour]])*Table1567[[#This Row],[DECK_WIDTH_MT_052]]*1.062</f>
        <v>11407.250817613454</v>
      </c>
      <c r="AR7" s="1">
        <f>Table1567[[#This Row],[Depth50_Soil_vol]]*(9.353+9.027)+(Table1567[[#This Row],[Depth50_Soil_vol]]/2.5)*20*1.053+(PI()*Table1567[[#This Row],[Depth50_Scour]])*Table1567[[#This Row],[DECK_WIDTH_MT_052]]*1.062</f>
        <v>12369.739122689782</v>
      </c>
      <c r="AS7" s="1">
        <f>Table1567[[#This Row],[Depth100_Soil_vol]]*(9.353+9.027)+(Table1567[[#This Row],[Depth100_Soil_vol]]/2.5)*20*1.053+(PI()*Table1567[[#This Row],[Depth100_Scour]])*Table1567[[#This Row],[DECK_WIDTH_MT_052]]*1.062</f>
        <v>14750.148906789464</v>
      </c>
      <c r="AT7" s="1">
        <f>Table1567[[#This Row],[Depth500_Soil_vol]]*(9.353+9.027)+(Table1567[[#This Row],[Depth500_Soil_vol]]/2.5)*20*1.053+(PI()*Table1567[[#This Row],[Depth500_Scour]])*Table1567[[#This Row],[DECK_WIDTH_MT_052]]*1.062</f>
        <v>15659.204288493193</v>
      </c>
      <c r="AU7" s="1">
        <v>3.39</v>
      </c>
      <c r="AV7" s="1">
        <v>15.49</v>
      </c>
      <c r="AW7" s="1" t="s">
        <v>216</v>
      </c>
      <c r="AX7" s="1">
        <v>5</v>
      </c>
      <c r="AY7" s="1">
        <v>5</v>
      </c>
      <c r="AZ7" s="1">
        <v>5</v>
      </c>
      <c r="BA7" s="1">
        <v>5</v>
      </c>
      <c r="BB7" s="1">
        <v>25</v>
      </c>
      <c r="BC7" s="1" t="s">
        <v>231</v>
      </c>
      <c r="BD7" s="1">
        <v>42231033</v>
      </c>
      <c r="BE7" s="1">
        <v>71012160</v>
      </c>
      <c r="BF7" s="1">
        <v>1</v>
      </c>
      <c r="BG7" s="1">
        <v>5</v>
      </c>
      <c r="BH7" s="1">
        <v>1</v>
      </c>
      <c r="BI7" s="1">
        <v>0</v>
      </c>
      <c r="BJ7" s="1">
        <v>0</v>
      </c>
      <c r="BK7" s="1">
        <v>6</v>
      </c>
      <c r="BL7" s="1">
        <v>25</v>
      </c>
      <c r="BM7" s="1">
        <v>7000</v>
      </c>
      <c r="BN7" s="1" t="s">
        <v>232</v>
      </c>
      <c r="BO7" s="1">
        <v>0</v>
      </c>
      <c r="BP7" s="1" t="s">
        <v>233</v>
      </c>
      <c r="BQ7" s="1" t="s">
        <v>234</v>
      </c>
      <c r="BR7" s="1">
        <v>7.23</v>
      </c>
      <c r="BS7" s="1">
        <v>0</v>
      </c>
      <c r="BT7" s="1">
        <v>0</v>
      </c>
      <c r="BU7" s="1">
        <v>0</v>
      </c>
      <c r="BV7" s="1">
        <v>0</v>
      </c>
      <c r="BW7" s="1">
        <v>3</v>
      </c>
      <c r="BX7" s="1">
        <v>3</v>
      </c>
      <c r="BY7" s="1">
        <v>1</v>
      </c>
      <c r="BZ7" s="1">
        <v>1</v>
      </c>
      <c r="CA7" s="1">
        <v>16</v>
      </c>
      <c r="CB7" s="1">
        <v>2012</v>
      </c>
      <c r="CC7" s="1">
        <v>4</v>
      </c>
      <c r="CD7" s="1">
        <v>0</v>
      </c>
      <c r="CE7" s="1">
        <v>13400</v>
      </c>
      <c r="CF7" s="1">
        <v>2019</v>
      </c>
      <c r="CG7" s="1">
        <v>5</v>
      </c>
      <c r="CH7" s="1">
        <v>15.2</v>
      </c>
      <c r="CI7" s="1">
        <v>0</v>
      </c>
      <c r="CJ7" s="1">
        <v>0</v>
      </c>
      <c r="CK7" s="1">
        <v>0</v>
      </c>
      <c r="CL7" s="1">
        <v>1</v>
      </c>
      <c r="CM7" s="1">
        <v>1</v>
      </c>
      <c r="CN7" s="1">
        <v>1</v>
      </c>
      <c r="CO7" s="1">
        <v>0</v>
      </c>
      <c r="CP7" s="1">
        <v>4</v>
      </c>
      <c r="CQ7" s="1">
        <v>1</v>
      </c>
      <c r="CR7" s="1">
        <v>2.1</v>
      </c>
      <c r="CS7" s="1">
        <v>67.099999999999994</v>
      </c>
      <c r="CT7" s="1" t="s">
        <v>189</v>
      </c>
      <c r="CU7" s="1">
        <v>5</v>
      </c>
      <c r="CV7" s="1">
        <v>5</v>
      </c>
      <c r="CW7" s="1">
        <v>3</v>
      </c>
      <c r="CX7" s="1">
        <v>15</v>
      </c>
      <c r="CY7" s="1">
        <v>0</v>
      </c>
      <c r="CZ7" s="1">
        <v>0</v>
      </c>
      <c r="DA7" s="1">
        <v>1</v>
      </c>
      <c r="DB7" s="1">
        <v>0</v>
      </c>
      <c r="DC7" s="1">
        <v>15.2</v>
      </c>
      <c r="DD7" s="1">
        <v>137.1</v>
      </c>
      <c r="DE7" s="1">
        <v>145.9</v>
      </c>
      <c r="DF7" s="1">
        <v>1.8</v>
      </c>
      <c r="DG7" s="1">
        <v>1.8</v>
      </c>
      <c r="DH7" s="1">
        <v>15.2</v>
      </c>
      <c r="DI7" s="1">
        <v>16.399999999999999</v>
      </c>
      <c r="DJ7" s="1">
        <v>7.23</v>
      </c>
      <c r="DK7" s="1" t="s">
        <v>190</v>
      </c>
      <c r="DL7" s="1">
        <v>0</v>
      </c>
      <c r="DM7" s="1" t="s">
        <v>190</v>
      </c>
      <c r="DN7" s="1">
        <v>0</v>
      </c>
      <c r="DO7" s="1">
        <v>0</v>
      </c>
      <c r="DP7" s="1">
        <v>8</v>
      </c>
      <c r="DQ7" s="1">
        <v>7</v>
      </c>
      <c r="DR7" s="1">
        <v>7</v>
      </c>
      <c r="DS7" s="1">
        <v>6</v>
      </c>
      <c r="DT7" s="1" t="s">
        <v>190</v>
      </c>
      <c r="DU7" s="1">
        <v>1</v>
      </c>
      <c r="DV7" s="1">
        <v>58.7</v>
      </c>
      <c r="DW7" s="1">
        <v>1</v>
      </c>
      <c r="DX7" s="1">
        <v>35.200000000000003</v>
      </c>
      <c r="DY7" s="1">
        <v>7</v>
      </c>
      <c r="DZ7" s="1">
        <v>3</v>
      </c>
      <c r="EA7" s="1" t="s">
        <v>190</v>
      </c>
      <c r="EB7" s="1">
        <v>5</v>
      </c>
      <c r="EC7" s="1">
        <v>8</v>
      </c>
      <c r="ED7" s="1">
        <v>5</v>
      </c>
      <c r="EE7" s="1">
        <v>0</v>
      </c>
      <c r="EF7" s="1">
        <v>0</v>
      </c>
      <c r="EG7" s="1">
        <v>0</v>
      </c>
      <c r="EH7" s="1">
        <v>619</v>
      </c>
      <c r="EI7" s="1">
        <v>24</v>
      </c>
      <c r="EJ7" s="1" t="s">
        <v>214</v>
      </c>
      <c r="EK7" s="1" t="s">
        <v>191</v>
      </c>
      <c r="EL7" s="1" t="s">
        <v>191</v>
      </c>
      <c r="EM7" s="1">
        <v>619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2020</v>
      </c>
      <c r="ET7" s="1">
        <v>0</v>
      </c>
      <c r="EU7" s="1">
        <v>0</v>
      </c>
      <c r="EV7" s="1" t="s">
        <v>193</v>
      </c>
      <c r="EW7" s="1">
        <v>0</v>
      </c>
      <c r="EX7" s="1" t="s">
        <v>190</v>
      </c>
      <c r="EY7" s="1">
        <v>2</v>
      </c>
      <c r="EZ7" s="1">
        <v>0</v>
      </c>
      <c r="FA7" s="1">
        <v>0</v>
      </c>
      <c r="FB7" s="1">
        <v>0</v>
      </c>
      <c r="FC7" s="1">
        <v>0</v>
      </c>
      <c r="FD7" s="1">
        <v>4</v>
      </c>
      <c r="FE7" s="1">
        <v>1</v>
      </c>
      <c r="FF7" s="1">
        <v>0</v>
      </c>
      <c r="FG7" s="1">
        <v>1</v>
      </c>
      <c r="FH7" s="1">
        <v>6</v>
      </c>
      <c r="FI7" s="1">
        <v>0</v>
      </c>
      <c r="FJ7" s="1">
        <v>1</v>
      </c>
      <c r="FK7" s="1" t="s">
        <v>194</v>
      </c>
      <c r="FL7" s="1">
        <v>8</v>
      </c>
      <c r="FM7" s="1">
        <v>0</v>
      </c>
      <c r="FN7" s="1">
        <v>0</v>
      </c>
      <c r="FO7" s="1">
        <v>53.3</v>
      </c>
      <c r="FP7" s="1" t="s">
        <v>190</v>
      </c>
      <c r="FQ7" s="1">
        <v>25</v>
      </c>
      <c r="FR7" s="1" t="s">
        <v>195</v>
      </c>
      <c r="FS7" s="1">
        <v>7</v>
      </c>
      <c r="FT7" s="1">
        <v>2392.7600000000002</v>
      </c>
      <c r="FU7" s="1">
        <v>183</v>
      </c>
      <c r="FV7" s="1">
        <v>60</v>
      </c>
      <c r="FW7" s="1">
        <v>80</v>
      </c>
      <c r="FX7" s="1">
        <v>2</v>
      </c>
      <c r="FY7" s="1">
        <v>5</v>
      </c>
      <c r="FZ7" s="1">
        <v>296702.24</v>
      </c>
      <c r="GA7" s="1">
        <v>3685656.6</v>
      </c>
      <c r="GB7" s="1">
        <v>2759303.5970000001</v>
      </c>
      <c r="GC7" s="1">
        <v>2500000</v>
      </c>
      <c r="GD7" s="1"/>
      <c r="GE7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0.39600000000000002</v>
      </c>
      <c r="GF7" s="1">
        <v>9.2416624370000005</v>
      </c>
      <c r="GG7" s="1">
        <v>0</v>
      </c>
      <c r="GH7" s="1">
        <v>0</v>
      </c>
      <c r="GI7" s="1">
        <v>0</v>
      </c>
      <c r="GJ7" s="1">
        <v>0</v>
      </c>
      <c r="GK7" s="1">
        <v>8</v>
      </c>
      <c r="GL7" s="1">
        <v>4107.4055275555556</v>
      </c>
      <c r="GM7" s="1">
        <v>2310.4156092499998</v>
      </c>
      <c r="GN7" s="1">
        <v>1478.6659899200001</v>
      </c>
      <c r="GO7" s="1">
        <v>1026.8513818888889</v>
      </c>
      <c r="GP7" s="1">
        <v>754.42142342857153</v>
      </c>
      <c r="GQ7" s="1">
        <v>577.60390231249994</v>
      </c>
      <c r="GR7" s="1">
        <v>456.37839195061724</v>
      </c>
      <c r="GS7" s="1">
        <v>0</v>
      </c>
      <c r="GT7" s="1">
        <v>0</v>
      </c>
      <c r="GU7" s="1">
        <v>0</v>
      </c>
      <c r="GV7" s="1">
        <v>0.01</v>
      </c>
      <c r="GW7" s="1">
        <v>5.0000000000000001E-3</v>
      </c>
      <c r="GX7" s="1">
        <v>1.1000000000000001E-3</v>
      </c>
      <c r="GY7" s="1">
        <v>4.0000000000000002E-4</v>
      </c>
      <c r="GZ7" s="1">
        <v>6.9999999999999994E-5</v>
      </c>
      <c r="HA7" s="1">
        <v>1.8E-5</v>
      </c>
      <c r="HB7" s="1">
        <v>1.8E-5</v>
      </c>
      <c r="HC7" s="1">
        <v>3.9999999999999998E-7</v>
      </c>
      <c r="HD7" s="1">
        <v>2.4999999999999999E-7</v>
      </c>
      <c r="HE7" s="1">
        <v>1</v>
      </c>
      <c r="HF7" s="1">
        <v>0.01</v>
      </c>
      <c r="HG7" s="1">
        <v>1.25E-3</v>
      </c>
      <c r="HH7" s="1">
        <v>2.7500000000000002E-4</v>
      </c>
      <c r="HI7" s="1">
        <v>1E-4</v>
      </c>
      <c r="HJ7" s="1">
        <v>1.7499999999999998E-5</v>
      </c>
      <c r="HK7" s="1">
        <v>4.5000000000000001E-6</v>
      </c>
      <c r="HL7" s="1">
        <v>4.5000000000000001E-6</v>
      </c>
      <c r="HM7" s="1">
        <v>9.9999999999999995E-8</v>
      </c>
      <c r="HN7" s="1">
        <v>0.01</v>
      </c>
      <c r="HO7" s="1">
        <v>8.3333333333333339E-4</v>
      </c>
      <c r="HP7" s="1">
        <v>1.8333333333333334E-4</v>
      </c>
      <c r="HQ7" s="1">
        <v>6.666666666666667E-5</v>
      </c>
      <c r="HR7" s="1">
        <v>1.1666666666666666E-5</v>
      </c>
      <c r="HS7" s="1">
        <v>3.0000000000000001E-6</v>
      </c>
      <c r="HT7" s="1">
        <v>3.0000000000000001E-6</v>
      </c>
      <c r="HU7" s="1">
        <v>6.6666666666666668E-8</v>
      </c>
      <c r="HV7" s="1">
        <v>4.1666666666666663E-8</v>
      </c>
      <c r="HW7" s="1">
        <v>0.01</v>
      </c>
      <c r="HX7" s="1">
        <v>5.0000000000000001E-4</v>
      </c>
      <c r="HY7" s="1">
        <v>1.1E-4</v>
      </c>
      <c r="HZ7" s="1">
        <v>4.0000000000000003E-5</v>
      </c>
      <c r="IA7" s="1">
        <v>6.999999999999999E-6</v>
      </c>
      <c r="IB7" s="1">
        <v>1.8000000000000001E-6</v>
      </c>
      <c r="IC7" s="1">
        <v>1.8000000000000001E-6</v>
      </c>
      <c r="ID7" s="1">
        <v>4.0000000000000001E-8</v>
      </c>
      <c r="IE7" s="1">
        <v>2.4999999999999999E-8</v>
      </c>
      <c r="IF7" s="1">
        <f>Table1567[[#This Row],[Total_Cost_MUSD]]*Table1567[[#This Row],[prob500-failure_rating1]]/500</f>
        <v>1.8483324874E-4</v>
      </c>
      <c r="IG7" s="1">
        <f>Table1567[[#This Row],[Total_Cost_MUSD]]*Table1567[[#This Row],[prob500-failure_rating2]]/500</f>
        <v>9.2416624370000001E-5</v>
      </c>
      <c r="IH7" s="1">
        <f>Table1567[[#This Row],[Total_Cost_MUSD]]*Table1567[[#This Row],[prob500-failure_rating3]]/500</f>
        <v>2.0331657361400003E-5</v>
      </c>
      <c r="II7" s="1">
        <f>Table1567[[#This Row],[Total_Cost_MUSD]]*Table1567[[#This Row],[prob500-failure_rating4]]/500</f>
        <v>7.393329949600001E-6</v>
      </c>
      <c r="IJ7" s="1">
        <f>Table1567[[#This Row],[Total_Cost_MUSD]]*Table1567[[#This Row],[prob500-failure_rating5]]/500</f>
        <v>1.2938327411799999E-6</v>
      </c>
      <c r="IK7" s="1">
        <f>Table1567[[#This Row],[Total_Cost_MUSD]]*Table1567[[#This Row],[prob500-failure_rating6]]/500</f>
        <v>3.3269984773200003E-7</v>
      </c>
      <c r="IL7" s="1">
        <f>Table1567[[#This Row],[Total_Cost_MUSD]]*Table1567[[#This Row],[prob500-failure_rating7]]/500</f>
        <v>3.3269984773200003E-7</v>
      </c>
      <c r="IM7" s="1">
        <f>Table1567[[#This Row],[Total_Cost_MUSD]]*Table1567[[#This Row],[prob500-failure_rating8]]/500</f>
        <v>7.3933299496E-9</v>
      </c>
      <c r="IN7" s="1">
        <f>Table1567[[#This Row],[Total_Cost_MUSD]]*Table1567[[#This Row],[prob500-failure_rating9]]/500</f>
        <v>4.6208312185000007E-9</v>
      </c>
      <c r="IO7" s="1">
        <f>Table1567[[#This Row],[Total_Cost_MUSD]]*Table1567[[#This Row],[prob100-failure_rating1]]/100</f>
        <v>9.2416624370000006E-2</v>
      </c>
      <c r="IP7" s="1">
        <f>Table1567[[#This Row],[Total_Cost_MUSD]]*Table1567[[#This Row],[prob100-failure_rating2]]/100</f>
        <v>9.241662437000001E-4</v>
      </c>
      <c r="IQ7" s="1">
        <f>Table1567[[#This Row],[Total_Cost_MUSD]]*Table1567[[#This Row],[prob100-failure_rating3]]/100</f>
        <v>1.1552078046250001E-4</v>
      </c>
      <c r="IR7" s="1">
        <f>Table1567[[#This Row],[Total_Cost_MUSD]]*Table1567[[#This Row],[prob100-failure_rating4]]/100</f>
        <v>2.5414571701750005E-5</v>
      </c>
      <c r="IS7" s="1">
        <f>Table1567[[#This Row],[Total_Cost_MUSD]]*Table1567[[#This Row],[prob100-failure_rating5]]/100</f>
        <v>9.2416624370000008E-6</v>
      </c>
      <c r="IT7" s="1">
        <f>Table1567[[#This Row],[Total_Cost_MUSD]]*Table1567[[#This Row],[prob100-failure_rating6]]/100</f>
        <v>1.6172909264749998E-6</v>
      </c>
      <c r="IU7" s="1">
        <f>Table1567[[#This Row],[Total_Cost_MUSD]]*Table1567[[#This Row],[prob100-failure_rating7]]/100</f>
        <v>4.1587480966500007E-7</v>
      </c>
      <c r="IV7" s="1">
        <f>Table1567[[#This Row],[Total_Cost_MUSD]]*Table1567[[#This Row],[prob100-failure_rating8]]/100</f>
        <v>4.1587480966500007E-7</v>
      </c>
      <c r="IW7" s="1">
        <f>Table1567[[#This Row],[Total_Cost_MUSD]]*Table1567[[#This Row],[prob100-failure_rating9]]/100</f>
        <v>9.2416624369999998E-9</v>
      </c>
      <c r="IX7" s="1">
        <f>Table1567[[#This Row],[Total_Cost_MUSD]]*Table1567[[#This Row],[prob50-failure_rating1]]/50</f>
        <v>1.8483324874000002E-3</v>
      </c>
      <c r="IY7" s="1">
        <f>Table1567[[#This Row],[Total_Cost_MUSD]]*Table1567[[#This Row],[prob50-failure_rating2]]/50</f>
        <v>1.5402770728333335E-4</v>
      </c>
      <c r="IZ7" s="1">
        <f>Table1567[[#This Row],[Total_Cost_MUSD]]*Table1567[[#This Row],[prob50-failure_rating3]]/50</f>
        <v>3.3886095602333335E-5</v>
      </c>
      <c r="JA7" s="1">
        <f>Table1567[[#This Row],[Total_Cost_MUSD]]*Table1567[[#This Row],[prob50-failure_rating4]]/50</f>
        <v>1.2322216582666667E-5</v>
      </c>
      <c r="JB7" s="1">
        <f>Table1567[[#This Row],[Total_Cost_MUSD]]*Table1567[[#This Row],[prob50-failure_rating5]]/50</f>
        <v>2.1563879019666665E-6</v>
      </c>
      <c r="JC7" s="1">
        <f>Table1567[[#This Row],[Total_Cost_MUSD]]*Table1567[[#This Row],[prob50-failure_rating6]]/50</f>
        <v>5.5449974622000005E-7</v>
      </c>
      <c r="JD7" s="1">
        <f>Table1567[[#This Row],[Total_Cost_MUSD]]*Table1567[[#This Row],[prob50-failure_rating7]]/50</f>
        <v>5.5449974622000005E-7</v>
      </c>
      <c r="JE7" s="1">
        <f>Table1567[[#This Row],[Total_Cost_MUSD]]*Table1567[[#This Row],[prob50-failure_rating8]]/50</f>
        <v>1.2322216582666667E-8</v>
      </c>
      <c r="JF7" s="1">
        <f>Table1567[[#This Row],[Total_Cost_MUSD]]*Table1567[[#This Row],[prob50-failure_rating9]]/50</f>
        <v>7.7013853641666659E-9</v>
      </c>
      <c r="JG7" s="1">
        <f>Table1567[[#This Row],[Total_Cost_MUSD]]*Table1567[[#This Row],[prob10-failure_rating1]]/10</f>
        <v>9.2416624369999999E-3</v>
      </c>
      <c r="JH7" s="1">
        <f>Table1567[[#This Row],[Total_Cost_MUSD]]*Table1567[[#This Row],[prob10-failure_rating2]]/10</f>
        <v>4.6208312184999999E-4</v>
      </c>
      <c r="JI7" s="1">
        <f>Table1567[[#This Row],[Total_Cost_MUSD]]*Table1567[[#This Row],[prob10-failure_rating3]]/10</f>
        <v>1.0165828680700001E-4</v>
      </c>
      <c r="JJ7" s="1">
        <f>Table1567[[#This Row],[Total_Cost_MUSD]]*Table1567[[#This Row],[prob10-failure_rating4]]/10</f>
        <v>3.6966649748000003E-5</v>
      </c>
      <c r="JK7" s="1">
        <f>Table1567[[#This Row],[Total_Cost_MUSD]]*Table1567[[#This Row],[prob10-failure_rating5]]/10</f>
        <v>6.4691637058999985E-6</v>
      </c>
      <c r="JL7" s="1">
        <f>Table1567[[#This Row],[Total_Cost_MUSD]]*Table1567[[#This Row],[prob10-failure_rating6]]/10</f>
        <v>1.6634992386600003E-6</v>
      </c>
      <c r="JM7" s="1">
        <f>Table1567[[#This Row],[Total_Cost_MUSD]]*Table1567[[#This Row],[prob10-failure_rating7]]/10</f>
        <v>1.6634992386600003E-6</v>
      </c>
      <c r="JN7" s="1">
        <f>Table1567[[#This Row],[Total_Cost_MUSD]]*Table1567[[#This Row],[prob10-failure_rating8]]/10</f>
        <v>3.6966649747999999E-8</v>
      </c>
      <c r="JO7" s="1">
        <f>Table1567[[#This Row],[Total_Cost_MUSD]]*Table1567[[#This Row],[prob10-failure_rating9]]/10</f>
        <v>2.3104156092500001E-8</v>
      </c>
      <c r="JP7" s="1">
        <f>Table1567[[#This Row],[FailureCost_Rating1]]</f>
        <v>1632.6936972033334</v>
      </c>
      <c r="JQ7" s="1">
        <f>Table1567[[#This Row],[FailureCost_Rating2]]</f>
        <v>1632.6936972033334</v>
      </c>
      <c r="JR7" s="1">
        <f>(Table1567[[#This Row],[failurecost500_rating2]]+Table1567[[#This Row],[failurecost100_rating2]]+Table1567[[#This Row],[failurecost50_rating2]]+Table1567[[#This Row],[failurecost10_rating2]])*1000000</f>
        <v>1632.6936972033334</v>
      </c>
      <c r="JS7" s="1">
        <f>(Table1567[[#This Row],[failurecost500_rating3]]+Table1567[[#This Row],[failurecost100_rating3]]+Table1567[[#This Row],[failurecost50_rating3]]+Table1567[[#This Row],[failurecost10_rating3]])*1000000</f>
        <v>271.39682023323337</v>
      </c>
      <c r="JT7" s="1">
        <f>(Table1567[[#This Row],[failurecost500_rating4]]+Table1567[[#This Row],[failurecost100_rating4]]+Table1567[[#This Row],[failurecost50_rating4]]+Table1567[[#This Row],[failurecost10_rating4]])*1000000</f>
        <v>82.096767982016672</v>
      </c>
      <c r="JU7" s="1">
        <f>(Table1567[[#This Row],[failurecost500_rating5]]+Table1567[[#This Row],[failurecost100_rating5]]+Table1567[[#This Row],[failurecost50_rating5]]+Table1567[[#This Row],[failurecost10_rating5]])*1000000</f>
        <v>19.161046786046665</v>
      </c>
      <c r="JV7" s="1">
        <f>(Table1567[[#This Row],[failurecost500_rating6]]+Table1567[[#This Row],[failurecost100_rating6]]+Table1567[[#This Row],[failurecost50_rating6]]+Table1567[[#This Row],[failurecost10_rating6]])*1000000</f>
        <v>4.1679897590869999</v>
      </c>
      <c r="JW7" s="1">
        <f>(Table1567[[#This Row],[failurecost500_rating7]]+Table1567[[#This Row],[failurecost100_rating7]]+Table1567[[#This Row],[failurecost50_rating7]]+Table1567[[#This Row],[failurecost10_rating7]])*1000000</f>
        <v>2.9665736422770004</v>
      </c>
      <c r="JX7" s="1">
        <f>(Table1567[[#This Row],[failurecost500_rating8]]+Table1567[[#This Row],[failurecost100_rating8]]+Table1567[[#This Row],[failurecost50_rating8]]+Table1567[[#This Row],[failurecost10_rating8]])*1000000</f>
        <v>0.47255700594526667</v>
      </c>
      <c r="JY7" s="1">
        <f>(Table1567[[#This Row],[failurecost500_rating9]]+Table1567[[#This Row],[failurecost100_rating9]]+Table1567[[#This Row],[failurecost50_rating9]]+Table1567[[#This Row],[failurecost10_rating9]])*1000000</f>
        <v>4.4668035112166667E-2</v>
      </c>
    </row>
    <row r="8" spans="1:285" ht="28.8" x14ac:dyDescent="0.3">
      <c r="A8" s="1">
        <v>7</v>
      </c>
      <c r="B8" s="1" t="s">
        <v>235</v>
      </c>
      <c r="C8" s="1" t="s">
        <v>236</v>
      </c>
      <c r="D8" s="1">
        <v>42.38693</v>
      </c>
      <c r="E8" s="1">
        <v>-71.0458</v>
      </c>
      <c r="F8" s="1">
        <v>7.6424689289999996</v>
      </c>
      <c r="G8" s="1">
        <v>5.3424692150000004</v>
      </c>
      <c r="H8" s="1">
        <v>8.7424697879999993</v>
      </c>
      <c r="I8" s="1">
        <v>10.94246864</v>
      </c>
      <c r="J8" s="1">
        <v>8655.8468859999994</v>
      </c>
      <c r="K8" s="1">
        <v>3168.8216480000001</v>
      </c>
      <c r="L8" s="1">
        <v>8144.8801659999999</v>
      </c>
      <c r="M8" s="1">
        <v>3569.0364979999999</v>
      </c>
      <c r="N8" s="1">
        <v>8144.8801659999999</v>
      </c>
      <c r="O8" s="1">
        <v>3569.0364979999999</v>
      </c>
      <c r="P8" s="1">
        <v>8144.8801659999999</v>
      </c>
      <c r="Q8" s="1">
        <v>3569.0364979999999</v>
      </c>
      <c r="R8" s="1">
        <v>8144.8801659999999</v>
      </c>
      <c r="S8" s="1">
        <v>3569.0364979999999</v>
      </c>
      <c r="T8" s="1">
        <v>2.731566446</v>
      </c>
      <c r="U8" s="1">
        <v>2.2820949490000002</v>
      </c>
      <c r="V8" s="1">
        <v>2.2820949490000002</v>
      </c>
      <c r="W8" s="1">
        <v>2.2820949490000002</v>
      </c>
      <c r="X8" s="1">
        <v>2.2820949490000002</v>
      </c>
      <c r="Y8" s="1">
        <v>0.152272727</v>
      </c>
      <c r="Z8" s="1">
        <v>85.333333330000002</v>
      </c>
      <c r="AA8" s="1">
        <v>13.52789422</v>
      </c>
      <c r="AB8" s="1">
        <v>13.52789422</v>
      </c>
      <c r="AC8" s="1">
        <v>13.52789422</v>
      </c>
      <c r="AD8" s="1">
        <v>13.52789422</v>
      </c>
      <c r="AE8" s="1">
        <v>1.8686358679999999</v>
      </c>
      <c r="AF8" s="1">
        <v>1.5623518789999999</v>
      </c>
      <c r="AG8" s="1">
        <v>1.4607591820000001</v>
      </c>
      <c r="AH8" s="1">
        <v>1.3056838719999999</v>
      </c>
      <c r="AI8" s="1">
        <v>21.365837580000001</v>
      </c>
      <c r="AJ8" s="1">
        <v>22.423907639999999</v>
      </c>
      <c r="AK8" s="1">
        <v>22.834702499999999</v>
      </c>
      <c r="AL8" s="1">
        <v>23.537228079999998</v>
      </c>
      <c r="AM8" s="1">
        <v>580.43370000000004</v>
      </c>
      <c r="AN8" s="1">
        <v>671.00651879999998</v>
      </c>
      <c r="AO8" s="1">
        <v>708.56374159999996</v>
      </c>
      <c r="AP8" s="1">
        <v>775.99477850000005</v>
      </c>
      <c r="AQ8" s="1">
        <f>Table1567[[#This Row],[Depth10_Soil_vol]]*(9.353+9.027)+(Table1567[[#This Row],[Depth10_Soil_vol]]/2.5)*20*1.053+(PI()*Table1567[[#This Row],[Depth10_Scour]])*Table1567[[#This Row],[DECK_WIDTH_MT_052]]*1.062</f>
        <v>16463.256386162553</v>
      </c>
      <c r="AR8" s="1">
        <f>Table1567[[#This Row],[Depth50_Soil_vol]]*(9.353+9.027)+(Table1567[[#This Row],[Depth50_Soil_vol]]/2.5)*20*1.053+(PI()*Table1567[[#This Row],[Depth50_Scour]])*Table1567[[#This Row],[DECK_WIDTH_MT_052]]*1.062</f>
        <v>18935.802677782114</v>
      </c>
      <c r="AS8" s="1">
        <f>Table1567[[#This Row],[Depth100_Soil_vol]]*(9.353+9.027)+(Table1567[[#This Row],[Depth100_Soil_vol]]/2.5)*20*1.053+(PI()*Table1567[[#This Row],[Depth100_Scour]])*Table1567[[#This Row],[DECK_WIDTH_MT_052]]*1.062</f>
        <v>19959.892643325038</v>
      </c>
      <c r="AT8" s="1">
        <f>Table1567[[#This Row],[Depth500_Soil_vol]]*(9.353+9.027)+(Table1567[[#This Row],[Depth500_Soil_vol]]/2.5)*20*1.053+(PI()*Table1567[[#This Row],[Depth500_Scour]])*Table1567[[#This Row],[DECK_WIDTH_MT_052]]*1.062</f>
        <v>21797.081511787379</v>
      </c>
      <c r="AU8" s="1">
        <v>8.86</v>
      </c>
      <c r="AV8" s="1">
        <v>23.88</v>
      </c>
      <c r="AW8" s="1" t="s">
        <v>184</v>
      </c>
      <c r="AX8" s="1">
        <v>5</v>
      </c>
      <c r="AY8" s="1">
        <v>5</v>
      </c>
      <c r="AZ8" s="1">
        <v>5</v>
      </c>
      <c r="BA8" s="1">
        <v>5</v>
      </c>
      <c r="BB8" s="1">
        <v>25</v>
      </c>
      <c r="BC8" s="1" t="s">
        <v>237</v>
      </c>
      <c r="BD8" s="1">
        <v>42230637</v>
      </c>
      <c r="BE8" s="1">
        <v>71025023</v>
      </c>
      <c r="BF8" s="1">
        <v>1</v>
      </c>
      <c r="BG8" s="1">
        <v>2</v>
      </c>
      <c r="BH8" s="1">
        <v>1</v>
      </c>
      <c r="BI8" s="1">
        <v>1</v>
      </c>
      <c r="BJ8" s="1">
        <v>3</v>
      </c>
      <c r="BK8" s="1">
        <v>6</v>
      </c>
      <c r="BL8" s="1">
        <v>25</v>
      </c>
      <c r="BM8" s="1">
        <v>7000</v>
      </c>
      <c r="BN8" s="1" t="s">
        <v>238</v>
      </c>
      <c r="BO8" s="1">
        <v>0</v>
      </c>
      <c r="BP8" s="1" t="s">
        <v>239</v>
      </c>
      <c r="BQ8" s="1" t="s">
        <v>240</v>
      </c>
      <c r="BR8" s="1">
        <v>4.57</v>
      </c>
      <c r="BS8" s="1">
        <v>67.269000000000005</v>
      </c>
      <c r="BT8" s="1">
        <v>1</v>
      </c>
      <c r="BU8" s="1">
        <v>0</v>
      </c>
      <c r="BV8" s="1">
        <v>0</v>
      </c>
      <c r="BW8" s="1">
        <v>8</v>
      </c>
      <c r="BX8" s="1">
        <v>1</v>
      </c>
      <c r="BY8" s="1">
        <v>1</v>
      </c>
      <c r="BZ8" s="1">
        <v>1</v>
      </c>
      <c r="CA8" s="1">
        <v>12</v>
      </c>
      <c r="CB8" s="1">
        <v>1950</v>
      </c>
      <c r="CC8" s="1">
        <v>3</v>
      </c>
      <c r="CD8" s="1">
        <v>3</v>
      </c>
      <c r="CE8" s="1">
        <v>33500</v>
      </c>
      <c r="CF8" s="1">
        <v>2016</v>
      </c>
      <c r="CG8" s="1">
        <v>5</v>
      </c>
      <c r="CH8" s="1">
        <v>11</v>
      </c>
      <c r="CI8" s="1">
        <v>0</v>
      </c>
      <c r="CJ8" s="1">
        <v>0</v>
      </c>
      <c r="CK8" s="1">
        <v>0</v>
      </c>
      <c r="CL8" s="1">
        <v>0</v>
      </c>
      <c r="CM8" s="1" t="s">
        <v>190</v>
      </c>
      <c r="CN8" s="1" t="s">
        <v>190</v>
      </c>
      <c r="CO8" s="1" t="s">
        <v>190</v>
      </c>
      <c r="CP8" s="1">
        <v>3</v>
      </c>
      <c r="CQ8" s="1" t="s">
        <v>190</v>
      </c>
      <c r="CR8" s="1">
        <v>0</v>
      </c>
      <c r="CS8" s="1">
        <v>0</v>
      </c>
      <c r="CT8" s="1" t="s">
        <v>189</v>
      </c>
      <c r="CU8" s="1">
        <v>1</v>
      </c>
      <c r="CV8" s="1">
        <v>1</v>
      </c>
      <c r="CW8" s="1">
        <v>4</v>
      </c>
      <c r="CX8" s="1">
        <v>10</v>
      </c>
      <c r="CY8" s="1">
        <v>0</v>
      </c>
      <c r="CZ8" s="1">
        <v>0</v>
      </c>
      <c r="DA8" s="1">
        <v>3</v>
      </c>
      <c r="DB8" s="1">
        <v>0</v>
      </c>
      <c r="DC8" s="1">
        <v>11</v>
      </c>
      <c r="DD8" s="1">
        <v>244.1</v>
      </c>
      <c r="DE8" s="1">
        <v>464.5</v>
      </c>
      <c r="DF8" s="1">
        <v>0.7</v>
      </c>
      <c r="DG8" s="1">
        <v>0.7</v>
      </c>
      <c r="DH8" s="1">
        <v>11</v>
      </c>
      <c r="DI8" s="1">
        <v>12.7</v>
      </c>
      <c r="DJ8" s="1">
        <v>4.87</v>
      </c>
      <c r="DK8" s="1" t="s">
        <v>204</v>
      </c>
      <c r="DL8" s="1">
        <v>5.13</v>
      </c>
      <c r="DM8" s="1" t="s">
        <v>204</v>
      </c>
      <c r="DN8" s="1">
        <v>5.5</v>
      </c>
      <c r="DO8" s="1">
        <v>5.5</v>
      </c>
      <c r="DP8" s="1">
        <v>6</v>
      </c>
      <c r="DQ8" s="1">
        <v>5</v>
      </c>
      <c r="DR8" s="1">
        <v>5</v>
      </c>
      <c r="DS8" s="1">
        <v>7</v>
      </c>
      <c r="DT8" s="1" t="s">
        <v>190</v>
      </c>
      <c r="DU8" s="1">
        <v>2</v>
      </c>
      <c r="DV8" s="1">
        <v>44.1</v>
      </c>
      <c r="DW8" s="1">
        <v>2</v>
      </c>
      <c r="DX8" s="1">
        <v>28.8</v>
      </c>
      <c r="DY8" s="1">
        <v>5</v>
      </c>
      <c r="DZ8" s="1">
        <v>2</v>
      </c>
      <c r="EA8" s="1">
        <v>6</v>
      </c>
      <c r="EB8" s="1">
        <v>5</v>
      </c>
      <c r="EC8" s="1" t="s">
        <v>190</v>
      </c>
      <c r="ED8" s="1">
        <v>7</v>
      </c>
      <c r="EE8" s="1">
        <v>35</v>
      </c>
      <c r="EF8" s="1">
        <v>1</v>
      </c>
      <c r="EG8" s="1">
        <v>465</v>
      </c>
      <c r="EH8" s="1">
        <v>1119</v>
      </c>
      <c r="EI8" s="1">
        <v>24</v>
      </c>
      <c r="EJ8" s="1" t="s">
        <v>214</v>
      </c>
      <c r="EK8" s="1" t="s">
        <v>192</v>
      </c>
      <c r="EL8" s="1" t="s">
        <v>191</v>
      </c>
      <c r="EM8" s="1">
        <v>1119</v>
      </c>
      <c r="EN8" s="1">
        <v>517</v>
      </c>
      <c r="EO8" s="1">
        <v>0</v>
      </c>
      <c r="EP8" s="1">
        <v>26144</v>
      </c>
      <c r="EQ8" s="1">
        <v>2615</v>
      </c>
      <c r="ER8" s="1">
        <v>39217</v>
      </c>
      <c r="ES8" s="1">
        <v>2020</v>
      </c>
      <c r="ET8" s="1">
        <v>0</v>
      </c>
      <c r="EU8" s="1">
        <v>0</v>
      </c>
      <c r="EV8" s="1" t="s">
        <v>193</v>
      </c>
      <c r="EW8" s="1">
        <v>0</v>
      </c>
      <c r="EX8" s="1" t="s">
        <v>241</v>
      </c>
      <c r="EY8" s="1">
        <v>1</v>
      </c>
      <c r="EZ8" s="1">
        <v>0</v>
      </c>
      <c r="FA8" s="1">
        <v>1</v>
      </c>
      <c r="FB8" s="1">
        <v>0</v>
      </c>
      <c r="FC8" s="1">
        <v>0</v>
      </c>
      <c r="FD8" s="1">
        <v>4</v>
      </c>
      <c r="FE8" s="1">
        <v>6</v>
      </c>
      <c r="FF8" s="1">
        <v>0</v>
      </c>
      <c r="FG8" s="1">
        <v>0</v>
      </c>
      <c r="FH8" s="1">
        <v>9</v>
      </c>
      <c r="FI8" s="1">
        <v>0</v>
      </c>
      <c r="FJ8" s="1">
        <v>0</v>
      </c>
      <c r="FK8" s="1" t="s">
        <v>194</v>
      </c>
      <c r="FL8" s="1" t="s">
        <v>190</v>
      </c>
      <c r="FM8" s="1">
        <v>45800</v>
      </c>
      <c r="FN8" s="1">
        <v>2032</v>
      </c>
      <c r="FO8" s="1">
        <v>0</v>
      </c>
      <c r="FP8" s="1" t="s">
        <v>190</v>
      </c>
      <c r="FQ8" s="1">
        <v>25</v>
      </c>
      <c r="FR8" s="1" t="s">
        <v>206</v>
      </c>
      <c r="FS8" s="1">
        <v>5</v>
      </c>
      <c r="FT8" s="1">
        <v>5899.15</v>
      </c>
      <c r="FU8" s="1">
        <v>183</v>
      </c>
      <c r="FV8" s="1">
        <v>80</v>
      </c>
      <c r="FW8" s="1">
        <v>80</v>
      </c>
      <c r="FX8" s="1">
        <v>2</v>
      </c>
      <c r="FY8" s="1">
        <v>5</v>
      </c>
      <c r="FZ8" s="1">
        <v>943864</v>
      </c>
      <c r="GA8" s="1">
        <v>25821666</v>
      </c>
      <c r="GB8" s="1">
        <v>18669541.469999999</v>
      </c>
      <c r="GC8" s="1">
        <v>2500000</v>
      </c>
      <c r="GD8" s="1"/>
      <c r="GE8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0.52800000000000002</v>
      </c>
      <c r="GF8" s="1">
        <v>47.935071469999997</v>
      </c>
      <c r="GG8" s="1">
        <v>0</v>
      </c>
      <c r="GH8" s="1">
        <v>0</v>
      </c>
      <c r="GI8" s="1">
        <v>0</v>
      </c>
      <c r="GJ8" s="1">
        <v>0</v>
      </c>
      <c r="GK8" s="1">
        <v>9</v>
      </c>
      <c r="GL8" s="1">
        <v>21304.476208888886</v>
      </c>
      <c r="GM8" s="1">
        <v>11983.767867500001</v>
      </c>
      <c r="GN8" s="1">
        <v>7669.6114351999995</v>
      </c>
      <c r="GO8" s="1">
        <v>5326.1190522222214</v>
      </c>
      <c r="GP8" s="1">
        <v>3913.0670587755098</v>
      </c>
      <c r="GQ8" s="1">
        <v>2995.9419668750002</v>
      </c>
      <c r="GR8" s="1">
        <v>2367.1640232098766</v>
      </c>
      <c r="GS8" s="1">
        <v>0</v>
      </c>
      <c r="GT8" s="1">
        <v>0</v>
      </c>
      <c r="GU8" s="1">
        <v>0</v>
      </c>
      <c r="GV8" s="1">
        <v>0.01</v>
      </c>
      <c r="GW8" s="1">
        <v>5.0000000000000001E-3</v>
      </c>
      <c r="GX8" s="1">
        <v>1.1000000000000001E-3</v>
      </c>
      <c r="GY8" s="1">
        <v>4.0000000000000002E-4</v>
      </c>
      <c r="GZ8" s="1">
        <v>6.9999999999999994E-5</v>
      </c>
      <c r="HA8" s="1">
        <v>1.8E-5</v>
      </c>
      <c r="HB8" s="1">
        <v>1.8E-5</v>
      </c>
      <c r="HC8" s="1">
        <v>3.9999999999999998E-7</v>
      </c>
      <c r="HD8" s="1">
        <v>2.4999999999999999E-7</v>
      </c>
      <c r="HE8" s="1">
        <v>1</v>
      </c>
      <c r="HF8" s="1">
        <v>0.01</v>
      </c>
      <c r="HG8" s="1">
        <v>1.25E-3</v>
      </c>
      <c r="HH8" s="1">
        <v>2.7500000000000002E-4</v>
      </c>
      <c r="HI8" s="1">
        <v>1E-4</v>
      </c>
      <c r="HJ8" s="1">
        <v>1.7499999999999998E-5</v>
      </c>
      <c r="HK8" s="1">
        <v>4.5000000000000001E-6</v>
      </c>
      <c r="HL8" s="1">
        <v>4.5000000000000001E-6</v>
      </c>
      <c r="HM8" s="1">
        <v>9.9999999999999995E-8</v>
      </c>
      <c r="HN8" s="1">
        <v>0.01</v>
      </c>
      <c r="HO8" s="1">
        <v>8.3333333333333339E-4</v>
      </c>
      <c r="HP8" s="1">
        <v>1.8333333333333334E-4</v>
      </c>
      <c r="HQ8" s="1">
        <v>6.666666666666667E-5</v>
      </c>
      <c r="HR8" s="1">
        <v>1.1666666666666666E-5</v>
      </c>
      <c r="HS8" s="1">
        <v>3.0000000000000001E-6</v>
      </c>
      <c r="HT8" s="1">
        <v>3.0000000000000001E-6</v>
      </c>
      <c r="HU8" s="1">
        <v>6.6666666666666668E-8</v>
      </c>
      <c r="HV8" s="1">
        <v>4.1666666666666663E-8</v>
      </c>
      <c r="HW8" s="1">
        <v>0.01</v>
      </c>
      <c r="HX8" s="1">
        <v>5.0000000000000001E-4</v>
      </c>
      <c r="HY8" s="1">
        <v>1.1E-4</v>
      </c>
      <c r="HZ8" s="1">
        <v>4.0000000000000003E-5</v>
      </c>
      <c r="IA8" s="1">
        <v>6.999999999999999E-6</v>
      </c>
      <c r="IB8" s="1">
        <v>1.8000000000000001E-6</v>
      </c>
      <c r="IC8" s="1">
        <v>1.8000000000000001E-6</v>
      </c>
      <c r="ID8" s="1">
        <v>4.0000000000000001E-8</v>
      </c>
      <c r="IE8" s="1">
        <v>2.4999999999999999E-8</v>
      </c>
      <c r="IF8" s="1">
        <f>Table1567[[#This Row],[Total_Cost_MUSD]]*Table1567[[#This Row],[prob500-failure_rating1]]/500</f>
        <v>9.5870142939999989E-4</v>
      </c>
      <c r="IG8" s="1">
        <f>Table1567[[#This Row],[Total_Cost_MUSD]]*Table1567[[#This Row],[prob500-failure_rating2]]/500</f>
        <v>4.7935071469999994E-4</v>
      </c>
      <c r="IH8" s="1">
        <f>Table1567[[#This Row],[Total_Cost_MUSD]]*Table1567[[#This Row],[prob500-failure_rating3]]/500</f>
        <v>1.0545715723399999E-4</v>
      </c>
      <c r="II8" s="1">
        <f>Table1567[[#This Row],[Total_Cost_MUSD]]*Table1567[[#This Row],[prob500-failure_rating4]]/500</f>
        <v>3.8348057175999998E-5</v>
      </c>
      <c r="IJ8" s="1">
        <f>Table1567[[#This Row],[Total_Cost_MUSD]]*Table1567[[#This Row],[prob500-failure_rating5]]/500</f>
        <v>6.7109100057999991E-6</v>
      </c>
      <c r="IK8" s="1">
        <f>Table1567[[#This Row],[Total_Cost_MUSD]]*Table1567[[#This Row],[prob500-failure_rating6]]/500</f>
        <v>1.7256625729199998E-6</v>
      </c>
      <c r="IL8" s="1">
        <f>Table1567[[#This Row],[Total_Cost_MUSD]]*Table1567[[#This Row],[prob500-failure_rating7]]/500</f>
        <v>1.7256625729199998E-6</v>
      </c>
      <c r="IM8" s="1">
        <f>Table1567[[#This Row],[Total_Cost_MUSD]]*Table1567[[#This Row],[prob500-failure_rating8]]/500</f>
        <v>3.8348057175999995E-8</v>
      </c>
      <c r="IN8" s="1">
        <f>Table1567[[#This Row],[Total_Cost_MUSD]]*Table1567[[#This Row],[prob500-failure_rating9]]/500</f>
        <v>2.3967535734999999E-8</v>
      </c>
      <c r="IO8" s="1">
        <f>Table1567[[#This Row],[Total_Cost_MUSD]]*Table1567[[#This Row],[prob100-failure_rating1]]/100</f>
        <v>0.47935071469999996</v>
      </c>
      <c r="IP8" s="1">
        <f>Table1567[[#This Row],[Total_Cost_MUSD]]*Table1567[[#This Row],[prob100-failure_rating2]]/100</f>
        <v>4.7935071469999996E-3</v>
      </c>
      <c r="IQ8" s="1">
        <f>Table1567[[#This Row],[Total_Cost_MUSD]]*Table1567[[#This Row],[prob100-failure_rating3]]/100</f>
        <v>5.9918839337499996E-4</v>
      </c>
      <c r="IR8" s="1">
        <f>Table1567[[#This Row],[Total_Cost_MUSD]]*Table1567[[#This Row],[prob100-failure_rating4]]/100</f>
        <v>1.3182144654249998E-4</v>
      </c>
      <c r="IS8" s="1">
        <f>Table1567[[#This Row],[Total_Cost_MUSD]]*Table1567[[#This Row],[prob100-failure_rating5]]/100</f>
        <v>4.7935071469999997E-5</v>
      </c>
      <c r="IT8" s="1">
        <f>Table1567[[#This Row],[Total_Cost_MUSD]]*Table1567[[#This Row],[prob100-failure_rating6]]/100</f>
        <v>8.3886375072499995E-6</v>
      </c>
      <c r="IU8" s="1">
        <f>Table1567[[#This Row],[Total_Cost_MUSD]]*Table1567[[#This Row],[prob100-failure_rating7]]/100</f>
        <v>2.1570782161499996E-6</v>
      </c>
      <c r="IV8" s="1">
        <f>Table1567[[#This Row],[Total_Cost_MUSD]]*Table1567[[#This Row],[prob100-failure_rating8]]/100</f>
        <v>2.1570782161499996E-6</v>
      </c>
      <c r="IW8" s="1">
        <f>Table1567[[#This Row],[Total_Cost_MUSD]]*Table1567[[#This Row],[prob100-failure_rating9]]/100</f>
        <v>4.7935071469999999E-8</v>
      </c>
      <c r="IX8" s="1">
        <f>Table1567[[#This Row],[Total_Cost_MUSD]]*Table1567[[#This Row],[prob50-failure_rating1]]/50</f>
        <v>9.5870142939999993E-3</v>
      </c>
      <c r="IY8" s="1">
        <f>Table1567[[#This Row],[Total_Cost_MUSD]]*Table1567[[#This Row],[prob50-failure_rating2]]/50</f>
        <v>7.9891785783333335E-4</v>
      </c>
      <c r="IZ8" s="1">
        <f>Table1567[[#This Row],[Total_Cost_MUSD]]*Table1567[[#This Row],[prob50-failure_rating3]]/50</f>
        <v>1.7576192872333332E-4</v>
      </c>
      <c r="JA8" s="1">
        <f>Table1567[[#This Row],[Total_Cost_MUSD]]*Table1567[[#This Row],[prob50-failure_rating4]]/50</f>
        <v>6.3913428626666667E-5</v>
      </c>
      <c r="JB8" s="1">
        <f>Table1567[[#This Row],[Total_Cost_MUSD]]*Table1567[[#This Row],[prob50-failure_rating5]]/50</f>
        <v>1.1184850009666667E-5</v>
      </c>
      <c r="JC8" s="1">
        <f>Table1567[[#This Row],[Total_Cost_MUSD]]*Table1567[[#This Row],[prob50-failure_rating6]]/50</f>
        <v>2.8761042881999999E-6</v>
      </c>
      <c r="JD8" s="1">
        <f>Table1567[[#This Row],[Total_Cost_MUSD]]*Table1567[[#This Row],[prob50-failure_rating7]]/50</f>
        <v>2.8761042881999999E-6</v>
      </c>
      <c r="JE8" s="1">
        <f>Table1567[[#This Row],[Total_Cost_MUSD]]*Table1567[[#This Row],[prob50-failure_rating8]]/50</f>
        <v>6.3913428626666661E-8</v>
      </c>
      <c r="JF8" s="1">
        <f>Table1567[[#This Row],[Total_Cost_MUSD]]*Table1567[[#This Row],[prob50-failure_rating9]]/50</f>
        <v>3.9945892891666658E-8</v>
      </c>
      <c r="JG8" s="1">
        <f>Table1567[[#This Row],[Total_Cost_MUSD]]*Table1567[[#This Row],[prob10-failure_rating1]]/10</f>
        <v>4.7935071469999993E-2</v>
      </c>
      <c r="JH8" s="1">
        <f>Table1567[[#This Row],[Total_Cost_MUSD]]*Table1567[[#This Row],[prob10-failure_rating2]]/10</f>
        <v>2.3967535734999998E-3</v>
      </c>
      <c r="JI8" s="1">
        <f>Table1567[[#This Row],[Total_Cost_MUSD]]*Table1567[[#This Row],[prob10-failure_rating3]]/10</f>
        <v>5.2728578617000004E-4</v>
      </c>
      <c r="JJ8" s="1">
        <f>Table1567[[#This Row],[Total_Cost_MUSD]]*Table1567[[#This Row],[prob10-failure_rating4]]/10</f>
        <v>1.9174028587999999E-4</v>
      </c>
      <c r="JK8" s="1">
        <f>Table1567[[#This Row],[Total_Cost_MUSD]]*Table1567[[#This Row],[prob10-failure_rating5]]/10</f>
        <v>3.3554550028999991E-5</v>
      </c>
      <c r="JL8" s="1">
        <f>Table1567[[#This Row],[Total_Cost_MUSD]]*Table1567[[#This Row],[prob10-failure_rating6]]/10</f>
        <v>8.6283128646000001E-6</v>
      </c>
      <c r="JM8" s="1">
        <f>Table1567[[#This Row],[Total_Cost_MUSD]]*Table1567[[#This Row],[prob10-failure_rating7]]/10</f>
        <v>8.6283128646000001E-6</v>
      </c>
      <c r="JN8" s="1">
        <f>Table1567[[#This Row],[Total_Cost_MUSD]]*Table1567[[#This Row],[prob10-failure_rating8]]/10</f>
        <v>1.9174028587999997E-7</v>
      </c>
      <c r="JO8" s="1">
        <f>Table1567[[#This Row],[Total_Cost_MUSD]]*Table1567[[#This Row],[prob10-failure_rating9]]/10</f>
        <v>1.1983767867499999E-7</v>
      </c>
      <c r="JP8" s="1">
        <f>Table1567[[#This Row],[FailureCost_Rating1]]</f>
        <v>8468.5292930333326</v>
      </c>
      <c r="JQ8" s="1">
        <f>Table1567[[#This Row],[FailureCost_Rating2]]</f>
        <v>8468.5292930333326</v>
      </c>
      <c r="JR8" s="1">
        <f>(Table1567[[#This Row],[failurecost500_rating2]]+Table1567[[#This Row],[failurecost100_rating2]]+Table1567[[#This Row],[failurecost50_rating2]]+Table1567[[#This Row],[failurecost10_rating2]])*1000000</f>
        <v>8468.5292930333326</v>
      </c>
      <c r="JS8" s="1">
        <f>(Table1567[[#This Row],[failurecost500_rating3]]+Table1567[[#This Row],[failurecost100_rating3]]+Table1567[[#This Row],[failurecost50_rating3]]+Table1567[[#This Row],[failurecost10_rating3]])*1000000</f>
        <v>1407.6932655023334</v>
      </c>
      <c r="JT8" s="1">
        <f>(Table1567[[#This Row],[failurecost500_rating4]]+Table1567[[#This Row],[failurecost100_rating4]]+Table1567[[#This Row],[failurecost50_rating4]]+Table1567[[#This Row],[failurecost10_rating4]])*1000000</f>
        <v>425.82321822516667</v>
      </c>
      <c r="JU8" s="1">
        <f>(Table1567[[#This Row],[failurecost500_rating5]]+Table1567[[#This Row],[failurecost100_rating5]]+Table1567[[#This Row],[failurecost50_rating5]]+Table1567[[#This Row],[failurecost10_rating5]])*1000000</f>
        <v>99.385381514466644</v>
      </c>
      <c r="JV8" s="1">
        <f>(Table1567[[#This Row],[failurecost500_rating6]]+Table1567[[#This Row],[failurecost100_rating6]]+Table1567[[#This Row],[failurecost50_rating6]]+Table1567[[#This Row],[failurecost10_rating6]])*1000000</f>
        <v>21.618717232969999</v>
      </c>
      <c r="JW8" s="1">
        <f>(Table1567[[#This Row],[failurecost500_rating7]]+Table1567[[#This Row],[failurecost100_rating7]]+Table1567[[#This Row],[failurecost50_rating7]]+Table1567[[#This Row],[failurecost10_rating7]])*1000000</f>
        <v>15.387157941869997</v>
      </c>
      <c r="JX8" s="1">
        <f>(Table1567[[#This Row],[failurecost500_rating8]]+Table1567[[#This Row],[failurecost100_rating8]]+Table1567[[#This Row],[failurecost50_rating8]]+Table1567[[#This Row],[failurecost10_rating8]])*1000000</f>
        <v>2.4510799878326663</v>
      </c>
      <c r="JY8" s="1">
        <f>(Table1567[[#This Row],[failurecost500_rating9]]+Table1567[[#This Row],[failurecost100_rating9]]+Table1567[[#This Row],[failurecost50_rating9]]+Table1567[[#This Row],[failurecost10_rating9]])*1000000</f>
        <v>0.23168617877166664</v>
      </c>
    </row>
    <row r="9" spans="1:285" ht="28.8" x14ac:dyDescent="0.3">
      <c r="A9" s="1">
        <v>8</v>
      </c>
      <c r="B9" s="1" t="s">
        <v>242</v>
      </c>
      <c r="C9" s="1" t="s">
        <v>243</v>
      </c>
      <c r="D9" s="1">
        <v>42.383989999999997</v>
      </c>
      <c r="E9" s="1">
        <v>-71.039299999999997</v>
      </c>
      <c r="F9" s="1">
        <v>15.18211651</v>
      </c>
      <c r="G9" s="1">
        <v>12.88211727</v>
      </c>
      <c r="H9" s="1">
        <v>16.282115940000001</v>
      </c>
      <c r="I9" s="1">
        <v>18.482116699999999</v>
      </c>
      <c r="J9" s="1">
        <v>2946.2618400000001</v>
      </c>
      <c r="K9" s="1">
        <v>2162.3379570000002</v>
      </c>
      <c r="L9" s="1">
        <v>3524.6018399999998</v>
      </c>
      <c r="M9" s="1">
        <v>2598.0749540000002</v>
      </c>
      <c r="N9" s="1">
        <v>3524.6018399999998</v>
      </c>
      <c r="O9" s="1">
        <v>2598.0749540000002</v>
      </c>
      <c r="P9" s="1">
        <v>3524.6018399999998</v>
      </c>
      <c r="Q9" s="1">
        <v>2521.0749540000002</v>
      </c>
      <c r="R9" s="1">
        <v>3524.6018399999998</v>
      </c>
      <c r="S9" s="1">
        <v>2521.0749540000002</v>
      </c>
      <c r="T9" s="1">
        <v>1.3625353200000001</v>
      </c>
      <c r="U9" s="1">
        <v>1.356620537</v>
      </c>
      <c r="V9" s="1">
        <v>1.356620537</v>
      </c>
      <c r="W9" s="1">
        <v>1.3980551569999999</v>
      </c>
      <c r="X9" s="1">
        <v>1.3980551569999999</v>
      </c>
      <c r="Y9" s="1">
        <v>4.5454544999999999E-2</v>
      </c>
      <c r="Z9" s="1">
        <v>31.333333329999999</v>
      </c>
      <c r="AA9" s="1">
        <v>5.2254566210000002</v>
      </c>
      <c r="AB9" s="1">
        <v>5.2254566210000002</v>
      </c>
      <c r="AC9" s="1">
        <v>5.3313213299999997</v>
      </c>
      <c r="AD9" s="1">
        <v>5.3313213299999997</v>
      </c>
      <c r="AE9" s="1">
        <v>0.46483210800000002</v>
      </c>
      <c r="AF9" s="1">
        <v>0.42817724499999998</v>
      </c>
      <c r="AG9" s="1">
        <v>0.42183725700000002</v>
      </c>
      <c r="AH9" s="1">
        <v>0.395935553</v>
      </c>
      <c r="AI9" s="1">
        <v>7.0593692749999999</v>
      </c>
      <c r="AJ9" s="1">
        <v>7.2176777000000003</v>
      </c>
      <c r="AK9" s="1">
        <v>7.3492690869999997</v>
      </c>
      <c r="AL9" s="1">
        <v>7.4760924930000003</v>
      </c>
      <c r="AM9" s="1">
        <v>243.02740850000001</v>
      </c>
      <c r="AN9" s="1">
        <v>259.74668279999997</v>
      </c>
      <c r="AO9" s="1">
        <v>274.21423850000002</v>
      </c>
      <c r="AP9" s="1">
        <v>288.65663999999998</v>
      </c>
      <c r="AQ9" s="1">
        <f>Table1567[[#This Row],[Depth10_Soil_vol]]*(9.353+9.027)+(Table1567[[#This Row],[Depth10_Soil_vol]]/2.5)*20*1.053+(PI()*Table1567[[#This Row],[Depth10_Scour]])*Table1567[[#This Row],[DECK_WIDTH_MT_052]]*1.062</f>
        <v>6829.712539120831</v>
      </c>
      <c r="AR9" s="1">
        <f>Table1567[[#This Row],[Depth50_Soil_vol]]*(9.353+9.027)+(Table1567[[#This Row],[Depth50_Soil_vol]]/2.5)*20*1.053+(PI()*Table1567[[#This Row],[Depth50_Scour]])*Table1567[[#This Row],[DECK_WIDTH_MT_052]]*1.062</f>
        <v>7284.9335218547822</v>
      </c>
      <c r="AS9" s="1">
        <f>Table1567[[#This Row],[Depth100_Soil_vol]]*(9.353+9.027)+(Table1567[[#This Row],[Depth100_Soil_vol]]/2.5)*20*1.053+(PI()*Table1567[[#This Row],[Depth100_Scour]])*Table1567[[#This Row],[DECK_WIDTH_MT_052]]*1.062</f>
        <v>7678.6049905512346</v>
      </c>
      <c r="AT9" s="1">
        <f>Table1567[[#This Row],[Depth500_Soil_vol]]*(9.353+9.027)+(Table1567[[#This Row],[Depth500_Soil_vol]]/2.5)*20*1.053+(PI()*Table1567[[#This Row],[Depth500_Scour]])*Table1567[[#This Row],[DECK_WIDTH_MT_052]]*1.062</f>
        <v>8071.3890621480541</v>
      </c>
      <c r="AU9" s="1">
        <v>2.52</v>
      </c>
      <c r="AV9" s="1">
        <v>26.07</v>
      </c>
      <c r="AW9" s="1" t="s">
        <v>184</v>
      </c>
      <c r="AX9" s="1">
        <v>5</v>
      </c>
      <c r="AY9" s="1">
        <v>5</v>
      </c>
      <c r="AZ9" s="1">
        <v>5</v>
      </c>
      <c r="BA9" s="1">
        <v>5</v>
      </c>
      <c r="BB9" s="1">
        <v>25</v>
      </c>
      <c r="BC9" s="1" t="s">
        <v>244</v>
      </c>
      <c r="BD9" s="1">
        <v>42230837</v>
      </c>
      <c r="BE9" s="1">
        <v>71022149</v>
      </c>
      <c r="BF9" s="1">
        <v>1</v>
      </c>
      <c r="BG9" s="1">
        <v>5</v>
      </c>
      <c r="BH9" s="1">
        <v>1</v>
      </c>
      <c r="BI9" s="1">
        <v>0</v>
      </c>
      <c r="BJ9" s="1">
        <v>0</v>
      </c>
      <c r="BK9" s="1">
        <v>6</v>
      </c>
      <c r="BL9" s="1">
        <v>25</v>
      </c>
      <c r="BM9" s="1">
        <v>7000</v>
      </c>
      <c r="BN9" s="1" t="s">
        <v>232</v>
      </c>
      <c r="BO9" s="1">
        <v>0</v>
      </c>
      <c r="BP9" s="1" t="s">
        <v>245</v>
      </c>
      <c r="BQ9" s="1" t="s">
        <v>246</v>
      </c>
      <c r="BR9" s="1">
        <v>5.26</v>
      </c>
      <c r="BS9" s="1">
        <v>1.5129999999999999</v>
      </c>
      <c r="BT9" s="1">
        <v>1</v>
      </c>
      <c r="BU9" s="1">
        <v>0</v>
      </c>
      <c r="BV9" s="1">
        <v>0</v>
      </c>
      <c r="BW9" s="1">
        <v>11</v>
      </c>
      <c r="BX9" s="1">
        <v>3</v>
      </c>
      <c r="BY9" s="1">
        <v>4</v>
      </c>
      <c r="BZ9" s="1">
        <v>4</v>
      </c>
      <c r="CA9" s="1">
        <v>14</v>
      </c>
      <c r="CB9" s="1">
        <v>1954</v>
      </c>
      <c r="CC9" s="1">
        <v>2</v>
      </c>
      <c r="CD9" s="1">
        <v>0</v>
      </c>
      <c r="CE9" s="1">
        <v>22435</v>
      </c>
      <c r="CF9" s="1">
        <v>2018</v>
      </c>
      <c r="CG9" s="1">
        <v>4</v>
      </c>
      <c r="CH9" s="1">
        <v>12.2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5</v>
      </c>
      <c r="CQ9" s="1">
        <v>1</v>
      </c>
      <c r="CR9" s="1">
        <v>6.4</v>
      </c>
      <c r="CS9" s="1">
        <v>53.3</v>
      </c>
      <c r="CT9" s="1" t="s">
        <v>203</v>
      </c>
      <c r="CU9" s="1">
        <v>5</v>
      </c>
      <c r="CV9" s="1">
        <v>5</v>
      </c>
      <c r="CW9" s="1">
        <v>3</v>
      </c>
      <c r="CX9" s="1">
        <v>16</v>
      </c>
      <c r="CY9" s="1">
        <v>3</v>
      </c>
      <c r="CZ9" s="1">
        <v>3</v>
      </c>
      <c r="DA9" s="1">
        <v>1</v>
      </c>
      <c r="DB9" s="1">
        <v>12</v>
      </c>
      <c r="DC9" s="1">
        <v>12.2</v>
      </c>
      <c r="DD9" s="1">
        <v>68.599999999999994</v>
      </c>
      <c r="DE9" s="1">
        <v>327.7</v>
      </c>
      <c r="DF9" s="1">
        <v>1.9</v>
      </c>
      <c r="DG9" s="1">
        <v>1.9</v>
      </c>
      <c r="DH9" s="1">
        <v>12.2</v>
      </c>
      <c r="DI9" s="1">
        <v>13.4</v>
      </c>
      <c r="DJ9" s="1">
        <v>4.8499999999999996</v>
      </c>
      <c r="DK9" s="1" t="s">
        <v>190</v>
      </c>
      <c r="DL9" s="1">
        <v>0</v>
      </c>
      <c r="DM9" s="1" t="s">
        <v>190</v>
      </c>
      <c r="DN9" s="1">
        <v>0</v>
      </c>
      <c r="DO9" s="1">
        <v>0</v>
      </c>
      <c r="DP9" s="1">
        <v>5</v>
      </c>
      <c r="DQ9" s="1">
        <v>4</v>
      </c>
      <c r="DR9" s="1">
        <v>6</v>
      </c>
      <c r="DS9" s="1">
        <v>6</v>
      </c>
      <c r="DT9" s="1" t="s">
        <v>190</v>
      </c>
      <c r="DU9" s="1">
        <v>1</v>
      </c>
      <c r="DV9" s="1">
        <v>7.2</v>
      </c>
      <c r="DW9" s="1">
        <v>1</v>
      </c>
      <c r="DX9" s="1">
        <v>4.3</v>
      </c>
      <c r="DY9" s="1">
        <v>2</v>
      </c>
      <c r="DZ9" s="1">
        <v>5</v>
      </c>
      <c r="EA9" s="1" t="s">
        <v>190</v>
      </c>
      <c r="EB9" s="1">
        <v>0</v>
      </c>
      <c r="EC9" s="1">
        <v>9</v>
      </c>
      <c r="ED9" s="1">
        <v>6</v>
      </c>
      <c r="EE9" s="1">
        <v>31</v>
      </c>
      <c r="EF9" s="1">
        <v>1</v>
      </c>
      <c r="EG9" s="1">
        <v>328</v>
      </c>
      <c r="EH9" s="1">
        <v>1118</v>
      </c>
      <c r="EI9" s="1">
        <v>12</v>
      </c>
      <c r="EJ9" s="1" t="s">
        <v>214</v>
      </c>
      <c r="EK9" s="1" t="s">
        <v>192</v>
      </c>
      <c r="EL9" s="1" t="s">
        <v>247</v>
      </c>
      <c r="EM9" s="1">
        <v>1118</v>
      </c>
      <c r="EN9" s="1">
        <v>818</v>
      </c>
      <c r="EO9" s="1">
        <v>1119</v>
      </c>
      <c r="EP9" s="1">
        <v>28269</v>
      </c>
      <c r="EQ9" s="1">
        <v>2827</v>
      </c>
      <c r="ER9" s="1">
        <v>42404</v>
      </c>
      <c r="ES9" s="1">
        <v>2020</v>
      </c>
      <c r="ET9" s="1">
        <v>0</v>
      </c>
      <c r="EU9" s="1">
        <v>0</v>
      </c>
      <c r="EV9" s="1" t="s">
        <v>193</v>
      </c>
      <c r="EW9" s="1">
        <v>0</v>
      </c>
      <c r="EX9" s="1" t="s">
        <v>190</v>
      </c>
      <c r="EY9" s="1">
        <v>2</v>
      </c>
      <c r="EZ9" s="1">
        <v>0</v>
      </c>
      <c r="FA9" s="1">
        <v>1</v>
      </c>
      <c r="FB9" s="1">
        <v>0</v>
      </c>
      <c r="FC9" s="1">
        <v>2002</v>
      </c>
      <c r="FD9" s="1">
        <v>1</v>
      </c>
      <c r="FE9" s="1">
        <v>6</v>
      </c>
      <c r="FF9" s="1">
        <v>2</v>
      </c>
      <c r="FG9" s="1">
        <v>0</v>
      </c>
      <c r="FH9" s="1">
        <v>6</v>
      </c>
      <c r="FI9" s="1">
        <v>0</v>
      </c>
      <c r="FJ9" s="1">
        <v>3</v>
      </c>
      <c r="FK9" s="1" t="s">
        <v>194</v>
      </c>
      <c r="FL9" s="1">
        <v>5</v>
      </c>
      <c r="FM9" s="1">
        <v>37271</v>
      </c>
      <c r="FN9" s="1">
        <v>2031</v>
      </c>
      <c r="FO9" s="1">
        <v>0</v>
      </c>
      <c r="FP9" s="1" t="s">
        <v>190</v>
      </c>
      <c r="FQ9" s="1">
        <v>25</v>
      </c>
      <c r="FR9" s="1" t="s">
        <v>203</v>
      </c>
      <c r="FS9" s="1">
        <v>4</v>
      </c>
      <c r="FT9" s="1">
        <v>4391.18</v>
      </c>
      <c r="FU9" s="1">
        <v>183</v>
      </c>
      <c r="FV9" s="1">
        <v>60</v>
      </c>
      <c r="FW9" s="1">
        <v>80</v>
      </c>
      <c r="FX9" s="1">
        <v>2</v>
      </c>
      <c r="FY9" s="1">
        <v>5</v>
      </c>
      <c r="FZ9" s="1">
        <v>667459.36</v>
      </c>
      <c r="GA9" s="1">
        <v>22625989.16</v>
      </c>
      <c r="GB9" s="1">
        <v>16939172.59</v>
      </c>
      <c r="GC9" s="1">
        <v>2500000</v>
      </c>
      <c r="GD9" s="1"/>
      <c r="GE9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9" s="1">
        <v>42.732621100000003</v>
      </c>
      <c r="GG9" s="1">
        <v>0</v>
      </c>
      <c r="GH9" s="1">
        <v>0</v>
      </c>
      <c r="GI9" s="1">
        <v>0</v>
      </c>
      <c r="GJ9" s="1">
        <v>0</v>
      </c>
      <c r="GK9" s="1">
        <v>5</v>
      </c>
      <c r="GL9" s="1">
        <v>18992.276044444443</v>
      </c>
      <c r="GM9" s="1">
        <v>10683.155275000001</v>
      </c>
      <c r="GN9" s="1">
        <v>6837.2193760000018</v>
      </c>
      <c r="GO9" s="1">
        <v>4748.0690111111107</v>
      </c>
      <c r="GP9" s="1">
        <v>3488.3772326530611</v>
      </c>
      <c r="GQ9" s="1">
        <v>2670.7888187500002</v>
      </c>
      <c r="GR9" s="1">
        <v>2110.2528938271607</v>
      </c>
      <c r="GS9" s="1">
        <v>0</v>
      </c>
      <c r="GT9" s="1">
        <v>0</v>
      </c>
      <c r="GU9" s="1">
        <v>0</v>
      </c>
      <c r="GV9" s="1">
        <v>0.01</v>
      </c>
      <c r="GW9" s="1">
        <v>5.0000000000000001E-3</v>
      </c>
      <c r="GX9" s="1">
        <v>1.1000000000000001E-3</v>
      </c>
      <c r="GY9" s="1">
        <v>4.0000000000000002E-4</v>
      </c>
      <c r="GZ9" s="1">
        <v>6.9999999999999994E-5</v>
      </c>
      <c r="HA9" s="1">
        <v>1.8E-5</v>
      </c>
      <c r="HB9" s="1">
        <v>1.8E-5</v>
      </c>
      <c r="HC9" s="1">
        <v>3.9999999999999998E-7</v>
      </c>
      <c r="HD9" s="1">
        <v>2.4999999999999999E-7</v>
      </c>
      <c r="HE9" s="1">
        <v>1</v>
      </c>
      <c r="HF9" s="1">
        <v>0.01</v>
      </c>
      <c r="HG9" s="1">
        <v>1.25E-3</v>
      </c>
      <c r="HH9" s="1">
        <v>2.7500000000000002E-4</v>
      </c>
      <c r="HI9" s="1">
        <v>1E-4</v>
      </c>
      <c r="HJ9" s="1">
        <v>1.7499999999999998E-5</v>
      </c>
      <c r="HK9" s="1">
        <v>4.5000000000000001E-6</v>
      </c>
      <c r="HL9" s="1">
        <v>4.5000000000000001E-6</v>
      </c>
      <c r="HM9" s="1">
        <v>9.9999999999999995E-8</v>
      </c>
      <c r="HN9" s="1">
        <v>0.01</v>
      </c>
      <c r="HO9" s="1">
        <v>8.3333333333333339E-4</v>
      </c>
      <c r="HP9" s="1">
        <v>1.8333333333333334E-4</v>
      </c>
      <c r="HQ9" s="1">
        <v>6.666666666666667E-5</v>
      </c>
      <c r="HR9" s="1">
        <v>1.1666666666666666E-5</v>
      </c>
      <c r="HS9" s="1">
        <v>3.0000000000000001E-6</v>
      </c>
      <c r="HT9" s="1">
        <v>3.0000000000000001E-6</v>
      </c>
      <c r="HU9" s="1">
        <v>6.6666666666666668E-8</v>
      </c>
      <c r="HV9" s="1">
        <v>4.1666666666666663E-8</v>
      </c>
      <c r="HW9" s="1">
        <v>0.01</v>
      </c>
      <c r="HX9" s="1">
        <v>5.0000000000000001E-4</v>
      </c>
      <c r="HY9" s="1">
        <v>1.1E-4</v>
      </c>
      <c r="HZ9" s="1">
        <v>4.0000000000000003E-5</v>
      </c>
      <c r="IA9" s="1">
        <v>6.999999999999999E-6</v>
      </c>
      <c r="IB9" s="1">
        <v>1.8000000000000001E-6</v>
      </c>
      <c r="IC9" s="1">
        <v>1.8000000000000001E-6</v>
      </c>
      <c r="ID9" s="1">
        <v>4.0000000000000001E-8</v>
      </c>
      <c r="IE9" s="1">
        <v>2.4999999999999999E-8</v>
      </c>
      <c r="IF9" s="1">
        <f>Table1567[[#This Row],[Total_Cost_MUSD]]*Table1567[[#This Row],[prob500-failure_rating1]]/500</f>
        <v>8.5465242200000006E-4</v>
      </c>
      <c r="IG9" s="1">
        <f>Table1567[[#This Row],[Total_Cost_MUSD]]*Table1567[[#This Row],[prob500-failure_rating2]]/500</f>
        <v>4.2732621100000003E-4</v>
      </c>
      <c r="IH9" s="1">
        <f>Table1567[[#This Row],[Total_Cost_MUSD]]*Table1567[[#This Row],[prob500-failure_rating3]]/500</f>
        <v>9.401176642000002E-5</v>
      </c>
      <c r="II9" s="1">
        <f>Table1567[[#This Row],[Total_Cost_MUSD]]*Table1567[[#This Row],[prob500-failure_rating4]]/500</f>
        <v>3.4186096880000002E-5</v>
      </c>
      <c r="IJ9" s="1">
        <f>Table1567[[#This Row],[Total_Cost_MUSD]]*Table1567[[#This Row],[prob500-failure_rating5]]/500</f>
        <v>5.9825669539999995E-6</v>
      </c>
      <c r="IK9" s="1">
        <f>Table1567[[#This Row],[Total_Cost_MUSD]]*Table1567[[#This Row],[prob500-failure_rating6]]/500</f>
        <v>1.5383743596E-6</v>
      </c>
      <c r="IL9" s="1">
        <f>Table1567[[#This Row],[Total_Cost_MUSD]]*Table1567[[#This Row],[prob500-failure_rating7]]/500</f>
        <v>1.5383743596E-6</v>
      </c>
      <c r="IM9" s="1">
        <f>Table1567[[#This Row],[Total_Cost_MUSD]]*Table1567[[#This Row],[prob500-failure_rating8]]/500</f>
        <v>3.4186096880000002E-8</v>
      </c>
      <c r="IN9" s="1">
        <f>Table1567[[#This Row],[Total_Cost_MUSD]]*Table1567[[#This Row],[prob500-failure_rating9]]/500</f>
        <v>2.136631055E-8</v>
      </c>
      <c r="IO9" s="1">
        <f>Table1567[[#This Row],[Total_Cost_MUSD]]*Table1567[[#This Row],[prob100-failure_rating1]]/100</f>
        <v>0.42732621100000001</v>
      </c>
      <c r="IP9" s="1">
        <f>Table1567[[#This Row],[Total_Cost_MUSD]]*Table1567[[#This Row],[prob100-failure_rating2]]/100</f>
        <v>4.2732621100000003E-3</v>
      </c>
      <c r="IQ9" s="1">
        <f>Table1567[[#This Row],[Total_Cost_MUSD]]*Table1567[[#This Row],[prob100-failure_rating3]]/100</f>
        <v>5.3415776375000004E-4</v>
      </c>
      <c r="IR9" s="1">
        <f>Table1567[[#This Row],[Total_Cost_MUSD]]*Table1567[[#This Row],[prob100-failure_rating4]]/100</f>
        <v>1.1751470802500003E-4</v>
      </c>
      <c r="IS9" s="1">
        <f>Table1567[[#This Row],[Total_Cost_MUSD]]*Table1567[[#This Row],[prob100-failure_rating5]]/100</f>
        <v>4.2732621100000001E-5</v>
      </c>
      <c r="IT9" s="1">
        <f>Table1567[[#This Row],[Total_Cost_MUSD]]*Table1567[[#This Row],[prob100-failure_rating6]]/100</f>
        <v>7.4782086924999997E-6</v>
      </c>
      <c r="IU9" s="1">
        <f>Table1567[[#This Row],[Total_Cost_MUSD]]*Table1567[[#This Row],[prob100-failure_rating7]]/100</f>
        <v>1.9229679494999999E-6</v>
      </c>
      <c r="IV9" s="1">
        <f>Table1567[[#This Row],[Total_Cost_MUSD]]*Table1567[[#This Row],[prob100-failure_rating8]]/100</f>
        <v>1.9229679494999999E-6</v>
      </c>
      <c r="IW9" s="1">
        <f>Table1567[[#This Row],[Total_Cost_MUSD]]*Table1567[[#This Row],[prob100-failure_rating9]]/100</f>
        <v>4.27326211E-8</v>
      </c>
      <c r="IX9" s="1">
        <f>Table1567[[#This Row],[Total_Cost_MUSD]]*Table1567[[#This Row],[prob50-failure_rating1]]/50</f>
        <v>8.5465242200000006E-3</v>
      </c>
      <c r="IY9" s="1">
        <f>Table1567[[#This Row],[Total_Cost_MUSD]]*Table1567[[#This Row],[prob50-failure_rating2]]/50</f>
        <v>7.1221035166666683E-4</v>
      </c>
      <c r="IZ9" s="1">
        <f>Table1567[[#This Row],[Total_Cost_MUSD]]*Table1567[[#This Row],[prob50-failure_rating3]]/50</f>
        <v>1.566862773666667E-4</v>
      </c>
      <c r="JA9" s="1">
        <f>Table1567[[#This Row],[Total_Cost_MUSD]]*Table1567[[#This Row],[prob50-failure_rating4]]/50</f>
        <v>5.6976828133333336E-5</v>
      </c>
      <c r="JB9" s="1">
        <f>Table1567[[#This Row],[Total_Cost_MUSD]]*Table1567[[#This Row],[prob50-failure_rating5]]/50</f>
        <v>9.9709449233333347E-6</v>
      </c>
      <c r="JC9" s="1">
        <f>Table1567[[#This Row],[Total_Cost_MUSD]]*Table1567[[#This Row],[prob50-failure_rating6]]/50</f>
        <v>2.5639572660000001E-6</v>
      </c>
      <c r="JD9" s="1">
        <f>Table1567[[#This Row],[Total_Cost_MUSD]]*Table1567[[#This Row],[prob50-failure_rating7]]/50</f>
        <v>2.5639572660000001E-6</v>
      </c>
      <c r="JE9" s="1">
        <f>Table1567[[#This Row],[Total_Cost_MUSD]]*Table1567[[#This Row],[prob50-failure_rating8]]/50</f>
        <v>5.6976828133333335E-8</v>
      </c>
      <c r="JF9" s="1">
        <f>Table1567[[#This Row],[Total_Cost_MUSD]]*Table1567[[#This Row],[prob50-failure_rating9]]/50</f>
        <v>3.5610517583333329E-8</v>
      </c>
      <c r="JG9" s="1">
        <f>Table1567[[#This Row],[Total_Cost_MUSD]]*Table1567[[#This Row],[prob10-failure_rating1]]/10</f>
        <v>4.27326211E-2</v>
      </c>
      <c r="JH9" s="1">
        <f>Table1567[[#This Row],[Total_Cost_MUSD]]*Table1567[[#This Row],[prob10-failure_rating2]]/10</f>
        <v>2.1366310550000002E-3</v>
      </c>
      <c r="JI9" s="1">
        <f>Table1567[[#This Row],[Total_Cost_MUSD]]*Table1567[[#This Row],[prob10-failure_rating3]]/10</f>
        <v>4.7005883210000005E-4</v>
      </c>
      <c r="JJ9" s="1">
        <f>Table1567[[#This Row],[Total_Cost_MUSD]]*Table1567[[#This Row],[prob10-failure_rating4]]/10</f>
        <v>1.7093048440000003E-4</v>
      </c>
      <c r="JK9" s="1">
        <f>Table1567[[#This Row],[Total_Cost_MUSD]]*Table1567[[#This Row],[prob10-failure_rating5]]/10</f>
        <v>2.9912834769999999E-5</v>
      </c>
      <c r="JL9" s="1">
        <f>Table1567[[#This Row],[Total_Cost_MUSD]]*Table1567[[#This Row],[prob10-failure_rating6]]/10</f>
        <v>7.6918717980000012E-6</v>
      </c>
      <c r="JM9" s="1">
        <f>Table1567[[#This Row],[Total_Cost_MUSD]]*Table1567[[#This Row],[prob10-failure_rating7]]/10</f>
        <v>7.6918717980000012E-6</v>
      </c>
      <c r="JN9" s="1">
        <f>Table1567[[#This Row],[Total_Cost_MUSD]]*Table1567[[#This Row],[prob10-failure_rating8]]/10</f>
        <v>1.709304844E-7</v>
      </c>
      <c r="JO9" s="1">
        <f>Table1567[[#This Row],[Total_Cost_MUSD]]*Table1567[[#This Row],[prob10-failure_rating9]]/10</f>
        <v>1.0683155275000001E-7</v>
      </c>
      <c r="JP9" s="1">
        <f>Table1567[[#This Row],[FailureCost_Rating1]]</f>
        <v>7549.4297276666675</v>
      </c>
      <c r="JQ9" s="1">
        <f>Table1567[[#This Row],[FailureCost_Rating2]]</f>
        <v>7549.4297276666675</v>
      </c>
      <c r="JR9" s="1">
        <f>(Table1567[[#This Row],[failurecost500_rating2]]+Table1567[[#This Row],[failurecost100_rating2]]+Table1567[[#This Row],[failurecost50_rating2]]+Table1567[[#This Row],[failurecost10_rating2]])*1000000</f>
        <v>7549.4297276666675</v>
      </c>
      <c r="JS9" s="1">
        <f>(Table1567[[#This Row],[failurecost500_rating3]]+Table1567[[#This Row],[failurecost100_rating3]]+Table1567[[#This Row],[failurecost50_rating3]]+Table1567[[#This Row],[failurecost10_rating3]])*1000000</f>
        <v>1254.9146396366668</v>
      </c>
      <c r="JT9" s="1">
        <f>(Table1567[[#This Row],[failurecost500_rating4]]+Table1567[[#This Row],[failurecost100_rating4]]+Table1567[[#This Row],[failurecost50_rating4]]+Table1567[[#This Row],[failurecost10_rating4]])*1000000</f>
        <v>379.60811743833341</v>
      </c>
      <c r="JU9" s="1">
        <f>(Table1567[[#This Row],[failurecost500_rating5]]+Table1567[[#This Row],[failurecost100_rating5]]+Table1567[[#This Row],[failurecost50_rating5]]+Table1567[[#This Row],[failurecost10_rating5]])*1000000</f>
        <v>88.598967747333347</v>
      </c>
      <c r="JV9" s="1">
        <f>(Table1567[[#This Row],[failurecost500_rating6]]+Table1567[[#This Row],[failurecost100_rating6]]+Table1567[[#This Row],[failurecost50_rating6]]+Table1567[[#This Row],[failurecost10_rating6]])*1000000</f>
        <v>19.272412116100003</v>
      </c>
      <c r="JW9" s="1">
        <f>(Table1567[[#This Row],[failurecost500_rating7]]+Table1567[[#This Row],[failurecost100_rating7]]+Table1567[[#This Row],[failurecost50_rating7]]+Table1567[[#This Row],[failurecost10_rating7]])*1000000</f>
        <v>13.717171373100001</v>
      </c>
      <c r="JX9" s="1">
        <f>(Table1567[[#This Row],[failurecost500_rating8]]+Table1567[[#This Row],[failurecost100_rating8]]+Table1567[[#This Row],[failurecost50_rating8]]+Table1567[[#This Row],[failurecost10_rating8]])*1000000</f>
        <v>2.185061358913333</v>
      </c>
      <c r="JY9" s="1">
        <f>(Table1567[[#This Row],[failurecost500_rating9]]+Table1567[[#This Row],[failurecost100_rating9]]+Table1567[[#This Row],[failurecost50_rating9]]+Table1567[[#This Row],[failurecost10_rating9]])*1000000</f>
        <v>0.20654100198333333</v>
      </c>
    </row>
    <row r="10" spans="1:285" ht="28.8" x14ac:dyDescent="0.3">
      <c r="A10" s="1">
        <v>9</v>
      </c>
      <c r="B10" s="1" t="s">
        <v>248</v>
      </c>
      <c r="C10" s="1" t="s">
        <v>249</v>
      </c>
      <c r="D10" s="1">
        <v>42.277479999999997</v>
      </c>
      <c r="E10" s="1">
        <v>-71.053299999999993</v>
      </c>
      <c r="F10" s="1">
        <v>15.24516487</v>
      </c>
      <c r="G10" s="1">
        <v>12.94516468</v>
      </c>
      <c r="H10" s="1">
        <v>16.345165250000001</v>
      </c>
      <c r="I10" s="1">
        <v>18.54516602</v>
      </c>
      <c r="J10" s="1">
        <v>357.26528960000002</v>
      </c>
      <c r="K10" s="1">
        <v>542.50589669999999</v>
      </c>
      <c r="L10" s="1">
        <v>386.91896000000003</v>
      </c>
      <c r="M10" s="1">
        <v>507.95657729999999</v>
      </c>
      <c r="N10" s="1">
        <v>386.91896000000003</v>
      </c>
      <c r="O10" s="1">
        <v>507.95657729999999</v>
      </c>
      <c r="P10" s="1">
        <v>386.91896000000003</v>
      </c>
      <c r="Q10" s="1">
        <v>507.95657729999999</v>
      </c>
      <c r="R10" s="1">
        <v>386.91896000000003</v>
      </c>
      <c r="S10" s="1">
        <v>507.95657729999999</v>
      </c>
      <c r="T10" s="1">
        <v>0.65854637100000002</v>
      </c>
      <c r="U10" s="1">
        <v>0.76171660600000002</v>
      </c>
      <c r="V10" s="1">
        <v>0.76171660600000002</v>
      </c>
      <c r="W10" s="1">
        <v>0.76171660600000002</v>
      </c>
      <c r="X10" s="1">
        <v>0.76171660600000002</v>
      </c>
      <c r="Y10" s="1">
        <v>1.0714286E-2</v>
      </c>
      <c r="Z10" s="1">
        <v>46.666666669999998</v>
      </c>
      <c r="AA10" s="1">
        <v>1.7266615700000001</v>
      </c>
      <c r="AB10" s="1">
        <v>1.7266615700000001</v>
      </c>
      <c r="AC10" s="1">
        <v>1.7266615700000001</v>
      </c>
      <c r="AD10" s="1">
        <v>1.7266615700000001</v>
      </c>
      <c r="AE10" s="1">
        <v>0.15322122499999999</v>
      </c>
      <c r="AF10" s="1">
        <v>0.14119088399999999</v>
      </c>
      <c r="AG10" s="1">
        <v>0.13635719600000001</v>
      </c>
      <c r="AH10" s="1">
        <v>0.12801396700000001</v>
      </c>
      <c r="AI10" s="1">
        <v>6.2101482739999998</v>
      </c>
      <c r="AJ10" s="1">
        <v>6.3487800759999997</v>
      </c>
      <c r="AK10" s="1">
        <v>6.408774695</v>
      </c>
      <c r="AL10" s="1">
        <v>6.5189641729999996</v>
      </c>
      <c r="AM10" s="1">
        <v>91.263133640000007</v>
      </c>
      <c r="AN10" s="1">
        <v>97.512506049999999</v>
      </c>
      <c r="AO10" s="1">
        <v>100.3031287</v>
      </c>
      <c r="AP10" s="1">
        <v>105.566288</v>
      </c>
      <c r="AQ10" s="1">
        <f>Table1567[[#This Row],[Depth10_Soil_vol]]*(9.353+9.027)+(Table1567[[#This Row],[Depth10_Soil_vol]]/2.5)*20*1.053+(PI()*Table1567[[#This Row],[Depth10_Scour]])*Table1567[[#This Row],[DECK_WIDTH_MT_052]]*1.062</f>
        <v>2767.3671308174216</v>
      </c>
      <c r="AR10" s="1">
        <f>Table1567[[#This Row],[Depth50_Soil_vol]]*(9.353+9.027)+(Table1567[[#This Row],[Depth50_Soil_vol]]/2.5)*20*1.053+(PI()*Table1567[[#This Row],[Depth50_Scour]])*Table1567[[#This Row],[DECK_WIDTH_MT_052]]*1.062</f>
        <v>2942.0444801705157</v>
      </c>
      <c r="AS10" s="1">
        <f>Table1567[[#This Row],[Depth100_Soil_vol]]*(9.353+9.027)+(Table1567[[#This Row],[Depth100_Soil_vol]]/2.5)*20*1.053+(PI()*Table1567[[#This Row],[Depth100_Scour]])*Table1567[[#This Row],[DECK_WIDTH_MT_052]]*1.062</f>
        <v>3019.9468768096358</v>
      </c>
      <c r="AT10" s="1">
        <f>Table1567[[#This Row],[Depth500_Soil_vol]]*(9.353+9.027)+(Table1567[[#This Row],[Depth500_Soil_vol]]/2.5)*20*1.053+(PI()*Table1567[[#This Row],[Depth500_Scour]])*Table1567[[#This Row],[DECK_WIDTH_MT_052]]*1.062</f>
        <v>3166.7189105398043</v>
      </c>
      <c r="AU10" s="1">
        <v>4.3</v>
      </c>
      <c r="AV10" s="1">
        <v>20.010000000000002</v>
      </c>
      <c r="AW10" s="1" t="s">
        <v>184</v>
      </c>
      <c r="AX10" s="1">
        <v>5</v>
      </c>
      <c r="AY10" s="1">
        <v>5</v>
      </c>
      <c r="AZ10" s="1">
        <v>5</v>
      </c>
      <c r="BA10" s="1">
        <v>5</v>
      </c>
      <c r="BB10" s="1">
        <v>25</v>
      </c>
      <c r="BC10" s="1" t="s">
        <v>250</v>
      </c>
      <c r="BD10" s="1">
        <v>42163893</v>
      </c>
      <c r="BE10" s="1">
        <v>71031187</v>
      </c>
      <c r="BF10" s="1">
        <v>1</v>
      </c>
      <c r="BG10" s="1">
        <v>8</v>
      </c>
      <c r="BH10" s="1">
        <v>1</v>
      </c>
      <c r="BI10" s="1">
        <v>0</v>
      </c>
      <c r="BJ10" s="1">
        <v>0</v>
      </c>
      <c r="BK10" s="1">
        <v>6</v>
      </c>
      <c r="BL10" s="1">
        <v>25</v>
      </c>
      <c r="BM10" s="1">
        <v>7000</v>
      </c>
      <c r="BN10" s="1" t="s">
        <v>251</v>
      </c>
      <c r="BO10" s="1">
        <v>0</v>
      </c>
      <c r="BP10" s="1" t="s">
        <v>252</v>
      </c>
      <c r="BQ10" s="1" t="s">
        <v>253</v>
      </c>
      <c r="BR10" s="1">
        <v>4.2699999999999996</v>
      </c>
      <c r="BS10" s="1">
        <v>0</v>
      </c>
      <c r="BT10" s="1">
        <v>1</v>
      </c>
      <c r="BU10" s="1">
        <v>0</v>
      </c>
      <c r="BV10" s="1">
        <v>0</v>
      </c>
      <c r="BW10" s="1">
        <v>2</v>
      </c>
      <c r="BX10" s="1">
        <v>3</v>
      </c>
      <c r="BY10" s="1">
        <v>1</v>
      </c>
      <c r="BZ10" s="1">
        <v>1</v>
      </c>
      <c r="CA10" s="1">
        <v>14</v>
      </c>
      <c r="CB10" s="1">
        <v>1959</v>
      </c>
      <c r="CC10" s="1">
        <v>4</v>
      </c>
      <c r="CD10" s="1">
        <v>0</v>
      </c>
      <c r="CE10" s="1">
        <v>47600</v>
      </c>
      <c r="CF10" s="1">
        <v>2019</v>
      </c>
      <c r="CG10" s="1">
        <v>4</v>
      </c>
      <c r="CH10" s="1">
        <v>14.6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</v>
      </c>
      <c r="CQ10" s="1">
        <v>1</v>
      </c>
      <c r="CR10" s="1">
        <v>1.8</v>
      </c>
      <c r="CS10" s="1">
        <v>15.5</v>
      </c>
      <c r="CT10" s="1" t="s">
        <v>203</v>
      </c>
      <c r="CU10" s="1">
        <v>5</v>
      </c>
      <c r="CV10" s="1">
        <v>5</v>
      </c>
      <c r="CW10" s="1">
        <v>3</v>
      </c>
      <c r="CX10" s="1">
        <v>16</v>
      </c>
      <c r="CY10" s="1">
        <v>3</v>
      </c>
      <c r="CZ10" s="1">
        <v>2</v>
      </c>
      <c r="DA10" s="1">
        <v>1</v>
      </c>
      <c r="DB10" s="1">
        <v>3</v>
      </c>
      <c r="DC10" s="1">
        <v>14.6</v>
      </c>
      <c r="DD10" s="1">
        <v>19.8</v>
      </c>
      <c r="DE10" s="1">
        <v>57</v>
      </c>
      <c r="DF10" s="1">
        <v>2.1</v>
      </c>
      <c r="DG10" s="1">
        <v>2.1</v>
      </c>
      <c r="DH10" s="1">
        <v>14.6</v>
      </c>
      <c r="DI10" s="1">
        <v>15.5</v>
      </c>
      <c r="DJ10" s="1">
        <v>4.29</v>
      </c>
      <c r="DK10" s="1" t="s">
        <v>190</v>
      </c>
      <c r="DL10" s="1">
        <v>0</v>
      </c>
      <c r="DM10" s="1" t="s">
        <v>190</v>
      </c>
      <c r="DN10" s="1">
        <v>0</v>
      </c>
      <c r="DO10" s="1">
        <v>0</v>
      </c>
      <c r="DP10" s="1">
        <v>5</v>
      </c>
      <c r="DQ10" s="1">
        <v>3</v>
      </c>
      <c r="DR10" s="1">
        <v>5</v>
      </c>
      <c r="DS10" s="1">
        <v>5</v>
      </c>
      <c r="DT10" s="1" t="s">
        <v>190</v>
      </c>
      <c r="DU10" s="1">
        <v>1</v>
      </c>
      <c r="DV10" s="1">
        <v>14.7</v>
      </c>
      <c r="DW10" s="1">
        <v>1</v>
      </c>
      <c r="DX10" s="1">
        <v>8.8000000000000007</v>
      </c>
      <c r="DY10" s="1">
        <v>2</v>
      </c>
      <c r="DZ10" s="1">
        <v>2</v>
      </c>
      <c r="EA10" s="1" t="s">
        <v>190</v>
      </c>
      <c r="EB10" s="1">
        <v>0</v>
      </c>
      <c r="EC10" s="1">
        <v>7</v>
      </c>
      <c r="ED10" s="1">
        <v>8</v>
      </c>
      <c r="EE10" s="1">
        <v>31</v>
      </c>
      <c r="EF10" s="1">
        <v>1</v>
      </c>
      <c r="EG10" s="1">
        <v>68</v>
      </c>
      <c r="EH10" s="1">
        <v>519</v>
      </c>
      <c r="EI10" s="1">
        <v>6</v>
      </c>
      <c r="EJ10" s="1" t="s">
        <v>214</v>
      </c>
      <c r="EK10" s="1" t="s">
        <v>192</v>
      </c>
      <c r="EL10" s="1" t="s">
        <v>227</v>
      </c>
      <c r="EM10" s="1">
        <v>519</v>
      </c>
      <c r="EN10" s="1">
        <v>819</v>
      </c>
      <c r="EO10" s="1">
        <v>1119</v>
      </c>
      <c r="EP10" s="1">
        <v>9233</v>
      </c>
      <c r="EQ10" s="1">
        <v>924</v>
      </c>
      <c r="ER10" s="1">
        <v>13850</v>
      </c>
      <c r="ES10" s="1">
        <v>2020</v>
      </c>
      <c r="ET10" s="1">
        <v>0</v>
      </c>
      <c r="EU10" s="1">
        <v>0</v>
      </c>
      <c r="EV10" s="1" t="s">
        <v>193</v>
      </c>
      <c r="EW10" s="1">
        <v>0</v>
      </c>
      <c r="EX10" s="1" t="s">
        <v>190</v>
      </c>
      <c r="EY10" s="1">
        <v>2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9</v>
      </c>
      <c r="FF10" s="1">
        <v>0</v>
      </c>
      <c r="FG10" s="1">
        <v>0</v>
      </c>
      <c r="FH10" s="1">
        <v>6</v>
      </c>
      <c r="FI10" s="1">
        <v>0</v>
      </c>
      <c r="FJ10" s="1">
        <v>2</v>
      </c>
      <c r="FK10" s="1" t="s">
        <v>194</v>
      </c>
      <c r="FL10" s="1">
        <v>4</v>
      </c>
      <c r="FM10" s="1">
        <v>56855</v>
      </c>
      <c r="FN10" s="1">
        <v>2032</v>
      </c>
      <c r="FO10" s="1">
        <v>0</v>
      </c>
      <c r="FP10" s="1" t="s">
        <v>190</v>
      </c>
      <c r="FQ10" s="1">
        <v>25</v>
      </c>
      <c r="FR10" s="1" t="s">
        <v>203</v>
      </c>
      <c r="FS10" s="1">
        <v>3</v>
      </c>
      <c r="FT10" s="1">
        <v>883.5</v>
      </c>
      <c r="FU10" s="1">
        <v>183</v>
      </c>
      <c r="FV10" s="1">
        <v>60</v>
      </c>
      <c r="FW10" s="1">
        <v>80</v>
      </c>
      <c r="FX10" s="1">
        <v>2</v>
      </c>
      <c r="FY10" s="1">
        <v>5</v>
      </c>
      <c r="FZ10" s="1">
        <v>121923</v>
      </c>
      <c r="GA10" s="1">
        <v>8728221.5999999996</v>
      </c>
      <c r="GB10" s="1">
        <v>6534470.2089999998</v>
      </c>
      <c r="GC10" s="1">
        <v>2500000</v>
      </c>
      <c r="GD10" s="1"/>
      <c r="GE10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10" s="1">
        <v>17.884614809999999</v>
      </c>
      <c r="GG10" s="1">
        <v>0</v>
      </c>
      <c r="GH10" s="1">
        <v>0</v>
      </c>
      <c r="GI10" s="1">
        <v>0</v>
      </c>
      <c r="GJ10" s="1">
        <v>0</v>
      </c>
      <c r="GK10" s="1">
        <v>4</v>
      </c>
      <c r="GL10" s="1">
        <v>7948.717693333333</v>
      </c>
      <c r="GM10" s="1">
        <v>4471.1537024999998</v>
      </c>
      <c r="GN10" s="1">
        <v>2861.5383696000004</v>
      </c>
      <c r="GO10" s="1">
        <v>1987.1794233333333</v>
      </c>
      <c r="GP10" s="1">
        <v>1459.9685559183672</v>
      </c>
      <c r="GQ10" s="1">
        <v>1117.7884256249999</v>
      </c>
      <c r="GR10" s="1">
        <v>883.19085481481466</v>
      </c>
      <c r="GS10" s="1">
        <v>0</v>
      </c>
      <c r="GT10" s="1">
        <v>0</v>
      </c>
      <c r="GU10" s="1">
        <v>0</v>
      </c>
      <c r="GV10" s="1">
        <v>0.01</v>
      </c>
      <c r="GW10" s="1">
        <v>5.0000000000000001E-3</v>
      </c>
      <c r="GX10" s="1">
        <v>1.1000000000000001E-3</v>
      </c>
      <c r="GY10" s="1">
        <v>4.0000000000000002E-4</v>
      </c>
      <c r="GZ10" s="1">
        <v>6.9999999999999994E-5</v>
      </c>
      <c r="HA10" s="1">
        <v>1.8E-5</v>
      </c>
      <c r="HB10" s="1">
        <v>1.8E-5</v>
      </c>
      <c r="HC10" s="1">
        <v>3.9999999999999998E-7</v>
      </c>
      <c r="HD10" s="1">
        <v>2.4999999999999999E-7</v>
      </c>
      <c r="HE10" s="1">
        <v>1</v>
      </c>
      <c r="HF10" s="1">
        <v>0.01</v>
      </c>
      <c r="HG10" s="1">
        <v>1.25E-3</v>
      </c>
      <c r="HH10" s="1">
        <v>2.7500000000000002E-4</v>
      </c>
      <c r="HI10" s="1">
        <v>1E-4</v>
      </c>
      <c r="HJ10" s="1">
        <v>1.7499999999999998E-5</v>
      </c>
      <c r="HK10" s="1">
        <v>4.5000000000000001E-6</v>
      </c>
      <c r="HL10" s="1">
        <v>4.5000000000000001E-6</v>
      </c>
      <c r="HM10" s="1">
        <v>9.9999999999999995E-8</v>
      </c>
      <c r="HN10" s="1">
        <v>0.01</v>
      </c>
      <c r="HO10" s="1">
        <v>8.3333333333333339E-4</v>
      </c>
      <c r="HP10" s="1">
        <v>1.8333333333333334E-4</v>
      </c>
      <c r="HQ10" s="1">
        <v>6.666666666666667E-5</v>
      </c>
      <c r="HR10" s="1">
        <v>1.1666666666666666E-5</v>
      </c>
      <c r="HS10" s="1">
        <v>3.0000000000000001E-6</v>
      </c>
      <c r="HT10" s="1">
        <v>3.0000000000000001E-6</v>
      </c>
      <c r="HU10" s="1">
        <v>6.6666666666666668E-8</v>
      </c>
      <c r="HV10" s="1">
        <v>4.1666666666666663E-8</v>
      </c>
      <c r="HW10" s="1">
        <v>0.01</v>
      </c>
      <c r="HX10" s="1">
        <v>5.0000000000000001E-4</v>
      </c>
      <c r="HY10" s="1">
        <v>1.1E-4</v>
      </c>
      <c r="HZ10" s="1">
        <v>4.0000000000000003E-5</v>
      </c>
      <c r="IA10" s="1">
        <v>6.999999999999999E-6</v>
      </c>
      <c r="IB10" s="1">
        <v>1.8000000000000001E-6</v>
      </c>
      <c r="IC10" s="1">
        <v>1.8000000000000001E-6</v>
      </c>
      <c r="ID10" s="1">
        <v>4.0000000000000001E-8</v>
      </c>
      <c r="IE10" s="1">
        <v>2.4999999999999999E-8</v>
      </c>
      <c r="IF10" s="1">
        <f>Table1567[[#This Row],[Total_Cost_MUSD]]*Table1567[[#This Row],[prob500-failure_rating1]]/500</f>
        <v>3.5769229619999997E-4</v>
      </c>
      <c r="IG10" s="1">
        <f>Table1567[[#This Row],[Total_Cost_MUSD]]*Table1567[[#This Row],[prob500-failure_rating2]]/500</f>
        <v>1.7884614809999998E-4</v>
      </c>
      <c r="IH10" s="1">
        <f>Table1567[[#This Row],[Total_Cost_MUSD]]*Table1567[[#This Row],[prob500-failure_rating3]]/500</f>
        <v>3.9346152581999999E-5</v>
      </c>
      <c r="II10" s="1">
        <f>Table1567[[#This Row],[Total_Cost_MUSD]]*Table1567[[#This Row],[prob500-failure_rating4]]/500</f>
        <v>1.4307691847999999E-5</v>
      </c>
      <c r="IJ10" s="1">
        <f>Table1567[[#This Row],[Total_Cost_MUSD]]*Table1567[[#This Row],[prob500-failure_rating5]]/500</f>
        <v>2.5038460733999997E-6</v>
      </c>
      <c r="IK10" s="1">
        <f>Table1567[[#This Row],[Total_Cost_MUSD]]*Table1567[[#This Row],[prob500-failure_rating6]]/500</f>
        <v>6.438461331599999E-7</v>
      </c>
      <c r="IL10" s="1">
        <f>Table1567[[#This Row],[Total_Cost_MUSD]]*Table1567[[#This Row],[prob500-failure_rating7]]/500</f>
        <v>6.438461331599999E-7</v>
      </c>
      <c r="IM10" s="1">
        <f>Table1567[[#This Row],[Total_Cost_MUSD]]*Table1567[[#This Row],[prob500-failure_rating8]]/500</f>
        <v>1.4307691847999998E-8</v>
      </c>
      <c r="IN10" s="1">
        <f>Table1567[[#This Row],[Total_Cost_MUSD]]*Table1567[[#This Row],[prob500-failure_rating9]]/500</f>
        <v>8.9423074049999994E-9</v>
      </c>
      <c r="IO10" s="1">
        <f>Table1567[[#This Row],[Total_Cost_MUSD]]*Table1567[[#This Row],[prob100-failure_rating1]]/100</f>
        <v>0.17884614809999999</v>
      </c>
      <c r="IP10" s="1">
        <f>Table1567[[#This Row],[Total_Cost_MUSD]]*Table1567[[#This Row],[prob100-failure_rating2]]/100</f>
        <v>1.7884614809999999E-3</v>
      </c>
      <c r="IQ10" s="1">
        <f>Table1567[[#This Row],[Total_Cost_MUSD]]*Table1567[[#This Row],[prob100-failure_rating3]]/100</f>
        <v>2.2355768512499999E-4</v>
      </c>
      <c r="IR10" s="1">
        <f>Table1567[[#This Row],[Total_Cost_MUSD]]*Table1567[[#This Row],[prob100-failure_rating4]]/100</f>
        <v>4.9182690727500002E-5</v>
      </c>
      <c r="IS10" s="1">
        <f>Table1567[[#This Row],[Total_Cost_MUSD]]*Table1567[[#This Row],[prob100-failure_rating5]]/100</f>
        <v>1.7884614809999999E-5</v>
      </c>
      <c r="IT10" s="1">
        <f>Table1567[[#This Row],[Total_Cost_MUSD]]*Table1567[[#This Row],[prob100-failure_rating6]]/100</f>
        <v>3.1298075917499996E-6</v>
      </c>
      <c r="IU10" s="1">
        <f>Table1567[[#This Row],[Total_Cost_MUSD]]*Table1567[[#This Row],[prob100-failure_rating7]]/100</f>
        <v>8.0480766644999999E-7</v>
      </c>
      <c r="IV10" s="1">
        <f>Table1567[[#This Row],[Total_Cost_MUSD]]*Table1567[[#This Row],[prob100-failure_rating8]]/100</f>
        <v>8.0480766644999999E-7</v>
      </c>
      <c r="IW10" s="1">
        <f>Table1567[[#This Row],[Total_Cost_MUSD]]*Table1567[[#This Row],[prob100-failure_rating9]]/100</f>
        <v>1.7884614809999999E-8</v>
      </c>
      <c r="IX10" s="1">
        <f>Table1567[[#This Row],[Total_Cost_MUSD]]*Table1567[[#This Row],[prob50-failure_rating1]]/50</f>
        <v>3.5769229619999998E-3</v>
      </c>
      <c r="IY10" s="1">
        <f>Table1567[[#This Row],[Total_Cost_MUSD]]*Table1567[[#This Row],[prob50-failure_rating2]]/50</f>
        <v>2.9807691349999997E-4</v>
      </c>
      <c r="IZ10" s="1">
        <f>Table1567[[#This Row],[Total_Cost_MUSD]]*Table1567[[#This Row],[prob50-failure_rating3]]/50</f>
        <v>6.5576920969999993E-5</v>
      </c>
      <c r="JA10" s="1">
        <f>Table1567[[#This Row],[Total_Cost_MUSD]]*Table1567[[#This Row],[prob50-failure_rating4]]/50</f>
        <v>2.3846153079999999E-5</v>
      </c>
      <c r="JB10" s="1">
        <f>Table1567[[#This Row],[Total_Cost_MUSD]]*Table1567[[#This Row],[prob50-failure_rating5]]/50</f>
        <v>4.1730767889999995E-6</v>
      </c>
      <c r="JC10" s="1">
        <f>Table1567[[#This Row],[Total_Cost_MUSD]]*Table1567[[#This Row],[prob50-failure_rating6]]/50</f>
        <v>1.0730768886E-6</v>
      </c>
      <c r="JD10" s="1">
        <f>Table1567[[#This Row],[Total_Cost_MUSD]]*Table1567[[#This Row],[prob50-failure_rating7]]/50</f>
        <v>1.0730768886E-6</v>
      </c>
      <c r="JE10" s="1">
        <f>Table1567[[#This Row],[Total_Cost_MUSD]]*Table1567[[#This Row],[prob50-failure_rating8]]/50</f>
        <v>2.3846153080000002E-8</v>
      </c>
      <c r="JF10" s="1">
        <f>Table1567[[#This Row],[Total_Cost_MUSD]]*Table1567[[#This Row],[prob50-failure_rating9]]/50</f>
        <v>1.4903845674999996E-8</v>
      </c>
      <c r="JG10" s="1">
        <f>Table1567[[#This Row],[Total_Cost_MUSD]]*Table1567[[#This Row],[prob10-failure_rating1]]/10</f>
        <v>1.7884614809999998E-2</v>
      </c>
      <c r="JH10" s="1">
        <f>Table1567[[#This Row],[Total_Cost_MUSD]]*Table1567[[#This Row],[prob10-failure_rating2]]/10</f>
        <v>8.9423074049999984E-4</v>
      </c>
      <c r="JI10" s="1">
        <f>Table1567[[#This Row],[Total_Cost_MUSD]]*Table1567[[#This Row],[prob10-failure_rating3]]/10</f>
        <v>1.9673076291000001E-4</v>
      </c>
      <c r="JJ10" s="1">
        <f>Table1567[[#This Row],[Total_Cost_MUSD]]*Table1567[[#This Row],[prob10-failure_rating4]]/10</f>
        <v>7.153845924000001E-5</v>
      </c>
      <c r="JK10" s="1">
        <f>Table1567[[#This Row],[Total_Cost_MUSD]]*Table1567[[#This Row],[prob10-failure_rating5]]/10</f>
        <v>1.2519230366999997E-5</v>
      </c>
      <c r="JL10" s="1">
        <f>Table1567[[#This Row],[Total_Cost_MUSD]]*Table1567[[#This Row],[prob10-failure_rating6]]/10</f>
        <v>3.2192306657999999E-6</v>
      </c>
      <c r="JM10" s="1">
        <f>Table1567[[#This Row],[Total_Cost_MUSD]]*Table1567[[#This Row],[prob10-failure_rating7]]/10</f>
        <v>3.2192306657999999E-6</v>
      </c>
      <c r="JN10" s="1">
        <f>Table1567[[#This Row],[Total_Cost_MUSD]]*Table1567[[#This Row],[prob10-failure_rating8]]/10</f>
        <v>7.1538459239999995E-8</v>
      </c>
      <c r="JO10" s="1">
        <f>Table1567[[#This Row],[Total_Cost_MUSD]]*Table1567[[#This Row],[prob10-failure_rating9]]/10</f>
        <v>4.4711537024999997E-8</v>
      </c>
      <c r="JP10" s="1">
        <f>Table1567[[#This Row],[FailureCost_Rating1]]</f>
        <v>3159.6152830999995</v>
      </c>
      <c r="JQ10" s="1">
        <f>Table1567[[#This Row],[FailureCost_Rating2]]</f>
        <v>3159.6152830999995</v>
      </c>
      <c r="JR10" s="1">
        <f>(Table1567[[#This Row],[failurecost500_rating2]]+Table1567[[#This Row],[failurecost100_rating2]]+Table1567[[#This Row],[failurecost50_rating2]]+Table1567[[#This Row],[failurecost10_rating2]])*1000000</f>
        <v>3159.6152830999995</v>
      </c>
      <c r="JS10" s="1">
        <f>(Table1567[[#This Row],[failurecost500_rating3]]+Table1567[[#This Row],[failurecost100_rating3]]+Table1567[[#This Row],[failurecost50_rating3]]+Table1567[[#This Row],[failurecost10_rating3]])*1000000</f>
        <v>525.21152158699999</v>
      </c>
      <c r="JT10" s="1">
        <f>(Table1567[[#This Row],[failurecost500_rating4]]+Table1567[[#This Row],[failurecost100_rating4]]+Table1567[[#This Row],[failurecost50_rating4]]+Table1567[[#This Row],[failurecost10_rating4]])*1000000</f>
        <v>158.87499489550001</v>
      </c>
      <c r="JU10" s="1">
        <f>(Table1567[[#This Row],[failurecost500_rating5]]+Table1567[[#This Row],[failurecost100_rating5]]+Table1567[[#This Row],[failurecost50_rating5]]+Table1567[[#This Row],[failurecost10_rating5]])*1000000</f>
        <v>37.080768039399992</v>
      </c>
      <c r="JV10" s="1">
        <f>(Table1567[[#This Row],[failurecost500_rating6]]+Table1567[[#This Row],[failurecost100_rating6]]+Table1567[[#This Row],[failurecost50_rating6]]+Table1567[[#This Row],[failurecost10_rating6]])*1000000</f>
        <v>8.0659612793099988</v>
      </c>
      <c r="JW10" s="1">
        <f>(Table1567[[#This Row],[failurecost500_rating7]]+Table1567[[#This Row],[failurecost100_rating7]]+Table1567[[#This Row],[failurecost50_rating7]]+Table1567[[#This Row],[failurecost10_rating7]])*1000000</f>
        <v>5.7409613540100004</v>
      </c>
      <c r="JX10" s="1">
        <f>(Table1567[[#This Row],[failurecost500_rating8]]+Table1567[[#This Row],[failurecost100_rating8]]+Table1567[[#This Row],[failurecost50_rating8]]+Table1567[[#This Row],[failurecost10_rating8]])*1000000</f>
        <v>0.91449997061800015</v>
      </c>
      <c r="JY10" s="1">
        <f>(Table1567[[#This Row],[failurecost500_rating9]]+Table1567[[#This Row],[failurecost100_rating9]]+Table1567[[#This Row],[failurecost50_rating9]]+Table1567[[#This Row],[failurecost10_rating9]])*1000000</f>
        <v>8.6442304915000004E-2</v>
      </c>
    </row>
    <row r="11" spans="1:285" ht="27.45" customHeight="1" x14ac:dyDescent="0.3">
      <c r="A11" s="1">
        <v>10</v>
      </c>
      <c r="B11" s="1" t="s">
        <v>254</v>
      </c>
      <c r="C11" s="1" t="s">
        <v>236</v>
      </c>
      <c r="D11" s="1">
        <v>42.389629999999997</v>
      </c>
      <c r="E11" s="1">
        <v>-71.071100000000001</v>
      </c>
      <c r="F11" s="1">
        <v>14.58312607</v>
      </c>
      <c r="G11" s="1">
        <v>12.28312683</v>
      </c>
      <c r="H11" s="1">
        <v>15.68312645</v>
      </c>
      <c r="I11" s="1">
        <v>17.883127210000001</v>
      </c>
      <c r="J11" s="1">
        <v>2144.4843940000001</v>
      </c>
      <c r="K11" s="1">
        <v>1398.7070060000001</v>
      </c>
      <c r="L11" s="1">
        <v>2144.4843940000001</v>
      </c>
      <c r="M11" s="1">
        <v>1430.7070060000001</v>
      </c>
      <c r="N11" s="1">
        <v>2144.4843940000001</v>
      </c>
      <c r="O11" s="1">
        <v>1430.7070060000001</v>
      </c>
      <c r="P11" s="1">
        <v>2144.4843940000001</v>
      </c>
      <c r="Q11" s="1">
        <v>1430.7070060000001</v>
      </c>
      <c r="R11" s="1">
        <v>2144.4843940000001</v>
      </c>
      <c r="S11" s="1">
        <v>1430.7070060000001</v>
      </c>
      <c r="T11" s="1">
        <v>1.5331905720000001</v>
      </c>
      <c r="U11" s="1">
        <v>1.498898367</v>
      </c>
      <c r="V11" s="1">
        <v>1.498898367</v>
      </c>
      <c r="W11" s="1">
        <v>1.498898367</v>
      </c>
      <c r="X11" s="1">
        <v>1.498898367</v>
      </c>
      <c r="Y11" s="1">
        <v>2.1428571E-2</v>
      </c>
      <c r="Z11" s="1">
        <v>16.133333329999999</v>
      </c>
      <c r="AA11" s="1">
        <v>3.834494002</v>
      </c>
      <c r="AB11" s="1">
        <v>3.834494002</v>
      </c>
      <c r="AC11" s="1">
        <v>3.834494002</v>
      </c>
      <c r="AD11" s="1">
        <v>3.834494002</v>
      </c>
      <c r="AE11" s="1">
        <v>0.34931649300000001</v>
      </c>
      <c r="AF11" s="1">
        <v>0.32058872500000002</v>
      </c>
      <c r="AG11" s="1">
        <v>0.30914144799999999</v>
      </c>
      <c r="AH11" s="1">
        <v>0.289502172</v>
      </c>
      <c r="AI11" s="1">
        <v>6.7571548430000004</v>
      </c>
      <c r="AJ11" s="1">
        <v>6.9155543650000002</v>
      </c>
      <c r="AK11" s="1">
        <v>6.9837803489999999</v>
      </c>
      <c r="AL11" s="1">
        <v>7.1086483740000004</v>
      </c>
      <c r="AM11" s="1">
        <v>457.33037669999999</v>
      </c>
      <c r="AN11" s="1">
        <v>490.25206880000002</v>
      </c>
      <c r="AO11" s="1">
        <v>504.90555710000001</v>
      </c>
      <c r="AP11" s="1">
        <v>532.47538159999999</v>
      </c>
      <c r="AQ11" s="1">
        <f>Table1567[[#This Row],[Depth10_Soil_vol]]*(9.353+9.027)+(Table1567[[#This Row],[Depth10_Soil_vol]]/2.5)*20*1.053+(PI()*Table1567[[#This Row],[Depth10_Scour]])*Table1567[[#This Row],[DECK_WIDTH_MT_052]]*1.062</f>
        <v>12912.070383440046</v>
      </c>
      <c r="AR11" s="1">
        <f>Table1567[[#This Row],[Depth50_Soil_vol]]*(9.353+9.027)+(Table1567[[#This Row],[Depth50_Soil_vol]]/2.5)*20*1.053+(PI()*Table1567[[#This Row],[Depth50_Scour]])*Table1567[[#This Row],[DECK_WIDTH_MT_052]]*1.062</f>
        <v>13809.829327894035</v>
      </c>
      <c r="AS11" s="1">
        <f>Table1567[[#This Row],[Depth100_Soil_vol]]*(9.353+9.027)+(Table1567[[#This Row],[Depth100_Soil_vol]]/2.5)*20*1.053+(PI()*Table1567[[#This Row],[Depth100_Scour]])*Table1567[[#This Row],[DECK_WIDTH_MT_052]]*1.062</f>
        <v>14209.20261771438</v>
      </c>
      <c r="AT11" s="1">
        <f>Table1567[[#This Row],[Depth500_Soil_vol]]*(9.353+9.027)+(Table1567[[#This Row],[Depth500_Soil_vol]]/2.5)*20*1.053+(PI()*Table1567[[#This Row],[Depth500_Scour]])*Table1567[[#This Row],[DECK_WIDTH_MT_052]]*1.062</f>
        <v>14960.265770719694</v>
      </c>
      <c r="AU11" s="1">
        <v>2.92</v>
      </c>
      <c r="AV11" s="1">
        <v>29.45</v>
      </c>
      <c r="AW11" s="1" t="s">
        <v>184</v>
      </c>
      <c r="AX11" s="1">
        <v>5</v>
      </c>
      <c r="AY11" s="1">
        <v>5</v>
      </c>
      <c r="AZ11" s="1">
        <v>5</v>
      </c>
      <c r="BA11" s="1">
        <v>5</v>
      </c>
      <c r="BB11" s="1">
        <v>25</v>
      </c>
      <c r="BC11" s="1" t="s">
        <v>255</v>
      </c>
      <c r="BD11" s="1">
        <v>42232006</v>
      </c>
      <c r="BE11" s="1">
        <v>71041841</v>
      </c>
      <c r="BF11" s="1">
        <v>1</v>
      </c>
      <c r="BG11" s="1">
        <v>3</v>
      </c>
      <c r="BH11" s="1">
        <v>1</v>
      </c>
      <c r="BI11" s="1">
        <v>99</v>
      </c>
      <c r="BJ11" s="1">
        <v>0</v>
      </c>
      <c r="BK11" s="1">
        <v>6</v>
      </c>
      <c r="BL11" s="1">
        <v>25</v>
      </c>
      <c r="BM11" s="1">
        <v>7000</v>
      </c>
      <c r="BN11" s="1" t="s">
        <v>256</v>
      </c>
      <c r="BO11" s="1">
        <v>0</v>
      </c>
      <c r="BP11" s="1" t="s">
        <v>257</v>
      </c>
      <c r="BQ11" s="1" t="s">
        <v>258</v>
      </c>
      <c r="BR11" s="1">
        <v>99.99</v>
      </c>
      <c r="BS11" s="1">
        <v>2.145</v>
      </c>
      <c r="BT11" s="1">
        <v>1</v>
      </c>
      <c r="BU11" s="1">
        <v>0</v>
      </c>
      <c r="BV11" s="1">
        <v>0</v>
      </c>
      <c r="BW11" s="1">
        <v>6</v>
      </c>
      <c r="BX11" s="1">
        <v>3</v>
      </c>
      <c r="BY11" s="1">
        <v>4</v>
      </c>
      <c r="BZ11" s="1">
        <v>4</v>
      </c>
      <c r="CA11" s="1">
        <v>14</v>
      </c>
      <c r="CB11" s="1">
        <v>1963</v>
      </c>
      <c r="CC11" s="1">
        <v>4</v>
      </c>
      <c r="CD11" s="1">
        <v>0</v>
      </c>
      <c r="CE11" s="1">
        <v>55000</v>
      </c>
      <c r="CF11" s="1">
        <v>2016</v>
      </c>
      <c r="CG11" s="1">
        <v>9</v>
      </c>
      <c r="CH11" s="1">
        <v>25</v>
      </c>
      <c r="CI11" s="1">
        <v>3</v>
      </c>
      <c r="CJ11" s="1">
        <v>0</v>
      </c>
      <c r="CK11" s="1">
        <v>0</v>
      </c>
      <c r="CL11" s="1">
        <v>1</v>
      </c>
      <c r="CM11" s="1">
        <v>0</v>
      </c>
      <c r="CN11" s="1">
        <v>1</v>
      </c>
      <c r="CO11" s="1">
        <v>1</v>
      </c>
      <c r="CP11" s="1">
        <v>5</v>
      </c>
      <c r="CQ11" s="1">
        <v>1</v>
      </c>
      <c r="CR11" s="1">
        <v>2.1</v>
      </c>
      <c r="CS11" s="1">
        <v>22.9</v>
      </c>
      <c r="CT11" s="1" t="s">
        <v>189</v>
      </c>
      <c r="CU11" s="1">
        <v>5</v>
      </c>
      <c r="CV11" s="1">
        <v>5</v>
      </c>
      <c r="CW11" s="1">
        <v>3</v>
      </c>
      <c r="CX11" s="1">
        <v>16</v>
      </c>
      <c r="CY11" s="1">
        <v>3</v>
      </c>
      <c r="CZ11" s="1">
        <v>2</v>
      </c>
      <c r="DA11" s="1">
        <v>1</v>
      </c>
      <c r="DB11" s="1">
        <v>7</v>
      </c>
      <c r="DC11" s="1">
        <v>11.6</v>
      </c>
      <c r="DD11" s="1">
        <v>48.6</v>
      </c>
      <c r="DE11" s="1">
        <v>251.5</v>
      </c>
      <c r="DF11" s="1">
        <v>2</v>
      </c>
      <c r="DG11" s="1">
        <v>2</v>
      </c>
      <c r="DH11" s="1">
        <v>23.2</v>
      </c>
      <c r="DI11" s="1">
        <v>29</v>
      </c>
      <c r="DJ11" s="1">
        <v>99.99</v>
      </c>
      <c r="DK11" s="1" t="s">
        <v>190</v>
      </c>
      <c r="DL11" s="1">
        <v>0</v>
      </c>
      <c r="DM11" s="1" t="s">
        <v>190</v>
      </c>
      <c r="DN11" s="1">
        <v>0</v>
      </c>
      <c r="DO11" s="1">
        <v>0</v>
      </c>
      <c r="DP11" s="1">
        <v>6</v>
      </c>
      <c r="DQ11" s="1">
        <v>7</v>
      </c>
      <c r="DR11" s="1">
        <v>6</v>
      </c>
      <c r="DS11" s="1">
        <v>5</v>
      </c>
      <c r="DT11" s="1" t="s">
        <v>190</v>
      </c>
      <c r="DU11" s="1">
        <v>2</v>
      </c>
      <c r="DV11" s="1">
        <v>41.8</v>
      </c>
      <c r="DW11" s="1">
        <v>2</v>
      </c>
      <c r="DX11" s="1">
        <v>25.3</v>
      </c>
      <c r="DY11" s="1">
        <v>6</v>
      </c>
      <c r="DZ11" s="1">
        <v>9</v>
      </c>
      <c r="EA11" s="1" t="s">
        <v>190</v>
      </c>
      <c r="EB11" s="1">
        <v>5</v>
      </c>
      <c r="EC11" s="1">
        <v>6</v>
      </c>
      <c r="ED11" s="1">
        <v>5</v>
      </c>
      <c r="EE11" s="1">
        <v>0</v>
      </c>
      <c r="EF11" s="1">
        <v>0</v>
      </c>
      <c r="EG11" s="1">
        <v>0</v>
      </c>
      <c r="EH11" s="1">
        <v>618</v>
      </c>
      <c r="EI11" s="1">
        <v>24</v>
      </c>
      <c r="EJ11" s="1" t="s">
        <v>214</v>
      </c>
      <c r="EK11" s="1" t="s">
        <v>192</v>
      </c>
      <c r="EL11" s="1" t="s">
        <v>191</v>
      </c>
      <c r="EM11" s="1">
        <v>618</v>
      </c>
      <c r="EN11" s="1">
        <v>1017</v>
      </c>
      <c r="EO11" s="1">
        <v>0</v>
      </c>
      <c r="EP11" s="1">
        <v>0</v>
      </c>
      <c r="EQ11" s="1">
        <v>0</v>
      </c>
      <c r="ER11" s="1">
        <v>0</v>
      </c>
      <c r="ES11" s="1">
        <v>2020</v>
      </c>
      <c r="ET11" s="1">
        <v>0</v>
      </c>
      <c r="EU11" s="1">
        <v>0</v>
      </c>
      <c r="EV11" s="1" t="s">
        <v>193</v>
      </c>
      <c r="EW11" s="1">
        <v>0</v>
      </c>
      <c r="EX11" s="1" t="s">
        <v>190</v>
      </c>
      <c r="EY11" s="1">
        <v>2</v>
      </c>
      <c r="EZ11" s="1">
        <v>0</v>
      </c>
      <c r="FA11" s="1">
        <v>1</v>
      </c>
      <c r="FB11" s="1">
        <v>0</v>
      </c>
      <c r="FC11" s="1">
        <v>2014</v>
      </c>
      <c r="FD11" s="1">
        <v>1</v>
      </c>
      <c r="FE11" s="1">
        <v>6</v>
      </c>
      <c r="FF11" s="1">
        <v>1</v>
      </c>
      <c r="FG11" s="1">
        <v>1</v>
      </c>
      <c r="FH11" s="1">
        <v>15</v>
      </c>
      <c r="FI11" s="1">
        <v>0</v>
      </c>
      <c r="FJ11" s="1">
        <v>3</v>
      </c>
      <c r="FK11" s="1" t="s">
        <v>194</v>
      </c>
      <c r="FL11" s="1">
        <v>4</v>
      </c>
      <c r="FM11" s="1">
        <v>86862</v>
      </c>
      <c r="FN11" s="1">
        <v>2031</v>
      </c>
      <c r="FO11" s="1">
        <v>0</v>
      </c>
      <c r="FP11" s="1" t="s">
        <v>190</v>
      </c>
      <c r="FQ11" s="1">
        <v>25</v>
      </c>
      <c r="FR11" s="1" t="s">
        <v>206</v>
      </c>
      <c r="FS11" s="1">
        <v>6</v>
      </c>
      <c r="FT11" s="1">
        <v>7293.5</v>
      </c>
      <c r="FU11" s="1">
        <v>183</v>
      </c>
      <c r="FV11" s="1">
        <v>60</v>
      </c>
      <c r="FW11" s="1">
        <v>80</v>
      </c>
      <c r="FX11" s="1">
        <v>2</v>
      </c>
      <c r="FY11" s="1">
        <v>5</v>
      </c>
      <c r="FZ11" s="1">
        <v>889807</v>
      </c>
      <c r="GA11" s="1">
        <v>34875225</v>
      </c>
      <c r="GB11" s="1">
        <v>23663844.149999999</v>
      </c>
      <c r="GC11" s="1">
        <v>2500000</v>
      </c>
      <c r="GD11" s="1"/>
      <c r="GE11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11" s="1">
        <v>61.928876150000001</v>
      </c>
      <c r="GG11" s="1">
        <v>0</v>
      </c>
      <c r="GH11" s="1">
        <v>0</v>
      </c>
      <c r="GI11" s="1">
        <v>0</v>
      </c>
      <c r="GJ11" s="1">
        <v>0</v>
      </c>
      <c r="GK11" s="1">
        <v>4</v>
      </c>
      <c r="GL11" s="1">
        <v>27523.944955555551</v>
      </c>
      <c r="GM11" s="1">
        <v>15482.219037499999</v>
      </c>
      <c r="GN11" s="1">
        <v>9908.6201840000012</v>
      </c>
      <c r="GO11" s="1">
        <v>6880.9862388888878</v>
      </c>
      <c r="GP11" s="1">
        <v>5055.4184612244899</v>
      </c>
      <c r="GQ11" s="1">
        <v>3870.5547593749998</v>
      </c>
      <c r="GR11" s="1">
        <v>3058.2161061728393</v>
      </c>
      <c r="GS11" s="1">
        <v>0</v>
      </c>
      <c r="GT11" s="1">
        <v>0</v>
      </c>
      <c r="GU11" s="1">
        <v>0</v>
      </c>
      <c r="GV11" s="1">
        <v>0.01</v>
      </c>
      <c r="GW11" s="1">
        <v>5.0000000000000001E-3</v>
      </c>
      <c r="GX11" s="1">
        <v>1.1000000000000001E-3</v>
      </c>
      <c r="GY11" s="1">
        <v>4.0000000000000002E-4</v>
      </c>
      <c r="GZ11" s="1">
        <v>6.9999999999999994E-5</v>
      </c>
      <c r="HA11" s="1">
        <v>1.8E-5</v>
      </c>
      <c r="HB11" s="1">
        <v>1.8E-5</v>
      </c>
      <c r="HC11" s="1">
        <v>3.9999999999999998E-7</v>
      </c>
      <c r="HD11" s="1">
        <v>2.4999999999999999E-7</v>
      </c>
      <c r="HE11" s="1">
        <v>1</v>
      </c>
      <c r="HF11" s="1">
        <v>0.01</v>
      </c>
      <c r="HG11" s="1">
        <v>1.25E-3</v>
      </c>
      <c r="HH11" s="1">
        <v>2.7500000000000002E-4</v>
      </c>
      <c r="HI11" s="1">
        <v>1E-4</v>
      </c>
      <c r="HJ11" s="1">
        <v>1.7499999999999998E-5</v>
      </c>
      <c r="HK11" s="1">
        <v>4.5000000000000001E-6</v>
      </c>
      <c r="HL11" s="1">
        <v>4.5000000000000001E-6</v>
      </c>
      <c r="HM11" s="1">
        <v>9.9999999999999995E-8</v>
      </c>
      <c r="HN11" s="1">
        <v>0.01</v>
      </c>
      <c r="HO11" s="1">
        <v>8.3333333333333339E-4</v>
      </c>
      <c r="HP11" s="1">
        <v>1.8333333333333334E-4</v>
      </c>
      <c r="HQ11" s="1">
        <v>6.666666666666667E-5</v>
      </c>
      <c r="HR11" s="1">
        <v>1.1666666666666666E-5</v>
      </c>
      <c r="HS11" s="1">
        <v>3.0000000000000001E-6</v>
      </c>
      <c r="HT11" s="1">
        <v>3.0000000000000001E-6</v>
      </c>
      <c r="HU11" s="1">
        <v>6.6666666666666668E-8</v>
      </c>
      <c r="HV11" s="1">
        <v>4.1666666666666663E-8</v>
      </c>
      <c r="HW11" s="1">
        <v>0.01</v>
      </c>
      <c r="HX11" s="1">
        <v>5.0000000000000001E-4</v>
      </c>
      <c r="HY11" s="1">
        <v>1.1E-4</v>
      </c>
      <c r="HZ11" s="1">
        <v>4.0000000000000003E-5</v>
      </c>
      <c r="IA11" s="1">
        <v>6.999999999999999E-6</v>
      </c>
      <c r="IB11" s="1">
        <v>1.8000000000000001E-6</v>
      </c>
      <c r="IC11" s="1">
        <v>1.8000000000000001E-6</v>
      </c>
      <c r="ID11" s="1">
        <v>4.0000000000000001E-8</v>
      </c>
      <c r="IE11" s="1">
        <v>2.4999999999999999E-8</v>
      </c>
      <c r="IF11" s="1">
        <f>Table1567[[#This Row],[Total_Cost_MUSD]]*Table1567[[#This Row],[prob500-failure_rating1]]/500</f>
        <v>1.2385775230000001E-3</v>
      </c>
      <c r="IG11" s="1">
        <f>Table1567[[#This Row],[Total_Cost_MUSD]]*Table1567[[#This Row],[prob500-failure_rating2]]/500</f>
        <v>6.1928876150000006E-4</v>
      </c>
      <c r="IH11" s="1">
        <f>Table1567[[#This Row],[Total_Cost_MUSD]]*Table1567[[#This Row],[prob500-failure_rating3]]/500</f>
        <v>1.3624352753000002E-4</v>
      </c>
      <c r="II11" s="1">
        <f>Table1567[[#This Row],[Total_Cost_MUSD]]*Table1567[[#This Row],[prob500-failure_rating4]]/500</f>
        <v>4.9543100920000008E-5</v>
      </c>
      <c r="IJ11" s="1">
        <f>Table1567[[#This Row],[Total_Cost_MUSD]]*Table1567[[#This Row],[prob500-failure_rating5]]/500</f>
        <v>8.6700426609999988E-6</v>
      </c>
      <c r="IK11" s="1">
        <f>Table1567[[#This Row],[Total_Cost_MUSD]]*Table1567[[#This Row],[prob500-failure_rating6]]/500</f>
        <v>2.2294395414000003E-6</v>
      </c>
      <c r="IL11" s="1">
        <f>Table1567[[#This Row],[Total_Cost_MUSD]]*Table1567[[#This Row],[prob500-failure_rating7]]/500</f>
        <v>2.2294395414000003E-6</v>
      </c>
      <c r="IM11" s="1">
        <f>Table1567[[#This Row],[Total_Cost_MUSD]]*Table1567[[#This Row],[prob500-failure_rating8]]/500</f>
        <v>4.9543100919999999E-8</v>
      </c>
      <c r="IN11" s="1">
        <f>Table1567[[#This Row],[Total_Cost_MUSD]]*Table1567[[#This Row],[prob500-failure_rating9]]/500</f>
        <v>3.0964438075000002E-8</v>
      </c>
      <c r="IO11" s="1">
        <f>Table1567[[#This Row],[Total_Cost_MUSD]]*Table1567[[#This Row],[prob100-failure_rating1]]/100</f>
        <v>0.61928876150000001</v>
      </c>
      <c r="IP11" s="1">
        <f>Table1567[[#This Row],[Total_Cost_MUSD]]*Table1567[[#This Row],[prob100-failure_rating2]]/100</f>
        <v>6.1928876149999999E-3</v>
      </c>
      <c r="IQ11" s="1">
        <f>Table1567[[#This Row],[Total_Cost_MUSD]]*Table1567[[#This Row],[prob100-failure_rating3]]/100</f>
        <v>7.7411095187499999E-4</v>
      </c>
      <c r="IR11" s="1">
        <f>Table1567[[#This Row],[Total_Cost_MUSD]]*Table1567[[#This Row],[prob100-failure_rating4]]/100</f>
        <v>1.7030440941250002E-4</v>
      </c>
      <c r="IS11" s="1">
        <f>Table1567[[#This Row],[Total_Cost_MUSD]]*Table1567[[#This Row],[prob100-failure_rating5]]/100</f>
        <v>6.1928876150000011E-5</v>
      </c>
      <c r="IT11" s="1">
        <f>Table1567[[#This Row],[Total_Cost_MUSD]]*Table1567[[#This Row],[prob100-failure_rating6]]/100</f>
        <v>1.0837553326249999E-5</v>
      </c>
      <c r="IU11" s="1">
        <f>Table1567[[#This Row],[Total_Cost_MUSD]]*Table1567[[#This Row],[prob100-failure_rating7]]/100</f>
        <v>2.7867994267500002E-6</v>
      </c>
      <c r="IV11" s="1">
        <f>Table1567[[#This Row],[Total_Cost_MUSD]]*Table1567[[#This Row],[prob100-failure_rating8]]/100</f>
        <v>2.7867994267500002E-6</v>
      </c>
      <c r="IW11" s="1">
        <f>Table1567[[#This Row],[Total_Cost_MUSD]]*Table1567[[#This Row],[prob100-failure_rating9]]/100</f>
        <v>6.1928876150000004E-8</v>
      </c>
      <c r="IX11" s="1">
        <f>Table1567[[#This Row],[Total_Cost_MUSD]]*Table1567[[#This Row],[prob50-failure_rating1]]/50</f>
        <v>1.238577523E-2</v>
      </c>
      <c r="IY11" s="1">
        <f>Table1567[[#This Row],[Total_Cost_MUSD]]*Table1567[[#This Row],[prob50-failure_rating2]]/50</f>
        <v>1.0321479358333333E-3</v>
      </c>
      <c r="IZ11" s="1">
        <f>Table1567[[#This Row],[Total_Cost_MUSD]]*Table1567[[#This Row],[prob50-failure_rating3]]/50</f>
        <v>2.2707254588333334E-4</v>
      </c>
      <c r="JA11" s="1">
        <f>Table1567[[#This Row],[Total_Cost_MUSD]]*Table1567[[#This Row],[prob50-failure_rating4]]/50</f>
        <v>8.2571834866666664E-5</v>
      </c>
      <c r="JB11" s="1">
        <f>Table1567[[#This Row],[Total_Cost_MUSD]]*Table1567[[#This Row],[prob50-failure_rating5]]/50</f>
        <v>1.4450071101666667E-5</v>
      </c>
      <c r="JC11" s="1">
        <f>Table1567[[#This Row],[Total_Cost_MUSD]]*Table1567[[#This Row],[prob50-failure_rating6]]/50</f>
        <v>3.7157325690000001E-6</v>
      </c>
      <c r="JD11" s="1">
        <f>Table1567[[#This Row],[Total_Cost_MUSD]]*Table1567[[#This Row],[prob50-failure_rating7]]/50</f>
        <v>3.7157325690000001E-6</v>
      </c>
      <c r="JE11" s="1">
        <f>Table1567[[#This Row],[Total_Cost_MUSD]]*Table1567[[#This Row],[prob50-failure_rating8]]/50</f>
        <v>8.2571834866666668E-8</v>
      </c>
      <c r="JF11" s="1">
        <f>Table1567[[#This Row],[Total_Cost_MUSD]]*Table1567[[#This Row],[prob50-failure_rating9]]/50</f>
        <v>5.1607396791666666E-8</v>
      </c>
      <c r="JG11" s="1">
        <f>Table1567[[#This Row],[Total_Cost_MUSD]]*Table1567[[#This Row],[prob10-failure_rating1]]/10</f>
        <v>6.1928876149999999E-2</v>
      </c>
      <c r="JH11" s="1">
        <f>Table1567[[#This Row],[Total_Cost_MUSD]]*Table1567[[#This Row],[prob10-failure_rating2]]/10</f>
        <v>3.0964438075E-3</v>
      </c>
      <c r="JI11" s="1">
        <f>Table1567[[#This Row],[Total_Cost_MUSD]]*Table1567[[#This Row],[prob10-failure_rating3]]/10</f>
        <v>6.8121763764999999E-4</v>
      </c>
      <c r="JJ11" s="1">
        <f>Table1567[[#This Row],[Total_Cost_MUSD]]*Table1567[[#This Row],[prob10-failure_rating4]]/10</f>
        <v>2.4771550460000004E-4</v>
      </c>
      <c r="JK11" s="1">
        <f>Table1567[[#This Row],[Total_Cost_MUSD]]*Table1567[[#This Row],[prob10-failure_rating5]]/10</f>
        <v>4.3350213304999996E-5</v>
      </c>
      <c r="JL11" s="1">
        <f>Table1567[[#This Row],[Total_Cost_MUSD]]*Table1567[[#This Row],[prob10-failure_rating6]]/10</f>
        <v>1.1147197707000001E-5</v>
      </c>
      <c r="JM11" s="1">
        <f>Table1567[[#This Row],[Total_Cost_MUSD]]*Table1567[[#This Row],[prob10-failure_rating7]]/10</f>
        <v>1.1147197707000001E-5</v>
      </c>
      <c r="JN11" s="1">
        <f>Table1567[[#This Row],[Total_Cost_MUSD]]*Table1567[[#This Row],[prob10-failure_rating8]]/10</f>
        <v>2.4771550460000002E-7</v>
      </c>
      <c r="JO11" s="1">
        <f>Table1567[[#This Row],[Total_Cost_MUSD]]*Table1567[[#This Row],[prob10-failure_rating9]]/10</f>
        <v>1.54822190375E-7</v>
      </c>
      <c r="JP11" s="1">
        <f>Table1567[[#This Row],[FailureCost_Rating1]]</f>
        <v>10940.768119833332</v>
      </c>
      <c r="JQ11" s="1">
        <f>Table1567[[#This Row],[FailureCost_Rating2]]</f>
        <v>10940.768119833332</v>
      </c>
      <c r="JR11" s="1">
        <f>(Table1567[[#This Row],[failurecost500_rating2]]+Table1567[[#This Row],[failurecost100_rating2]]+Table1567[[#This Row],[failurecost50_rating2]]+Table1567[[#This Row],[failurecost10_rating2]])*1000000</f>
        <v>10940.768119833332</v>
      </c>
      <c r="JS11" s="1">
        <f>(Table1567[[#This Row],[failurecost500_rating3]]+Table1567[[#This Row],[failurecost100_rating3]]+Table1567[[#This Row],[failurecost50_rating3]]+Table1567[[#This Row],[failurecost10_rating3]])*1000000</f>
        <v>1818.6446629383336</v>
      </c>
      <c r="JT11" s="1">
        <f>(Table1567[[#This Row],[failurecost500_rating4]]+Table1567[[#This Row],[failurecost100_rating4]]+Table1567[[#This Row],[failurecost50_rating4]]+Table1567[[#This Row],[failurecost10_rating4]])*1000000</f>
        <v>550.13484979916677</v>
      </c>
      <c r="JU11" s="1">
        <f>(Table1567[[#This Row],[failurecost500_rating5]]+Table1567[[#This Row],[failurecost100_rating5]]+Table1567[[#This Row],[failurecost50_rating5]]+Table1567[[#This Row],[failurecost10_rating5]])*1000000</f>
        <v>128.39920321766667</v>
      </c>
      <c r="JV11" s="1">
        <f>(Table1567[[#This Row],[failurecost500_rating6]]+Table1567[[#This Row],[failurecost100_rating6]]+Table1567[[#This Row],[failurecost50_rating6]]+Table1567[[#This Row],[failurecost10_rating6]])*1000000</f>
        <v>27.929923143650001</v>
      </c>
      <c r="JW11" s="1">
        <f>(Table1567[[#This Row],[failurecost500_rating7]]+Table1567[[#This Row],[failurecost100_rating7]]+Table1567[[#This Row],[failurecost50_rating7]]+Table1567[[#This Row],[failurecost10_rating7]])*1000000</f>
        <v>19.879169244150003</v>
      </c>
      <c r="JX11" s="1">
        <f>(Table1567[[#This Row],[failurecost500_rating8]]+Table1567[[#This Row],[failurecost100_rating8]]+Table1567[[#This Row],[failurecost50_rating8]]+Table1567[[#This Row],[failurecost10_rating8]])*1000000</f>
        <v>3.1666298671366668</v>
      </c>
      <c r="JY11" s="1">
        <f>(Table1567[[#This Row],[failurecost500_rating9]]+Table1567[[#This Row],[failurecost100_rating9]]+Table1567[[#This Row],[failurecost50_rating9]]+Table1567[[#This Row],[failurecost10_rating9]])*1000000</f>
        <v>0.29932290139166667</v>
      </c>
    </row>
    <row r="12" spans="1:285" ht="28.8" x14ac:dyDescent="0.3">
      <c r="A12" s="1">
        <v>11</v>
      </c>
      <c r="B12" s="1" t="s">
        <v>259</v>
      </c>
      <c r="C12" s="1" t="s">
        <v>260</v>
      </c>
      <c r="D12" s="1">
        <v>42.351320000000001</v>
      </c>
      <c r="E12" s="1">
        <v>-71.052800000000005</v>
      </c>
      <c r="F12" s="1">
        <v>9.8054504389999995</v>
      </c>
      <c r="G12" s="1">
        <v>7.5054497720000004</v>
      </c>
      <c r="H12" s="1">
        <v>10.90544987</v>
      </c>
      <c r="I12" s="1">
        <v>13.10545063</v>
      </c>
      <c r="J12" s="1">
        <v>1350.3525440000001</v>
      </c>
      <c r="K12" s="1">
        <v>877.06533300000001</v>
      </c>
      <c r="L12" s="1">
        <v>1350.3525440000001</v>
      </c>
      <c r="M12" s="1">
        <v>1071.9037330000001</v>
      </c>
      <c r="N12" s="1">
        <v>1350.3525440000001</v>
      </c>
      <c r="O12" s="1">
        <v>1071.9037330000001</v>
      </c>
      <c r="P12" s="1">
        <v>1350.3525440000001</v>
      </c>
      <c r="Q12" s="1">
        <v>1071.9037330000001</v>
      </c>
      <c r="R12" s="1">
        <v>1350.3525440000001</v>
      </c>
      <c r="S12" s="1">
        <v>1056.9037330000001</v>
      </c>
      <c r="T12" s="1">
        <v>1.539625947</v>
      </c>
      <c r="U12" s="1">
        <v>1.259770353</v>
      </c>
      <c r="V12" s="1">
        <v>1.259770353</v>
      </c>
      <c r="W12" s="1">
        <v>1.259770353</v>
      </c>
      <c r="X12" s="1">
        <v>1.277649517</v>
      </c>
      <c r="Y12" s="1">
        <v>0.109271523</v>
      </c>
      <c r="Z12" s="1">
        <v>29</v>
      </c>
      <c r="AA12" s="1">
        <v>7.7115986120000004</v>
      </c>
      <c r="AB12" s="1">
        <v>7.7115986120000004</v>
      </c>
      <c r="AC12" s="1">
        <v>7.7115986120000004</v>
      </c>
      <c r="AD12" s="1">
        <v>7.7843911610000003</v>
      </c>
      <c r="AE12" s="1">
        <v>0.89871409199999996</v>
      </c>
      <c r="AF12" s="1">
        <v>0.78627802499999999</v>
      </c>
      <c r="AG12" s="1">
        <v>0.74556947699999998</v>
      </c>
      <c r="AH12" s="1">
        <v>0.68653734799999999</v>
      </c>
      <c r="AI12" s="1">
        <v>11.6339022</v>
      </c>
      <c r="AJ12" s="1">
        <v>12.0613986</v>
      </c>
      <c r="AK12" s="1">
        <v>12.23577367</v>
      </c>
      <c r="AL12" s="1">
        <v>12.59389494</v>
      </c>
      <c r="AM12" s="1">
        <v>207.1910226</v>
      </c>
      <c r="AN12" s="1">
        <v>230.8807467</v>
      </c>
      <c r="AO12" s="1">
        <v>241.0399415</v>
      </c>
      <c r="AP12" s="1">
        <v>262.82998279999998</v>
      </c>
      <c r="AQ12" s="1">
        <f>Table1567[[#This Row],[Depth10_Soil_vol]]*(9.353+9.027)+(Table1567[[#This Row],[Depth10_Soil_vol]]/2.5)*20*1.053+(PI()*Table1567[[#This Row],[Depth10_Scour]])*Table1567[[#This Row],[DECK_WIDTH_MT_052]]*1.062</f>
        <v>6737.4062355001524</v>
      </c>
      <c r="AR12" s="1">
        <f>Table1567[[#This Row],[Depth50_Soil_vol]]*(9.353+9.027)+(Table1567[[#This Row],[Depth50_Soil_vol]]/2.5)*20*1.053+(PI()*Table1567[[#This Row],[Depth50_Scour]])*Table1567[[#This Row],[DECK_WIDTH_MT_052]]*1.062</f>
        <v>7415.8873465101096</v>
      </c>
      <c r="AS12" s="1">
        <f>Table1567[[#This Row],[Depth100_Soil_vol]]*(9.353+9.027)+(Table1567[[#This Row],[Depth100_Soil_vol]]/2.5)*20*1.053+(PI()*Table1567[[#This Row],[Depth100_Scour]])*Table1567[[#This Row],[DECK_WIDTH_MT_052]]*1.062</f>
        <v>7705.9386938101106</v>
      </c>
      <c r="AT12" s="1">
        <f>Table1567[[#This Row],[Depth500_Soil_vol]]*(9.353+9.027)+(Table1567[[#This Row],[Depth500_Soil_vol]]/2.5)*20*1.053+(PI()*Table1567[[#This Row],[Depth500_Scour]])*Table1567[[#This Row],[DECK_WIDTH_MT_052]]*1.062</f>
        <v>8326.4411404649618</v>
      </c>
      <c r="AU12" s="1">
        <v>4.7</v>
      </c>
      <c r="AV12" s="1">
        <v>31.57</v>
      </c>
      <c r="AW12" s="1" t="s">
        <v>184</v>
      </c>
      <c r="AX12" s="1">
        <v>5</v>
      </c>
      <c r="AY12" s="1">
        <v>5</v>
      </c>
      <c r="AZ12" s="1">
        <v>5</v>
      </c>
      <c r="BA12" s="1">
        <v>5</v>
      </c>
      <c r="BB12" s="1">
        <v>25</v>
      </c>
      <c r="BC12" s="1" t="s">
        <v>261</v>
      </c>
      <c r="BD12" s="1">
        <v>42210364</v>
      </c>
      <c r="BE12" s="1">
        <v>71030737</v>
      </c>
      <c r="BF12" s="1">
        <v>1</v>
      </c>
      <c r="BG12" s="1">
        <v>5</v>
      </c>
      <c r="BH12" s="1">
        <v>1</v>
      </c>
      <c r="BI12" s="1">
        <v>0</v>
      </c>
      <c r="BJ12" s="1">
        <v>0</v>
      </c>
      <c r="BK12" s="1">
        <v>6</v>
      </c>
      <c r="BL12" s="1">
        <v>25</v>
      </c>
      <c r="BM12" s="1">
        <v>7000</v>
      </c>
      <c r="BN12" s="1" t="s">
        <v>262</v>
      </c>
      <c r="BO12" s="1">
        <v>0</v>
      </c>
      <c r="BP12" s="1" t="s">
        <v>263</v>
      </c>
      <c r="BQ12" s="1" t="s">
        <v>264</v>
      </c>
      <c r="BR12" s="1">
        <v>5.92</v>
      </c>
      <c r="BS12" s="1">
        <v>0.85299999999999998</v>
      </c>
      <c r="BT12" s="1">
        <v>1</v>
      </c>
      <c r="BU12" s="1">
        <v>0</v>
      </c>
      <c r="BV12" s="1">
        <v>0</v>
      </c>
      <c r="BW12" s="1">
        <v>2</v>
      </c>
      <c r="BX12" s="1">
        <v>3</v>
      </c>
      <c r="BY12" s="1">
        <v>4</v>
      </c>
      <c r="BZ12" s="1">
        <v>4</v>
      </c>
      <c r="CA12" s="1">
        <v>14</v>
      </c>
      <c r="CB12" s="1">
        <v>1899</v>
      </c>
      <c r="CC12" s="1">
        <v>4</v>
      </c>
      <c r="CD12" s="1">
        <v>0</v>
      </c>
      <c r="CE12" s="1">
        <v>27400</v>
      </c>
      <c r="CF12" s="1">
        <v>2016</v>
      </c>
      <c r="CG12" s="1">
        <v>5</v>
      </c>
      <c r="CH12" s="1">
        <v>23.2</v>
      </c>
      <c r="CI12" s="1">
        <v>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</v>
      </c>
      <c r="CQ12" s="1">
        <v>0</v>
      </c>
      <c r="CR12" s="1">
        <v>0</v>
      </c>
      <c r="CS12" s="1">
        <v>0</v>
      </c>
      <c r="CT12" s="1" t="s">
        <v>189</v>
      </c>
      <c r="CU12" s="1">
        <v>5</v>
      </c>
      <c r="CV12" s="1">
        <v>5</v>
      </c>
      <c r="CW12" s="1">
        <v>4</v>
      </c>
      <c r="CX12" s="1">
        <v>2</v>
      </c>
      <c r="CY12" s="1">
        <v>0</v>
      </c>
      <c r="CZ12" s="1">
        <v>0</v>
      </c>
      <c r="DA12" s="1">
        <v>6</v>
      </c>
      <c r="DB12" s="1">
        <v>0</v>
      </c>
      <c r="DC12" s="1">
        <v>9.8000000000000007</v>
      </c>
      <c r="DD12" s="1">
        <v>27.3</v>
      </c>
      <c r="DE12" s="1">
        <v>153</v>
      </c>
      <c r="DF12" s="1">
        <v>3.1</v>
      </c>
      <c r="DG12" s="1">
        <v>3.1</v>
      </c>
      <c r="DH12" s="1">
        <v>9.8000000000000007</v>
      </c>
      <c r="DI12" s="1">
        <v>30.5</v>
      </c>
      <c r="DJ12" s="1">
        <v>4.0599999999999996</v>
      </c>
      <c r="DK12" s="1" t="s">
        <v>190</v>
      </c>
      <c r="DL12" s="1">
        <v>0</v>
      </c>
      <c r="DM12" s="1" t="s">
        <v>190</v>
      </c>
      <c r="DN12" s="1">
        <v>0</v>
      </c>
      <c r="DO12" s="1">
        <v>0</v>
      </c>
      <c r="DP12" s="1">
        <v>6</v>
      </c>
      <c r="DQ12" s="1">
        <v>7</v>
      </c>
      <c r="DR12" s="1">
        <v>5</v>
      </c>
      <c r="DS12" s="1">
        <v>6</v>
      </c>
      <c r="DT12" s="1" t="s">
        <v>190</v>
      </c>
      <c r="DU12" s="1">
        <v>1</v>
      </c>
      <c r="DV12" s="1">
        <v>47</v>
      </c>
      <c r="DW12" s="1">
        <v>1</v>
      </c>
      <c r="DX12" s="1">
        <v>28.2</v>
      </c>
      <c r="DY12" s="1">
        <v>5</v>
      </c>
      <c r="DZ12" s="1">
        <v>2</v>
      </c>
      <c r="EA12" s="1" t="s">
        <v>190</v>
      </c>
      <c r="EB12" s="1">
        <v>5</v>
      </c>
      <c r="EC12" s="1">
        <v>7</v>
      </c>
      <c r="ED12" s="1">
        <v>6</v>
      </c>
      <c r="EE12" s="1">
        <v>35</v>
      </c>
      <c r="EF12" s="1">
        <v>1</v>
      </c>
      <c r="EG12" s="1">
        <v>154</v>
      </c>
      <c r="EH12" s="1">
        <v>818</v>
      </c>
      <c r="EI12" s="1">
        <v>24</v>
      </c>
      <c r="EJ12" s="1" t="s">
        <v>191</v>
      </c>
      <c r="EK12" s="1" t="s">
        <v>192</v>
      </c>
      <c r="EL12" s="1" t="s">
        <v>191</v>
      </c>
      <c r="EM12" s="1">
        <v>0</v>
      </c>
      <c r="EN12" s="1">
        <v>819</v>
      </c>
      <c r="EO12" s="1">
        <v>0</v>
      </c>
      <c r="EP12" s="1">
        <v>20794</v>
      </c>
      <c r="EQ12" s="1">
        <v>2080</v>
      </c>
      <c r="ER12" s="1">
        <v>31192</v>
      </c>
      <c r="ES12" s="1">
        <v>2020</v>
      </c>
      <c r="ET12" s="1">
        <v>0</v>
      </c>
      <c r="EU12" s="1">
        <v>0</v>
      </c>
      <c r="EV12" s="1" t="s">
        <v>193</v>
      </c>
      <c r="EW12" s="1">
        <v>0</v>
      </c>
      <c r="EX12" s="1" t="s">
        <v>190</v>
      </c>
      <c r="EY12" s="1">
        <v>2</v>
      </c>
      <c r="EZ12" s="1">
        <v>0</v>
      </c>
      <c r="FA12" s="1">
        <v>1</v>
      </c>
      <c r="FB12" s="1">
        <v>0</v>
      </c>
      <c r="FC12" s="1">
        <v>1998</v>
      </c>
      <c r="FD12" s="1">
        <v>1</v>
      </c>
      <c r="FE12" s="1">
        <v>6</v>
      </c>
      <c r="FF12" s="1">
        <v>1</v>
      </c>
      <c r="FG12" s="1">
        <v>1</v>
      </c>
      <c r="FH12" s="1">
        <v>10</v>
      </c>
      <c r="FI12" s="1">
        <v>0</v>
      </c>
      <c r="FJ12" s="1">
        <v>0</v>
      </c>
      <c r="FK12" s="1" t="s">
        <v>194</v>
      </c>
      <c r="FL12" s="1">
        <v>5</v>
      </c>
      <c r="FM12" s="1">
        <v>41851</v>
      </c>
      <c r="FN12" s="1">
        <v>2031</v>
      </c>
      <c r="FO12" s="1">
        <v>0</v>
      </c>
      <c r="FP12" s="1" t="s">
        <v>190</v>
      </c>
      <c r="FQ12" s="1">
        <v>25</v>
      </c>
      <c r="FR12" s="1" t="s">
        <v>206</v>
      </c>
      <c r="FS12" s="1">
        <v>5</v>
      </c>
      <c r="FT12" s="1">
        <v>4666.5</v>
      </c>
      <c r="FU12" s="1">
        <v>183</v>
      </c>
      <c r="FV12" s="1">
        <v>60</v>
      </c>
      <c r="FW12" s="1">
        <v>80</v>
      </c>
      <c r="FX12" s="1">
        <v>2</v>
      </c>
      <c r="FY12" s="1">
        <v>5</v>
      </c>
      <c r="FZ12" s="1">
        <v>597312</v>
      </c>
      <c r="GA12" s="1">
        <v>5365194</v>
      </c>
      <c r="GB12" s="1">
        <v>3836191.43</v>
      </c>
      <c r="GC12" s="1">
        <v>2500000</v>
      </c>
      <c r="GD12" s="1"/>
      <c r="GE12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12" s="1">
        <v>12.298697430000001</v>
      </c>
      <c r="GG12" s="1">
        <v>0</v>
      </c>
      <c r="GH12" s="1">
        <v>0</v>
      </c>
      <c r="GI12" s="1">
        <v>0</v>
      </c>
      <c r="GJ12" s="1">
        <v>0</v>
      </c>
      <c r="GK12" s="1">
        <v>5</v>
      </c>
      <c r="GL12" s="1">
        <v>5466.0877466666661</v>
      </c>
      <c r="GM12" s="1">
        <v>3074.6743575000005</v>
      </c>
      <c r="GN12" s="1">
        <v>1967.7915888</v>
      </c>
      <c r="GO12" s="1">
        <v>1366.5219366666665</v>
      </c>
      <c r="GP12" s="1">
        <v>1003.9753004081632</v>
      </c>
      <c r="GQ12" s="1">
        <v>768.66858937500012</v>
      </c>
      <c r="GR12" s="1">
        <v>607.34308296296297</v>
      </c>
      <c r="GS12" s="1">
        <v>0</v>
      </c>
      <c r="GT12" s="1">
        <v>0</v>
      </c>
      <c r="GU12" s="1">
        <v>0</v>
      </c>
      <c r="GV12" s="1">
        <v>0.01</v>
      </c>
      <c r="GW12" s="1">
        <v>5.0000000000000001E-3</v>
      </c>
      <c r="GX12" s="1">
        <v>1.1000000000000001E-3</v>
      </c>
      <c r="GY12" s="1">
        <v>4.0000000000000002E-4</v>
      </c>
      <c r="GZ12" s="1">
        <v>6.9999999999999994E-5</v>
      </c>
      <c r="HA12" s="1">
        <v>1.8E-5</v>
      </c>
      <c r="HB12" s="1">
        <v>1.8E-5</v>
      </c>
      <c r="HC12" s="1">
        <v>3.9999999999999998E-7</v>
      </c>
      <c r="HD12" s="1">
        <v>2.4999999999999999E-7</v>
      </c>
      <c r="HE12" s="1">
        <v>1</v>
      </c>
      <c r="HF12" s="1">
        <v>0.01</v>
      </c>
      <c r="HG12" s="1">
        <v>1.25E-3</v>
      </c>
      <c r="HH12" s="1">
        <v>2.7500000000000002E-4</v>
      </c>
      <c r="HI12" s="1">
        <v>1E-4</v>
      </c>
      <c r="HJ12" s="1">
        <v>1.7499999999999998E-5</v>
      </c>
      <c r="HK12" s="1">
        <v>4.5000000000000001E-6</v>
      </c>
      <c r="HL12" s="1">
        <v>4.5000000000000001E-6</v>
      </c>
      <c r="HM12" s="1">
        <v>9.9999999999999995E-8</v>
      </c>
      <c r="HN12" s="1">
        <v>0.01</v>
      </c>
      <c r="HO12" s="1">
        <v>8.3333333333333339E-4</v>
      </c>
      <c r="HP12" s="1">
        <v>1.8333333333333334E-4</v>
      </c>
      <c r="HQ12" s="1">
        <v>6.666666666666667E-5</v>
      </c>
      <c r="HR12" s="1">
        <v>1.1666666666666666E-5</v>
      </c>
      <c r="HS12" s="1">
        <v>3.0000000000000001E-6</v>
      </c>
      <c r="HT12" s="1">
        <v>3.0000000000000001E-6</v>
      </c>
      <c r="HU12" s="1">
        <v>6.6666666666666668E-8</v>
      </c>
      <c r="HV12" s="1">
        <v>4.1666666666666663E-8</v>
      </c>
      <c r="HW12" s="1">
        <v>0.01</v>
      </c>
      <c r="HX12" s="1">
        <v>5.0000000000000001E-4</v>
      </c>
      <c r="HY12" s="1">
        <v>1.1E-4</v>
      </c>
      <c r="HZ12" s="1">
        <v>4.0000000000000003E-5</v>
      </c>
      <c r="IA12" s="1">
        <v>6.999999999999999E-6</v>
      </c>
      <c r="IB12" s="1">
        <v>1.8000000000000001E-6</v>
      </c>
      <c r="IC12" s="1">
        <v>1.8000000000000001E-6</v>
      </c>
      <c r="ID12" s="1">
        <v>4.0000000000000001E-8</v>
      </c>
      <c r="IE12" s="1">
        <v>2.4999999999999999E-8</v>
      </c>
      <c r="IF12" s="1">
        <f>Table1567[[#This Row],[Total_Cost_MUSD]]*Table1567[[#This Row],[prob500-failure_rating1]]/500</f>
        <v>2.4597394860000001E-4</v>
      </c>
      <c r="IG12" s="1">
        <f>Table1567[[#This Row],[Total_Cost_MUSD]]*Table1567[[#This Row],[prob500-failure_rating2]]/500</f>
        <v>1.229869743E-4</v>
      </c>
      <c r="IH12" s="1">
        <f>Table1567[[#This Row],[Total_Cost_MUSD]]*Table1567[[#This Row],[prob500-failure_rating3]]/500</f>
        <v>2.7057134346000005E-5</v>
      </c>
      <c r="II12" s="1">
        <f>Table1567[[#This Row],[Total_Cost_MUSD]]*Table1567[[#This Row],[prob500-failure_rating4]]/500</f>
        <v>9.8389579440000009E-6</v>
      </c>
      <c r="IJ12" s="1">
        <f>Table1567[[#This Row],[Total_Cost_MUSD]]*Table1567[[#This Row],[prob500-failure_rating5]]/500</f>
        <v>1.7218176401999999E-6</v>
      </c>
      <c r="IK12" s="1">
        <f>Table1567[[#This Row],[Total_Cost_MUSD]]*Table1567[[#This Row],[prob500-failure_rating6]]/500</f>
        <v>4.4275310748000003E-7</v>
      </c>
      <c r="IL12" s="1">
        <f>Table1567[[#This Row],[Total_Cost_MUSD]]*Table1567[[#This Row],[prob500-failure_rating7]]/500</f>
        <v>4.4275310748000003E-7</v>
      </c>
      <c r="IM12" s="1">
        <f>Table1567[[#This Row],[Total_Cost_MUSD]]*Table1567[[#This Row],[prob500-failure_rating8]]/500</f>
        <v>9.838957944000001E-9</v>
      </c>
      <c r="IN12" s="1">
        <f>Table1567[[#This Row],[Total_Cost_MUSD]]*Table1567[[#This Row],[prob500-failure_rating9]]/500</f>
        <v>6.1493487150000002E-9</v>
      </c>
      <c r="IO12" s="1">
        <f>Table1567[[#This Row],[Total_Cost_MUSD]]*Table1567[[#This Row],[prob100-failure_rating1]]/100</f>
        <v>0.12298697430000001</v>
      </c>
      <c r="IP12" s="1">
        <f>Table1567[[#This Row],[Total_Cost_MUSD]]*Table1567[[#This Row],[prob100-failure_rating2]]/100</f>
        <v>1.229869743E-3</v>
      </c>
      <c r="IQ12" s="1">
        <f>Table1567[[#This Row],[Total_Cost_MUSD]]*Table1567[[#This Row],[prob100-failure_rating3]]/100</f>
        <v>1.53733717875E-4</v>
      </c>
      <c r="IR12" s="1">
        <f>Table1567[[#This Row],[Total_Cost_MUSD]]*Table1567[[#This Row],[prob100-failure_rating4]]/100</f>
        <v>3.3821417932500002E-5</v>
      </c>
      <c r="IS12" s="1">
        <f>Table1567[[#This Row],[Total_Cost_MUSD]]*Table1567[[#This Row],[prob100-failure_rating5]]/100</f>
        <v>1.2298697430000001E-5</v>
      </c>
      <c r="IT12" s="1">
        <f>Table1567[[#This Row],[Total_Cost_MUSD]]*Table1567[[#This Row],[prob100-failure_rating6]]/100</f>
        <v>2.1522720502500003E-6</v>
      </c>
      <c r="IU12" s="1">
        <f>Table1567[[#This Row],[Total_Cost_MUSD]]*Table1567[[#This Row],[prob100-failure_rating7]]/100</f>
        <v>5.534413843500001E-7</v>
      </c>
      <c r="IV12" s="1">
        <f>Table1567[[#This Row],[Total_Cost_MUSD]]*Table1567[[#This Row],[prob100-failure_rating8]]/100</f>
        <v>5.534413843500001E-7</v>
      </c>
      <c r="IW12" s="1">
        <f>Table1567[[#This Row],[Total_Cost_MUSD]]*Table1567[[#This Row],[prob100-failure_rating9]]/100</f>
        <v>1.229869743E-8</v>
      </c>
      <c r="IX12" s="1">
        <f>Table1567[[#This Row],[Total_Cost_MUSD]]*Table1567[[#This Row],[prob50-failure_rating1]]/50</f>
        <v>2.4597394860000001E-3</v>
      </c>
      <c r="IY12" s="1">
        <f>Table1567[[#This Row],[Total_Cost_MUSD]]*Table1567[[#This Row],[prob50-failure_rating2]]/50</f>
        <v>2.0497829050000003E-4</v>
      </c>
      <c r="IZ12" s="1">
        <f>Table1567[[#This Row],[Total_Cost_MUSD]]*Table1567[[#This Row],[prob50-failure_rating3]]/50</f>
        <v>4.5095223909999999E-5</v>
      </c>
      <c r="JA12" s="1">
        <f>Table1567[[#This Row],[Total_Cost_MUSD]]*Table1567[[#This Row],[prob50-failure_rating4]]/50</f>
        <v>1.6398263240000003E-5</v>
      </c>
      <c r="JB12" s="1">
        <f>Table1567[[#This Row],[Total_Cost_MUSD]]*Table1567[[#This Row],[prob50-failure_rating5]]/50</f>
        <v>2.8696960670000001E-6</v>
      </c>
      <c r="JC12" s="1">
        <f>Table1567[[#This Row],[Total_Cost_MUSD]]*Table1567[[#This Row],[prob50-failure_rating6]]/50</f>
        <v>7.3792184580000007E-7</v>
      </c>
      <c r="JD12" s="1">
        <f>Table1567[[#This Row],[Total_Cost_MUSD]]*Table1567[[#This Row],[prob50-failure_rating7]]/50</f>
        <v>7.3792184580000007E-7</v>
      </c>
      <c r="JE12" s="1">
        <f>Table1567[[#This Row],[Total_Cost_MUSD]]*Table1567[[#This Row],[prob50-failure_rating8]]/50</f>
        <v>1.6398263240000003E-8</v>
      </c>
      <c r="JF12" s="1">
        <f>Table1567[[#This Row],[Total_Cost_MUSD]]*Table1567[[#This Row],[prob50-failure_rating9]]/50</f>
        <v>1.0248914524999999E-8</v>
      </c>
      <c r="JG12" s="1">
        <f>Table1567[[#This Row],[Total_Cost_MUSD]]*Table1567[[#This Row],[prob10-failure_rating1]]/10</f>
        <v>1.2298697430000002E-2</v>
      </c>
      <c r="JH12" s="1">
        <f>Table1567[[#This Row],[Total_Cost_MUSD]]*Table1567[[#This Row],[prob10-failure_rating2]]/10</f>
        <v>6.1493487150000013E-4</v>
      </c>
      <c r="JI12" s="1">
        <f>Table1567[[#This Row],[Total_Cost_MUSD]]*Table1567[[#This Row],[prob10-failure_rating3]]/10</f>
        <v>1.3528567173000001E-4</v>
      </c>
      <c r="JJ12" s="1">
        <f>Table1567[[#This Row],[Total_Cost_MUSD]]*Table1567[[#This Row],[prob10-failure_rating4]]/10</f>
        <v>4.9194789720000003E-5</v>
      </c>
      <c r="JK12" s="1">
        <f>Table1567[[#This Row],[Total_Cost_MUSD]]*Table1567[[#This Row],[prob10-failure_rating5]]/10</f>
        <v>8.6090882009999993E-6</v>
      </c>
      <c r="JL12" s="1">
        <f>Table1567[[#This Row],[Total_Cost_MUSD]]*Table1567[[#This Row],[prob10-failure_rating6]]/10</f>
        <v>2.2137655374E-6</v>
      </c>
      <c r="JM12" s="1">
        <f>Table1567[[#This Row],[Total_Cost_MUSD]]*Table1567[[#This Row],[prob10-failure_rating7]]/10</f>
        <v>2.2137655374E-6</v>
      </c>
      <c r="JN12" s="1">
        <f>Table1567[[#This Row],[Total_Cost_MUSD]]*Table1567[[#This Row],[prob10-failure_rating8]]/10</f>
        <v>4.9194789720000002E-8</v>
      </c>
      <c r="JO12" s="1">
        <f>Table1567[[#This Row],[Total_Cost_MUSD]]*Table1567[[#This Row],[prob10-failure_rating9]]/10</f>
        <v>3.0746743575000003E-8</v>
      </c>
      <c r="JP12" s="1">
        <f>Table1567[[#This Row],[FailureCost_Rating1]]</f>
        <v>2172.7698793000004</v>
      </c>
      <c r="JQ12" s="1">
        <f>Table1567[[#This Row],[FailureCost_Rating2]]</f>
        <v>2172.7698793000004</v>
      </c>
      <c r="JR12" s="1">
        <f>(Table1567[[#This Row],[failurecost500_rating2]]+Table1567[[#This Row],[failurecost100_rating2]]+Table1567[[#This Row],[failurecost50_rating2]]+Table1567[[#This Row],[failurecost10_rating2]])*1000000</f>
        <v>2172.7698793000004</v>
      </c>
      <c r="JS12" s="1">
        <f>(Table1567[[#This Row],[failurecost500_rating3]]+Table1567[[#This Row],[failurecost100_rating3]]+Table1567[[#This Row],[failurecost50_rating3]]+Table1567[[#This Row],[failurecost10_rating3]])*1000000</f>
        <v>361.17174786099997</v>
      </c>
      <c r="JT12" s="1">
        <f>(Table1567[[#This Row],[failurecost500_rating4]]+Table1567[[#This Row],[failurecost100_rating4]]+Table1567[[#This Row],[failurecost50_rating4]]+Table1567[[#This Row],[failurecost10_rating4]])*1000000</f>
        <v>109.25342883650001</v>
      </c>
      <c r="JU12" s="1">
        <f>(Table1567[[#This Row],[failurecost500_rating5]]+Table1567[[#This Row],[failurecost100_rating5]]+Table1567[[#This Row],[failurecost50_rating5]]+Table1567[[#This Row],[failurecost10_rating5]])*1000000</f>
        <v>25.4992993382</v>
      </c>
      <c r="JV12" s="1">
        <f>(Table1567[[#This Row],[failurecost500_rating6]]+Table1567[[#This Row],[failurecost100_rating6]]+Table1567[[#This Row],[failurecost50_rating6]]+Table1567[[#This Row],[failurecost10_rating6]])*1000000</f>
        <v>5.5467125409300007</v>
      </c>
      <c r="JW12" s="1">
        <f>(Table1567[[#This Row],[failurecost500_rating7]]+Table1567[[#This Row],[failurecost100_rating7]]+Table1567[[#This Row],[failurecost50_rating7]]+Table1567[[#This Row],[failurecost10_rating7]])*1000000</f>
        <v>3.9478818750299998</v>
      </c>
      <c r="JX12" s="1">
        <f>(Table1567[[#This Row],[failurecost500_rating8]]+Table1567[[#This Row],[failurecost100_rating8]]+Table1567[[#This Row],[failurecost50_rating8]]+Table1567[[#This Row],[failurecost10_rating8]])*1000000</f>
        <v>0.6288733952540001</v>
      </c>
      <c r="JY12" s="1">
        <f>(Table1567[[#This Row],[failurecost500_rating9]]+Table1567[[#This Row],[failurecost100_rating9]]+Table1567[[#This Row],[failurecost50_rating9]]+Table1567[[#This Row],[failurecost10_rating9]])*1000000</f>
        <v>5.9443704244999999E-2</v>
      </c>
    </row>
    <row r="13" spans="1:285" ht="28.8" x14ac:dyDescent="0.3">
      <c r="A13" s="1">
        <v>12</v>
      </c>
      <c r="B13" s="1" t="s">
        <v>265</v>
      </c>
      <c r="C13" s="1" t="s">
        <v>260</v>
      </c>
      <c r="D13" s="1">
        <v>42.352290000000004</v>
      </c>
      <c r="E13" s="1">
        <v>-71.052099999999996</v>
      </c>
      <c r="F13" s="1">
        <v>4.9035568239999998</v>
      </c>
      <c r="G13" s="1">
        <v>2.6035573479999998</v>
      </c>
      <c r="H13" s="1">
        <v>6.0035576820000003</v>
      </c>
      <c r="I13" s="1">
        <v>8.2035579680000001</v>
      </c>
      <c r="J13" s="1">
        <v>1404.277718</v>
      </c>
      <c r="K13" s="1">
        <v>1454.3366900000001</v>
      </c>
      <c r="L13" s="1">
        <v>3557.3495720000001</v>
      </c>
      <c r="M13" s="1">
        <v>1618.063363</v>
      </c>
      <c r="N13" s="1">
        <v>3557.3495720000001</v>
      </c>
      <c r="O13" s="1">
        <v>1618.063363</v>
      </c>
      <c r="P13" s="1">
        <v>3557.3495720000001</v>
      </c>
      <c r="Q13" s="1">
        <v>1618.063363</v>
      </c>
      <c r="R13" s="1">
        <v>3557.3495720000001</v>
      </c>
      <c r="S13" s="1">
        <v>1618.063363</v>
      </c>
      <c r="T13" s="1">
        <v>0.965579517</v>
      </c>
      <c r="U13" s="1">
        <v>2.1985230329999998</v>
      </c>
      <c r="V13" s="1">
        <v>2.1985230329999998</v>
      </c>
      <c r="W13" s="1">
        <v>2.1985230329999998</v>
      </c>
      <c r="X13" s="1">
        <v>2.1985230329999998</v>
      </c>
      <c r="Y13" s="1">
        <v>5.5E-2</v>
      </c>
      <c r="Z13" s="1">
        <v>19</v>
      </c>
      <c r="AA13" s="1">
        <v>7.9304656250000001</v>
      </c>
      <c r="AB13" s="1">
        <v>7.9304656250000001</v>
      </c>
      <c r="AC13" s="1">
        <v>7.9304656250000001</v>
      </c>
      <c r="AD13" s="1">
        <v>7.9304656250000001</v>
      </c>
      <c r="AE13" s="1">
        <v>1.5692083459999999</v>
      </c>
      <c r="AF13" s="1">
        <v>1.1434273530000001</v>
      </c>
      <c r="AG13" s="1">
        <v>1.0333794940000001</v>
      </c>
      <c r="AH13" s="1">
        <v>0.88402196899999996</v>
      </c>
      <c r="AI13" s="1">
        <v>6.4141178930000002</v>
      </c>
      <c r="AJ13" s="1">
        <v>6.9864151149999998</v>
      </c>
      <c r="AK13" s="1">
        <v>7.1799355509999998</v>
      </c>
      <c r="AL13" s="1">
        <v>7.4890318389999999</v>
      </c>
      <c r="AM13" s="1">
        <v>249.78390870000001</v>
      </c>
      <c r="AN13" s="1">
        <v>322.78757059999998</v>
      </c>
      <c r="AO13" s="1">
        <v>350.36061560000002</v>
      </c>
      <c r="AP13" s="1">
        <v>397.58562519999998</v>
      </c>
      <c r="AQ13" s="1">
        <f>Table1567[[#This Row],[Depth10_Soil_vol]]*(9.353+9.027)+(Table1567[[#This Row],[Depth10_Soil_vol]]/2.5)*20*1.053+(PI()*Table1567[[#This Row],[Depth10_Scour]])*Table1567[[#This Row],[DECK_WIDTH_MT_052]]*1.062</f>
        <v>6992.666213599131</v>
      </c>
      <c r="AR13" s="1">
        <f>Table1567[[#This Row],[Depth50_Soil_vol]]*(9.353+9.027)+(Table1567[[#This Row],[Depth50_Soil_vol]]/2.5)*20*1.053+(PI()*Table1567[[#This Row],[Depth50_Scour]])*Table1567[[#This Row],[DECK_WIDTH_MT_052]]*1.062</f>
        <v>8975.9969727162606</v>
      </c>
      <c r="AS13" s="1">
        <f>Table1567[[#This Row],[Depth100_Soil_vol]]*(9.353+9.027)+(Table1567[[#This Row],[Depth100_Soil_vol]]/2.5)*20*1.053+(PI()*Table1567[[#This Row],[Depth100_Scour]])*Table1567[[#This Row],[DECK_WIDTH_MT_052]]*1.062</f>
        <v>9724.0394899581861</v>
      </c>
      <c r="AT13" s="1">
        <f>Table1567[[#This Row],[Depth500_Soil_vol]]*(9.353+9.027)+(Table1567[[#This Row],[Depth500_Soil_vol]]/2.5)*20*1.053+(PI()*Table1567[[#This Row],[Depth500_Scour]])*Table1567[[#This Row],[DECK_WIDTH_MT_052]]*1.062</f>
        <v>11004.193161478774</v>
      </c>
      <c r="AU13" s="1">
        <v>2.2999999999999998</v>
      </c>
      <c r="AV13" s="1">
        <v>20.64</v>
      </c>
      <c r="AW13" s="1" t="s">
        <v>184</v>
      </c>
      <c r="AX13" s="1">
        <v>5</v>
      </c>
      <c r="AY13" s="1">
        <v>5</v>
      </c>
      <c r="AZ13" s="1">
        <v>5</v>
      </c>
      <c r="BA13" s="1">
        <v>5</v>
      </c>
      <c r="BB13" s="1">
        <v>25</v>
      </c>
      <c r="BC13" s="1" t="s">
        <v>266</v>
      </c>
      <c r="BD13" s="1">
        <v>42210703</v>
      </c>
      <c r="BE13" s="1">
        <v>71030479</v>
      </c>
      <c r="BF13" s="1">
        <v>1</v>
      </c>
      <c r="BG13" s="1">
        <v>5</v>
      </c>
      <c r="BH13" s="1">
        <v>1</v>
      </c>
      <c r="BI13" s="1">
        <v>0</v>
      </c>
      <c r="BJ13" s="1">
        <v>0</v>
      </c>
      <c r="BK13" s="1">
        <v>6</v>
      </c>
      <c r="BL13" s="1">
        <v>25</v>
      </c>
      <c r="BM13" s="1">
        <v>7000</v>
      </c>
      <c r="BN13" s="1" t="s">
        <v>262</v>
      </c>
      <c r="BO13" s="1">
        <v>0</v>
      </c>
      <c r="BP13" s="1" t="s">
        <v>267</v>
      </c>
      <c r="BQ13" s="1" t="s">
        <v>264</v>
      </c>
      <c r="BR13" s="1">
        <v>7.8</v>
      </c>
      <c r="BS13" s="1">
        <v>1.014</v>
      </c>
      <c r="BT13" s="1">
        <v>0</v>
      </c>
      <c r="BU13" s="1">
        <v>0</v>
      </c>
      <c r="BV13" s="1">
        <v>0</v>
      </c>
      <c r="BW13" s="1">
        <v>8</v>
      </c>
      <c r="BX13" s="1">
        <v>3</v>
      </c>
      <c r="BY13" s="1">
        <v>4</v>
      </c>
      <c r="BZ13" s="1">
        <v>4</v>
      </c>
      <c r="CA13" s="1">
        <v>16</v>
      </c>
      <c r="CB13" s="1">
        <v>1850</v>
      </c>
      <c r="CC13" s="1">
        <v>2</v>
      </c>
      <c r="CD13" s="1">
        <v>0</v>
      </c>
      <c r="CE13" s="1">
        <v>17100</v>
      </c>
      <c r="CF13" s="1">
        <v>2019</v>
      </c>
      <c r="CG13" s="1">
        <v>5</v>
      </c>
      <c r="CH13" s="1">
        <v>12.2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1</v>
      </c>
      <c r="CP13" s="1">
        <v>2</v>
      </c>
      <c r="CQ13" s="1">
        <v>1</v>
      </c>
      <c r="CR13" s="1">
        <v>1.8</v>
      </c>
      <c r="CS13" s="1">
        <v>22.9</v>
      </c>
      <c r="CT13" s="1" t="s">
        <v>189</v>
      </c>
      <c r="CU13" s="1">
        <v>5</v>
      </c>
      <c r="CV13" s="1">
        <v>5</v>
      </c>
      <c r="CW13" s="1">
        <v>3</v>
      </c>
      <c r="CX13" s="1">
        <v>10</v>
      </c>
      <c r="CY13" s="1">
        <v>3</v>
      </c>
      <c r="CZ13" s="1">
        <v>3</v>
      </c>
      <c r="DA13" s="1">
        <v>2</v>
      </c>
      <c r="DB13" s="1">
        <v>8</v>
      </c>
      <c r="DC13" s="1">
        <v>12.2</v>
      </c>
      <c r="DD13" s="1">
        <v>28.6</v>
      </c>
      <c r="DE13" s="1">
        <v>166.7</v>
      </c>
      <c r="DF13" s="1">
        <v>2.2999999999999998</v>
      </c>
      <c r="DG13" s="1">
        <v>2.2999999999999998</v>
      </c>
      <c r="DH13" s="1">
        <v>12.2</v>
      </c>
      <c r="DI13" s="1">
        <v>13.9</v>
      </c>
      <c r="DJ13" s="1">
        <v>7.89</v>
      </c>
      <c r="DK13" s="1" t="s">
        <v>190</v>
      </c>
      <c r="DL13" s="1">
        <v>0</v>
      </c>
      <c r="DM13" s="1" t="s">
        <v>190</v>
      </c>
      <c r="DN13" s="1">
        <v>0</v>
      </c>
      <c r="DO13" s="1">
        <v>0</v>
      </c>
      <c r="DP13" s="1">
        <v>7</v>
      </c>
      <c r="DQ13" s="1">
        <v>5</v>
      </c>
      <c r="DR13" s="1">
        <v>6</v>
      </c>
      <c r="DS13" s="1">
        <v>6</v>
      </c>
      <c r="DT13" s="1" t="s">
        <v>190</v>
      </c>
      <c r="DU13" s="1">
        <v>1</v>
      </c>
      <c r="DV13" s="1">
        <v>35.1</v>
      </c>
      <c r="DW13" s="1">
        <v>1</v>
      </c>
      <c r="DX13" s="1">
        <v>21</v>
      </c>
      <c r="DY13" s="1">
        <v>5</v>
      </c>
      <c r="DZ13" s="1">
        <v>5</v>
      </c>
      <c r="EA13" s="1" t="s">
        <v>190</v>
      </c>
      <c r="EB13" s="1">
        <v>5</v>
      </c>
      <c r="EC13" s="1">
        <v>9</v>
      </c>
      <c r="ED13" s="1">
        <v>6</v>
      </c>
      <c r="EE13" s="1">
        <v>35</v>
      </c>
      <c r="EF13" s="1">
        <v>1</v>
      </c>
      <c r="EG13" s="1">
        <v>167</v>
      </c>
      <c r="EH13" s="1">
        <v>719</v>
      </c>
      <c r="EI13" s="1">
        <v>24</v>
      </c>
      <c r="EJ13" s="1" t="s">
        <v>214</v>
      </c>
      <c r="EK13" s="1" t="s">
        <v>192</v>
      </c>
      <c r="EL13" s="1" t="s">
        <v>191</v>
      </c>
      <c r="EM13" s="1">
        <v>719</v>
      </c>
      <c r="EN13" s="1">
        <v>818</v>
      </c>
      <c r="EO13" s="1">
        <v>0</v>
      </c>
      <c r="EP13" s="1">
        <v>10277</v>
      </c>
      <c r="EQ13" s="1">
        <v>1028</v>
      </c>
      <c r="ER13" s="1">
        <v>15416</v>
      </c>
      <c r="ES13" s="1">
        <v>2020</v>
      </c>
      <c r="ET13" s="1">
        <v>0</v>
      </c>
      <c r="EU13" s="1">
        <v>0</v>
      </c>
      <c r="EV13" s="1" t="s">
        <v>193</v>
      </c>
      <c r="EW13" s="1">
        <v>0</v>
      </c>
      <c r="EX13" s="1" t="s">
        <v>190</v>
      </c>
      <c r="EY13" s="1">
        <v>2</v>
      </c>
      <c r="EZ13" s="1">
        <v>0</v>
      </c>
      <c r="FA13" s="1">
        <v>0</v>
      </c>
      <c r="FB13" s="1">
        <v>0</v>
      </c>
      <c r="FC13" s="1">
        <v>2009</v>
      </c>
      <c r="FD13" s="1">
        <v>1</v>
      </c>
      <c r="FE13" s="1">
        <v>6</v>
      </c>
      <c r="FF13" s="1">
        <v>1</v>
      </c>
      <c r="FG13" s="1">
        <v>1</v>
      </c>
      <c r="FH13" s="1">
        <v>10</v>
      </c>
      <c r="FI13" s="1">
        <v>0</v>
      </c>
      <c r="FJ13" s="1">
        <v>2</v>
      </c>
      <c r="FK13" s="1" t="s">
        <v>194</v>
      </c>
      <c r="FL13" s="1">
        <v>5</v>
      </c>
      <c r="FM13" s="1">
        <v>24953</v>
      </c>
      <c r="FN13" s="1">
        <v>2032</v>
      </c>
      <c r="FO13" s="1">
        <v>0</v>
      </c>
      <c r="FP13" s="1" t="s">
        <v>190</v>
      </c>
      <c r="FQ13" s="1">
        <v>25</v>
      </c>
      <c r="FR13" s="1" t="s">
        <v>206</v>
      </c>
      <c r="FS13" s="1">
        <v>5</v>
      </c>
      <c r="FT13" s="1">
        <v>2317.13</v>
      </c>
      <c r="FU13" s="1">
        <v>183</v>
      </c>
      <c r="FV13" s="1">
        <v>50</v>
      </c>
      <c r="FW13" s="1">
        <v>65</v>
      </c>
      <c r="FX13" s="1">
        <v>2</v>
      </c>
      <c r="FY13" s="1">
        <v>5</v>
      </c>
      <c r="FZ13" s="1">
        <v>273421.34000000003</v>
      </c>
      <c r="GA13" s="1">
        <v>13393404</v>
      </c>
      <c r="GB13" s="1">
        <v>9576477.8770000003</v>
      </c>
      <c r="GC13" s="1">
        <v>2500000</v>
      </c>
      <c r="GD13" s="1"/>
      <c r="GE13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</v>
      </c>
      <c r="GF13" s="1">
        <v>25.743303220000001</v>
      </c>
      <c r="GG13" s="1">
        <v>0</v>
      </c>
      <c r="GH13" s="1">
        <v>0</v>
      </c>
      <c r="GI13" s="1">
        <v>0</v>
      </c>
      <c r="GJ13" s="1">
        <v>0</v>
      </c>
      <c r="GK13" s="1">
        <v>5</v>
      </c>
      <c r="GL13" s="1">
        <v>11441.468097777777</v>
      </c>
      <c r="GM13" s="1">
        <v>6435.8258050000004</v>
      </c>
      <c r="GN13" s="1">
        <v>4118.9285152000011</v>
      </c>
      <c r="GO13" s="1">
        <v>2860.3670244444443</v>
      </c>
      <c r="GP13" s="1">
        <v>2101.4941404081637</v>
      </c>
      <c r="GQ13" s="1">
        <v>1608.9564512500001</v>
      </c>
      <c r="GR13" s="1">
        <v>1271.2742330864196</v>
      </c>
      <c r="GS13" s="1">
        <v>0</v>
      </c>
      <c r="GT13" s="1">
        <v>0</v>
      </c>
      <c r="GU13" s="1">
        <v>0</v>
      </c>
      <c r="GV13" s="1">
        <v>0.01</v>
      </c>
      <c r="GW13" s="1">
        <v>5.0000000000000001E-3</v>
      </c>
      <c r="GX13" s="1">
        <v>1.1000000000000001E-3</v>
      </c>
      <c r="GY13" s="1">
        <v>4.0000000000000002E-4</v>
      </c>
      <c r="GZ13" s="1">
        <v>6.9999999999999994E-5</v>
      </c>
      <c r="HA13" s="1">
        <v>1.8E-5</v>
      </c>
      <c r="HB13" s="1">
        <v>1.8E-5</v>
      </c>
      <c r="HC13" s="1">
        <v>3.9999999999999998E-7</v>
      </c>
      <c r="HD13" s="1">
        <v>2.4999999999999999E-7</v>
      </c>
      <c r="HE13" s="1">
        <v>1</v>
      </c>
      <c r="HF13" s="1">
        <v>0.01</v>
      </c>
      <c r="HG13" s="1">
        <v>1.25E-3</v>
      </c>
      <c r="HH13" s="1">
        <v>2.7500000000000002E-4</v>
      </c>
      <c r="HI13" s="1">
        <v>1E-4</v>
      </c>
      <c r="HJ13" s="1">
        <v>1.7499999999999998E-5</v>
      </c>
      <c r="HK13" s="1">
        <v>4.5000000000000001E-6</v>
      </c>
      <c r="HL13" s="1">
        <v>4.5000000000000001E-6</v>
      </c>
      <c r="HM13" s="1">
        <v>9.9999999999999995E-8</v>
      </c>
      <c r="HN13" s="1">
        <v>0.01</v>
      </c>
      <c r="HO13" s="1">
        <v>8.3333333333333339E-4</v>
      </c>
      <c r="HP13" s="1">
        <v>1.8333333333333334E-4</v>
      </c>
      <c r="HQ13" s="1">
        <v>6.666666666666667E-5</v>
      </c>
      <c r="HR13" s="1">
        <v>1.1666666666666666E-5</v>
      </c>
      <c r="HS13" s="1">
        <v>3.0000000000000001E-6</v>
      </c>
      <c r="HT13" s="1">
        <v>3.0000000000000001E-6</v>
      </c>
      <c r="HU13" s="1">
        <v>6.6666666666666668E-8</v>
      </c>
      <c r="HV13" s="1">
        <v>4.1666666666666663E-8</v>
      </c>
      <c r="HW13" s="1">
        <v>0.01</v>
      </c>
      <c r="HX13" s="1">
        <v>5.0000000000000001E-4</v>
      </c>
      <c r="HY13" s="1">
        <v>1.1E-4</v>
      </c>
      <c r="HZ13" s="1">
        <v>4.0000000000000003E-5</v>
      </c>
      <c r="IA13" s="1">
        <v>6.999999999999999E-6</v>
      </c>
      <c r="IB13" s="1">
        <v>1.8000000000000001E-6</v>
      </c>
      <c r="IC13" s="1">
        <v>1.8000000000000001E-6</v>
      </c>
      <c r="ID13" s="1">
        <v>4.0000000000000001E-8</v>
      </c>
      <c r="IE13" s="1">
        <v>2.4999999999999999E-8</v>
      </c>
      <c r="IF13" s="1">
        <f>Table1567[[#This Row],[Total_Cost_MUSD]]*Table1567[[#This Row],[prob500-failure_rating1]]/500</f>
        <v>5.1486606440000009E-4</v>
      </c>
      <c r="IG13" s="1">
        <f>Table1567[[#This Row],[Total_Cost_MUSD]]*Table1567[[#This Row],[prob500-failure_rating2]]/500</f>
        <v>2.5743303220000004E-4</v>
      </c>
      <c r="IH13" s="1">
        <f>Table1567[[#This Row],[Total_Cost_MUSD]]*Table1567[[#This Row],[prob500-failure_rating3]]/500</f>
        <v>5.6635267084000006E-5</v>
      </c>
      <c r="II13" s="1">
        <f>Table1567[[#This Row],[Total_Cost_MUSD]]*Table1567[[#This Row],[prob500-failure_rating4]]/500</f>
        <v>2.0594642576000001E-5</v>
      </c>
      <c r="IJ13" s="1">
        <f>Table1567[[#This Row],[Total_Cost_MUSD]]*Table1567[[#This Row],[prob500-failure_rating5]]/500</f>
        <v>3.6040624508000001E-6</v>
      </c>
      <c r="IK13" s="1">
        <f>Table1567[[#This Row],[Total_Cost_MUSD]]*Table1567[[#This Row],[prob500-failure_rating6]]/500</f>
        <v>9.2675891592000007E-7</v>
      </c>
      <c r="IL13" s="1">
        <f>Table1567[[#This Row],[Total_Cost_MUSD]]*Table1567[[#This Row],[prob500-failure_rating7]]/500</f>
        <v>9.2675891592000007E-7</v>
      </c>
      <c r="IM13" s="1">
        <f>Table1567[[#This Row],[Total_Cost_MUSD]]*Table1567[[#This Row],[prob500-failure_rating8]]/500</f>
        <v>2.0594642576000002E-8</v>
      </c>
      <c r="IN13" s="1">
        <f>Table1567[[#This Row],[Total_Cost_MUSD]]*Table1567[[#This Row],[prob500-failure_rating9]]/500</f>
        <v>1.2871651609999999E-8</v>
      </c>
      <c r="IO13" s="1">
        <f>Table1567[[#This Row],[Total_Cost_MUSD]]*Table1567[[#This Row],[prob100-failure_rating1]]/100</f>
        <v>0.25743303220000002</v>
      </c>
      <c r="IP13" s="1">
        <f>Table1567[[#This Row],[Total_Cost_MUSD]]*Table1567[[#This Row],[prob100-failure_rating2]]/100</f>
        <v>2.5743303220000001E-3</v>
      </c>
      <c r="IQ13" s="1">
        <f>Table1567[[#This Row],[Total_Cost_MUSD]]*Table1567[[#This Row],[prob100-failure_rating3]]/100</f>
        <v>3.2179129025000002E-4</v>
      </c>
      <c r="IR13" s="1">
        <f>Table1567[[#This Row],[Total_Cost_MUSD]]*Table1567[[#This Row],[prob100-failure_rating4]]/100</f>
        <v>7.0794083855000011E-5</v>
      </c>
      <c r="IS13" s="1">
        <f>Table1567[[#This Row],[Total_Cost_MUSD]]*Table1567[[#This Row],[prob100-failure_rating5]]/100</f>
        <v>2.5743303220000002E-5</v>
      </c>
      <c r="IT13" s="1">
        <f>Table1567[[#This Row],[Total_Cost_MUSD]]*Table1567[[#This Row],[prob100-failure_rating6]]/100</f>
        <v>4.5050780635000002E-6</v>
      </c>
      <c r="IU13" s="1">
        <f>Table1567[[#This Row],[Total_Cost_MUSD]]*Table1567[[#This Row],[prob100-failure_rating7]]/100</f>
        <v>1.1584486449000001E-6</v>
      </c>
      <c r="IV13" s="1">
        <f>Table1567[[#This Row],[Total_Cost_MUSD]]*Table1567[[#This Row],[prob100-failure_rating8]]/100</f>
        <v>1.1584486449000001E-6</v>
      </c>
      <c r="IW13" s="1">
        <f>Table1567[[#This Row],[Total_Cost_MUSD]]*Table1567[[#This Row],[prob100-failure_rating9]]/100</f>
        <v>2.5743303220000001E-8</v>
      </c>
      <c r="IX13" s="1">
        <f>Table1567[[#This Row],[Total_Cost_MUSD]]*Table1567[[#This Row],[prob50-failure_rating1]]/50</f>
        <v>5.1486606440000002E-3</v>
      </c>
      <c r="IY13" s="1">
        <f>Table1567[[#This Row],[Total_Cost_MUSD]]*Table1567[[#This Row],[prob50-failure_rating2]]/50</f>
        <v>4.2905505366666672E-4</v>
      </c>
      <c r="IZ13" s="1">
        <f>Table1567[[#This Row],[Total_Cost_MUSD]]*Table1567[[#This Row],[prob50-failure_rating3]]/50</f>
        <v>9.4392111806666668E-5</v>
      </c>
      <c r="JA13" s="1">
        <f>Table1567[[#This Row],[Total_Cost_MUSD]]*Table1567[[#This Row],[prob50-failure_rating4]]/50</f>
        <v>3.4324404293333341E-5</v>
      </c>
      <c r="JB13" s="1">
        <f>Table1567[[#This Row],[Total_Cost_MUSD]]*Table1567[[#This Row],[prob50-failure_rating5]]/50</f>
        <v>6.0067707513333338E-6</v>
      </c>
      <c r="JC13" s="1">
        <f>Table1567[[#This Row],[Total_Cost_MUSD]]*Table1567[[#This Row],[prob50-failure_rating6]]/50</f>
        <v>1.5445981932000003E-6</v>
      </c>
      <c r="JD13" s="1">
        <f>Table1567[[#This Row],[Total_Cost_MUSD]]*Table1567[[#This Row],[prob50-failure_rating7]]/50</f>
        <v>1.5445981932000003E-6</v>
      </c>
      <c r="JE13" s="1">
        <f>Table1567[[#This Row],[Total_Cost_MUSD]]*Table1567[[#This Row],[prob50-failure_rating8]]/50</f>
        <v>3.432440429333334E-8</v>
      </c>
      <c r="JF13" s="1">
        <f>Table1567[[#This Row],[Total_Cost_MUSD]]*Table1567[[#This Row],[prob50-failure_rating9]]/50</f>
        <v>2.1452752683333336E-8</v>
      </c>
      <c r="JG13" s="1">
        <f>Table1567[[#This Row],[Total_Cost_MUSD]]*Table1567[[#This Row],[prob10-failure_rating1]]/10</f>
        <v>2.5743303220000003E-2</v>
      </c>
      <c r="JH13" s="1">
        <f>Table1567[[#This Row],[Total_Cost_MUSD]]*Table1567[[#This Row],[prob10-failure_rating2]]/10</f>
        <v>1.2871651610000001E-3</v>
      </c>
      <c r="JI13" s="1">
        <f>Table1567[[#This Row],[Total_Cost_MUSD]]*Table1567[[#This Row],[prob10-failure_rating3]]/10</f>
        <v>2.8317633542000004E-4</v>
      </c>
      <c r="JJ13" s="1">
        <f>Table1567[[#This Row],[Total_Cost_MUSD]]*Table1567[[#This Row],[prob10-failure_rating4]]/10</f>
        <v>1.0297321288000002E-4</v>
      </c>
      <c r="JK13" s="1">
        <f>Table1567[[#This Row],[Total_Cost_MUSD]]*Table1567[[#This Row],[prob10-failure_rating5]]/10</f>
        <v>1.8020312254000001E-5</v>
      </c>
      <c r="JL13" s="1">
        <f>Table1567[[#This Row],[Total_Cost_MUSD]]*Table1567[[#This Row],[prob10-failure_rating6]]/10</f>
        <v>4.6337945796000004E-6</v>
      </c>
      <c r="JM13" s="1">
        <f>Table1567[[#This Row],[Total_Cost_MUSD]]*Table1567[[#This Row],[prob10-failure_rating7]]/10</f>
        <v>4.6337945796000004E-6</v>
      </c>
      <c r="JN13" s="1">
        <f>Table1567[[#This Row],[Total_Cost_MUSD]]*Table1567[[#This Row],[prob10-failure_rating8]]/10</f>
        <v>1.0297321288000001E-7</v>
      </c>
      <c r="JO13" s="1">
        <f>Table1567[[#This Row],[Total_Cost_MUSD]]*Table1567[[#This Row],[prob10-failure_rating9]]/10</f>
        <v>6.4358258050000007E-8</v>
      </c>
      <c r="JP13" s="1">
        <f>Table1567[[#This Row],[FailureCost_Rating1]]</f>
        <v>4547.9835688666672</v>
      </c>
      <c r="JQ13" s="1">
        <f>Table1567[[#This Row],[FailureCost_Rating2]]</f>
        <v>4547.9835688666672</v>
      </c>
      <c r="JR13" s="1">
        <f>(Table1567[[#This Row],[failurecost500_rating2]]+Table1567[[#This Row],[failurecost100_rating2]]+Table1567[[#This Row],[failurecost50_rating2]]+Table1567[[#This Row],[failurecost10_rating2]])*1000000</f>
        <v>4547.9835688666672</v>
      </c>
      <c r="JS13" s="1">
        <f>(Table1567[[#This Row],[failurecost500_rating3]]+Table1567[[#This Row],[failurecost100_rating3]]+Table1567[[#This Row],[failurecost50_rating3]]+Table1567[[#This Row],[failurecost10_rating3]])*1000000</f>
        <v>755.99500456066676</v>
      </c>
      <c r="JT13" s="1">
        <f>(Table1567[[#This Row],[failurecost500_rating4]]+Table1567[[#This Row],[failurecost100_rating4]]+Table1567[[#This Row],[failurecost50_rating4]]+Table1567[[#This Row],[failurecost10_rating4]])*1000000</f>
        <v>228.68634360433339</v>
      </c>
      <c r="JU13" s="1">
        <f>(Table1567[[#This Row],[failurecost500_rating5]]+Table1567[[#This Row],[failurecost100_rating5]]+Table1567[[#This Row],[failurecost50_rating5]]+Table1567[[#This Row],[failurecost10_rating5]])*1000000</f>
        <v>53.374448676133333</v>
      </c>
      <c r="JV13" s="1">
        <f>(Table1567[[#This Row],[failurecost500_rating6]]+Table1567[[#This Row],[failurecost100_rating6]]+Table1567[[#This Row],[failurecost50_rating6]]+Table1567[[#This Row],[failurecost10_rating6]])*1000000</f>
        <v>11.61022975222</v>
      </c>
      <c r="JW13" s="1">
        <f>(Table1567[[#This Row],[failurecost500_rating7]]+Table1567[[#This Row],[failurecost100_rating7]]+Table1567[[#This Row],[failurecost50_rating7]]+Table1567[[#This Row],[failurecost10_rating7]])*1000000</f>
        <v>8.2636003336200012</v>
      </c>
      <c r="JX13" s="1">
        <f>(Table1567[[#This Row],[failurecost500_rating8]]+Table1567[[#This Row],[failurecost100_rating8]]+Table1567[[#This Row],[failurecost50_rating8]]+Table1567[[#This Row],[failurecost10_rating8]])*1000000</f>
        <v>1.3163409046493335</v>
      </c>
      <c r="JY13" s="1">
        <f>(Table1567[[#This Row],[failurecost500_rating9]]+Table1567[[#This Row],[failurecost100_rating9]]+Table1567[[#This Row],[failurecost50_rating9]]+Table1567[[#This Row],[failurecost10_rating9]])*1000000</f>
        <v>0.12442596556333332</v>
      </c>
    </row>
    <row r="14" spans="1:285" ht="28.8" x14ac:dyDescent="0.3">
      <c r="A14" s="1">
        <v>13</v>
      </c>
      <c r="B14" s="1" t="s">
        <v>268</v>
      </c>
      <c r="C14" s="1" t="s">
        <v>269</v>
      </c>
      <c r="D14" s="1">
        <v>42.303910000000002</v>
      </c>
      <c r="E14" s="1">
        <v>-71.047799999999995</v>
      </c>
      <c r="F14" s="1">
        <v>15.866127970000001</v>
      </c>
      <c r="G14" s="1">
        <v>13.566126819999999</v>
      </c>
      <c r="H14" s="1">
        <v>16.96612549</v>
      </c>
      <c r="I14" s="1">
        <v>19.166126250000001</v>
      </c>
      <c r="J14" s="1">
        <v>645.45920000000001</v>
      </c>
      <c r="K14" s="1">
        <v>526.12402850000001</v>
      </c>
      <c r="L14" s="1">
        <v>658.45920000000001</v>
      </c>
      <c r="M14" s="1">
        <v>634.12137410000003</v>
      </c>
      <c r="N14" s="1">
        <v>658.45920000000001</v>
      </c>
      <c r="O14" s="1">
        <v>634.12137410000003</v>
      </c>
      <c r="P14" s="1">
        <v>658.45920000000001</v>
      </c>
      <c r="Q14" s="1">
        <v>634.12137410000003</v>
      </c>
      <c r="R14" s="1">
        <v>658.45920000000001</v>
      </c>
      <c r="S14" s="1">
        <v>634.12137410000003</v>
      </c>
      <c r="T14" s="1">
        <v>1.2268194670000001</v>
      </c>
      <c r="U14" s="1">
        <v>1.0383803899999999</v>
      </c>
      <c r="V14" s="1">
        <v>1.0383803899999999</v>
      </c>
      <c r="W14" s="1">
        <v>1.0383803899999999</v>
      </c>
      <c r="X14" s="1">
        <v>1.0383803899999999</v>
      </c>
      <c r="Y14" s="1">
        <v>6.8000000000000005E-2</v>
      </c>
      <c r="Z14" s="1">
        <v>12.866666670000001</v>
      </c>
      <c r="AA14" s="1">
        <v>5.3479676380000001</v>
      </c>
      <c r="AB14" s="1">
        <v>5.3479676380000001</v>
      </c>
      <c r="AC14" s="1">
        <v>5.3479676380000001</v>
      </c>
      <c r="AD14" s="1">
        <v>5.3479676380000001</v>
      </c>
      <c r="AE14" s="1">
        <v>0.46358175000000001</v>
      </c>
      <c r="AF14" s="1">
        <v>0.42866575499999998</v>
      </c>
      <c r="AG14" s="1">
        <v>0.41453664600000001</v>
      </c>
      <c r="AH14" s="1">
        <v>0.39002019500000001</v>
      </c>
      <c r="AI14" s="1">
        <v>8.7565599899999995</v>
      </c>
      <c r="AJ14" s="1">
        <v>8.9436658139999992</v>
      </c>
      <c r="AK14" s="1">
        <v>9.0249674790000007</v>
      </c>
      <c r="AL14" s="1">
        <v>9.1747475049999991</v>
      </c>
      <c r="AM14" s="1">
        <v>470.46744530000001</v>
      </c>
      <c r="AN14" s="1">
        <v>501.27458330000002</v>
      </c>
      <c r="AO14" s="1">
        <v>515.06961660000002</v>
      </c>
      <c r="AP14" s="1">
        <v>541.14214440000001</v>
      </c>
      <c r="AQ14" s="1">
        <f>Table1567[[#This Row],[Depth10_Soil_vol]]*(9.353+9.027)+(Table1567[[#This Row],[Depth10_Soil_vol]]/2.5)*20*1.053+(PI()*Table1567[[#This Row],[Depth10_Scour]])*Table1567[[#This Row],[DECK_WIDTH_MT_052]]*1.062</f>
        <v>13653.389769605932</v>
      </c>
      <c r="AR14" s="1">
        <f>Table1567[[#This Row],[Depth50_Soil_vol]]*(9.353+9.027)+(Table1567[[#This Row],[Depth50_Soil_vol]]/2.5)*20*1.053+(PI()*Table1567[[#This Row],[Depth50_Scour]])*Table1567[[#This Row],[DECK_WIDTH_MT_052]]*1.062</f>
        <v>14501.430182908143</v>
      </c>
      <c r="AS14" s="1">
        <f>Table1567[[#This Row],[Depth100_Soil_vol]]*(9.353+9.027)+(Table1567[[#This Row],[Depth100_Soil_vol]]/2.5)*20*1.053+(PI()*Table1567[[#This Row],[Depth100_Scour]])*Table1567[[#This Row],[DECK_WIDTH_MT_052]]*1.062</f>
        <v>14880.875971506524</v>
      </c>
      <c r="AT14" s="1">
        <f>Table1567[[#This Row],[Depth500_Soil_vol]]*(9.353+9.027)+(Table1567[[#This Row],[Depth500_Soil_vol]]/2.5)*20*1.053+(PI()*Table1567[[#This Row],[Depth500_Scour]])*Table1567[[#This Row],[DECK_WIDTH_MT_052]]*1.062</f>
        <v>15597.564074730473</v>
      </c>
      <c r="AU14" s="1">
        <v>3.42</v>
      </c>
      <c r="AV14" s="1">
        <v>29.41</v>
      </c>
      <c r="AW14" s="1" t="s">
        <v>184</v>
      </c>
      <c r="AX14" s="1">
        <v>5</v>
      </c>
      <c r="AY14" s="1">
        <v>5</v>
      </c>
      <c r="AZ14" s="1">
        <v>5</v>
      </c>
      <c r="BA14" s="1">
        <v>5</v>
      </c>
      <c r="BB14" s="1">
        <v>25</v>
      </c>
      <c r="BC14" s="1" t="s">
        <v>270</v>
      </c>
      <c r="BD14" s="1">
        <v>42180402</v>
      </c>
      <c r="BE14" s="1">
        <v>71025674</v>
      </c>
      <c r="BF14" s="1">
        <v>1</v>
      </c>
      <c r="BG14" s="1">
        <v>1</v>
      </c>
      <c r="BH14" s="1">
        <v>1</v>
      </c>
      <c r="BI14" s="1">
        <v>93</v>
      </c>
      <c r="BJ14" s="1">
        <v>0</v>
      </c>
      <c r="BK14" s="1">
        <v>6</v>
      </c>
      <c r="BL14" s="1">
        <v>25</v>
      </c>
      <c r="BM14" s="1">
        <v>7000</v>
      </c>
      <c r="BN14" s="1" t="s">
        <v>271</v>
      </c>
      <c r="BO14" s="1">
        <v>0</v>
      </c>
      <c r="BP14" s="1" t="s">
        <v>272</v>
      </c>
      <c r="BQ14" s="1" t="s">
        <v>273</v>
      </c>
      <c r="BR14" s="1">
        <v>99.99</v>
      </c>
      <c r="BS14" s="1">
        <v>75.637</v>
      </c>
      <c r="BT14" s="1">
        <v>1</v>
      </c>
      <c r="BU14" s="1">
        <v>0</v>
      </c>
      <c r="BV14" s="1">
        <v>0</v>
      </c>
      <c r="BW14" s="1">
        <v>6</v>
      </c>
      <c r="BX14" s="1">
        <v>3</v>
      </c>
      <c r="BY14" s="1">
        <v>1</v>
      </c>
      <c r="BZ14" s="1">
        <v>1</v>
      </c>
      <c r="CA14" s="1">
        <v>11</v>
      </c>
      <c r="CB14" s="1">
        <v>1958</v>
      </c>
      <c r="CC14" s="1">
        <v>9</v>
      </c>
      <c r="CD14" s="1">
        <v>6</v>
      </c>
      <c r="CE14" s="1">
        <v>77500</v>
      </c>
      <c r="CF14" s="1">
        <v>2016</v>
      </c>
      <c r="CG14" s="1">
        <v>6</v>
      </c>
      <c r="CH14" s="1">
        <v>33.5</v>
      </c>
      <c r="CI14" s="1">
        <v>2</v>
      </c>
      <c r="CJ14" s="1">
        <v>35</v>
      </c>
      <c r="CK14" s="1">
        <v>0</v>
      </c>
      <c r="CL14" s="1">
        <v>1</v>
      </c>
      <c r="CM14" s="1">
        <v>0</v>
      </c>
      <c r="CN14" s="1">
        <v>1</v>
      </c>
      <c r="CO14" s="1">
        <v>1</v>
      </c>
      <c r="CP14" s="1">
        <v>5</v>
      </c>
      <c r="CQ14" s="1" t="s">
        <v>190</v>
      </c>
      <c r="CR14" s="1">
        <v>0</v>
      </c>
      <c r="CS14" s="1">
        <v>0</v>
      </c>
      <c r="CT14" s="1" t="s">
        <v>189</v>
      </c>
      <c r="CU14" s="1">
        <v>1</v>
      </c>
      <c r="CV14" s="1">
        <v>1</v>
      </c>
      <c r="CW14" s="1">
        <v>3</v>
      </c>
      <c r="CX14" s="1">
        <v>2</v>
      </c>
      <c r="CY14" s="1">
        <v>0</v>
      </c>
      <c r="CZ14" s="1">
        <v>0</v>
      </c>
      <c r="DA14" s="1">
        <v>2</v>
      </c>
      <c r="DB14" s="1">
        <v>0</v>
      </c>
      <c r="DC14" s="1">
        <v>14.9</v>
      </c>
      <c r="DD14" s="1">
        <v>29</v>
      </c>
      <c r="DE14" s="1">
        <v>59.7</v>
      </c>
      <c r="DF14" s="1">
        <v>0</v>
      </c>
      <c r="DG14" s="1">
        <v>0</v>
      </c>
      <c r="DH14" s="1">
        <v>33.5</v>
      </c>
      <c r="DI14" s="1">
        <v>35.700000000000003</v>
      </c>
      <c r="DJ14" s="1">
        <v>99.99</v>
      </c>
      <c r="DK14" s="1" t="s">
        <v>204</v>
      </c>
      <c r="DL14" s="1">
        <v>4.47</v>
      </c>
      <c r="DM14" s="1" t="s">
        <v>204</v>
      </c>
      <c r="DN14" s="1">
        <v>1.7</v>
      </c>
      <c r="DO14" s="1">
        <v>5.9</v>
      </c>
      <c r="DP14" s="1">
        <v>6</v>
      </c>
      <c r="DQ14" s="1">
        <v>6</v>
      </c>
      <c r="DR14" s="1">
        <v>7</v>
      </c>
      <c r="DS14" s="1" t="s">
        <v>190</v>
      </c>
      <c r="DT14" s="1" t="s">
        <v>190</v>
      </c>
      <c r="DU14" s="1">
        <v>1</v>
      </c>
      <c r="DV14" s="1">
        <v>74.3</v>
      </c>
      <c r="DW14" s="1">
        <v>1</v>
      </c>
      <c r="DX14" s="1">
        <v>44.5</v>
      </c>
      <c r="DY14" s="1">
        <v>6</v>
      </c>
      <c r="DZ14" s="1">
        <v>2</v>
      </c>
      <c r="EA14" s="1">
        <v>4</v>
      </c>
      <c r="EB14" s="1">
        <v>5</v>
      </c>
      <c r="EC14" s="1" t="s">
        <v>190</v>
      </c>
      <c r="ED14" s="1">
        <v>8</v>
      </c>
      <c r="EE14" s="1">
        <v>33</v>
      </c>
      <c r="EF14" s="1">
        <v>1</v>
      </c>
      <c r="EG14" s="1">
        <v>60</v>
      </c>
      <c r="EH14" s="1">
        <v>919</v>
      </c>
      <c r="EI14" s="1">
        <v>24</v>
      </c>
      <c r="EJ14" s="1" t="s">
        <v>191</v>
      </c>
      <c r="EK14" s="1" t="s">
        <v>191</v>
      </c>
      <c r="EL14" s="1" t="s">
        <v>191</v>
      </c>
      <c r="EM14" s="1">
        <v>0</v>
      </c>
      <c r="EN14" s="1">
        <v>0</v>
      </c>
      <c r="EO14" s="1">
        <v>0</v>
      </c>
      <c r="EP14" s="1">
        <v>4527</v>
      </c>
      <c r="EQ14" s="1">
        <v>453</v>
      </c>
      <c r="ER14" s="1">
        <v>6791</v>
      </c>
      <c r="ES14" s="1">
        <v>2020</v>
      </c>
      <c r="ET14" s="1">
        <v>0</v>
      </c>
      <c r="EU14" s="1">
        <v>0</v>
      </c>
      <c r="EV14" s="1" t="s">
        <v>193</v>
      </c>
      <c r="EW14" s="1">
        <v>1</v>
      </c>
      <c r="EX14" s="1" t="s">
        <v>190</v>
      </c>
      <c r="EY14" s="1">
        <v>2</v>
      </c>
      <c r="EZ14" s="1">
        <v>0</v>
      </c>
      <c r="FA14" s="1">
        <v>1</v>
      </c>
      <c r="FB14" s="1">
        <v>0</v>
      </c>
      <c r="FC14" s="1">
        <v>1986</v>
      </c>
      <c r="FD14" s="1">
        <v>1</v>
      </c>
      <c r="FE14" s="1">
        <v>6</v>
      </c>
      <c r="FF14" s="1">
        <v>1</v>
      </c>
      <c r="FG14" s="1">
        <v>1</v>
      </c>
      <c r="FH14" s="1">
        <v>13</v>
      </c>
      <c r="FI14" s="1">
        <v>1</v>
      </c>
      <c r="FJ14" s="1">
        <v>0</v>
      </c>
      <c r="FK14" s="1" t="s">
        <v>194</v>
      </c>
      <c r="FL14" s="1" t="s">
        <v>190</v>
      </c>
      <c r="FM14" s="1">
        <v>295329</v>
      </c>
      <c r="FN14" s="1">
        <v>2032</v>
      </c>
      <c r="FO14" s="1">
        <v>0</v>
      </c>
      <c r="FP14" s="1" t="s">
        <v>190</v>
      </c>
      <c r="FQ14" s="1">
        <v>25</v>
      </c>
      <c r="FR14" s="1" t="s">
        <v>206</v>
      </c>
      <c r="FS14" s="1">
        <v>6</v>
      </c>
      <c r="FT14" s="1">
        <v>2131.29</v>
      </c>
      <c r="FU14" s="1">
        <v>183</v>
      </c>
      <c r="FV14" s="1">
        <v>60</v>
      </c>
      <c r="FW14" s="1">
        <v>80</v>
      </c>
      <c r="FX14" s="1">
        <v>2</v>
      </c>
      <c r="FY14" s="1">
        <v>5</v>
      </c>
      <c r="FZ14" s="1">
        <v>294118.02</v>
      </c>
      <c r="GA14" s="1">
        <v>47695747.5</v>
      </c>
      <c r="GB14" s="1">
        <v>33027354.34</v>
      </c>
      <c r="GC14" s="1">
        <v>2500000</v>
      </c>
      <c r="GD14" s="1"/>
      <c r="GE14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0.52800000000000002</v>
      </c>
      <c r="GF14" s="1">
        <v>83.517219859999997</v>
      </c>
      <c r="GG14" s="1">
        <v>0</v>
      </c>
      <c r="GH14" s="1">
        <v>0</v>
      </c>
      <c r="GI14" s="1">
        <v>0</v>
      </c>
      <c r="GJ14" s="1">
        <v>0</v>
      </c>
      <c r="GK14" s="1">
        <v>9</v>
      </c>
      <c r="GL14" s="1">
        <v>37118.764382222216</v>
      </c>
      <c r="GM14" s="1">
        <v>20879.304965000003</v>
      </c>
      <c r="GN14" s="1">
        <v>13362.755177600002</v>
      </c>
      <c r="GO14" s="1">
        <v>9279.6910955555541</v>
      </c>
      <c r="GP14" s="1">
        <v>6817.7322334693881</v>
      </c>
      <c r="GQ14" s="1">
        <v>5219.8262412500007</v>
      </c>
      <c r="GR14" s="1">
        <v>4124.3071535802464</v>
      </c>
      <c r="GS14" s="1">
        <v>0</v>
      </c>
      <c r="GT14" s="1">
        <v>0</v>
      </c>
      <c r="GU14" s="1">
        <v>0</v>
      </c>
      <c r="GV14" s="1">
        <v>0.01</v>
      </c>
      <c r="GW14" s="1">
        <v>5.0000000000000001E-3</v>
      </c>
      <c r="GX14" s="1">
        <v>1.1000000000000001E-3</v>
      </c>
      <c r="GY14" s="1">
        <v>4.0000000000000002E-4</v>
      </c>
      <c r="GZ14" s="1">
        <v>6.9999999999999994E-5</v>
      </c>
      <c r="HA14" s="1">
        <v>1.8E-5</v>
      </c>
      <c r="HB14" s="1">
        <v>1.8E-5</v>
      </c>
      <c r="HC14" s="1">
        <v>3.9999999999999998E-7</v>
      </c>
      <c r="HD14" s="1">
        <v>2.4999999999999999E-7</v>
      </c>
      <c r="HE14" s="1">
        <v>1</v>
      </c>
      <c r="HF14" s="1">
        <v>0.01</v>
      </c>
      <c r="HG14" s="1">
        <v>1.25E-3</v>
      </c>
      <c r="HH14" s="1">
        <v>2.7500000000000002E-4</v>
      </c>
      <c r="HI14" s="1">
        <v>1E-4</v>
      </c>
      <c r="HJ14" s="1">
        <v>1.7499999999999998E-5</v>
      </c>
      <c r="HK14" s="1">
        <v>4.5000000000000001E-6</v>
      </c>
      <c r="HL14" s="1">
        <v>4.5000000000000001E-6</v>
      </c>
      <c r="HM14" s="1">
        <v>9.9999999999999995E-8</v>
      </c>
      <c r="HN14" s="1">
        <v>0.01</v>
      </c>
      <c r="HO14" s="1">
        <v>8.3333333333333339E-4</v>
      </c>
      <c r="HP14" s="1">
        <v>1.8333333333333334E-4</v>
      </c>
      <c r="HQ14" s="1">
        <v>6.666666666666667E-5</v>
      </c>
      <c r="HR14" s="1">
        <v>1.1666666666666666E-5</v>
      </c>
      <c r="HS14" s="1">
        <v>3.0000000000000001E-6</v>
      </c>
      <c r="HT14" s="1">
        <v>3.0000000000000001E-6</v>
      </c>
      <c r="HU14" s="1">
        <v>6.6666666666666668E-8</v>
      </c>
      <c r="HV14" s="1">
        <v>4.1666666666666663E-8</v>
      </c>
      <c r="HW14" s="1">
        <v>0.01</v>
      </c>
      <c r="HX14" s="1">
        <v>5.0000000000000001E-4</v>
      </c>
      <c r="HY14" s="1">
        <v>1.1E-4</v>
      </c>
      <c r="HZ14" s="1">
        <v>4.0000000000000003E-5</v>
      </c>
      <c r="IA14" s="1">
        <v>6.999999999999999E-6</v>
      </c>
      <c r="IB14" s="1">
        <v>1.8000000000000001E-6</v>
      </c>
      <c r="IC14" s="1">
        <v>1.8000000000000001E-6</v>
      </c>
      <c r="ID14" s="1">
        <v>4.0000000000000001E-8</v>
      </c>
      <c r="IE14" s="1">
        <v>2.4999999999999999E-8</v>
      </c>
      <c r="IF14" s="1">
        <f>Table1567[[#This Row],[Total_Cost_MUSD]]*Table1567[[#This Row],[prob500-failure_rating1]]/500</f>
        <v>1.6703443972000001E-3</v>
      </c>
      <c r="IG14" s="1">
        <f>Table1567[[#This Row],[Total_Cost_MUSD]]*Table1567[[#This Row],[prob500-failure_rating2]]/500</f>
        <v>8.3517219860000007E-4</v>
      </c>
      <c r="IH14" s="1">
        <f>Table1567[[#This Row],[Total_Cost_MUSD]]*Table1567[[#This Row],[prob500-failure_rating3]]/500</f>
        <v>1.8373788369200001E-4</v>
      </c>
      <c r="II14" s="1">
        <f>Table1567[[#This Row],[Total_Cost_MUSD]]*Table1567[[#This Row],[prob500-failure_rating4]]/500</f>
        <v>6.6813775887999993E-5</v>
      </c>
      <c r="IJ14" s="1">
        <f>Table1567[[#This Row],[Total_Cost_MUSD]]*Table1567[[#This Row],[prob500-failure_rating5]]/500</f>
        <v>1.1692410780399998E-5</v>
      </c>
      <c r="IK14" s="1">
        <f>Table1567[[#This Row],[Total_Cost_MUSD]]*Table1567[[#This Row],[prob500-failure_rating6]]/500</f>
        <v>3.0066199149599998E-6</v>
      </c>
      <c r="IL14" s="1">
        <f>Table1567[[#This Row],[Total_Cost_MUSD]]*Table1567[[#This Row],[prob500-failure_rating7]]/500</f>
        <v>3.0066199149599998E-6</v>
      </c>
      <c r="IM14" s="1">
        <f>Table1567[[#This Row],[Total_Cost_MUSD]]*Table1567[[#This Row],[prob500-failure_rating8]]/500</f>
        <v>6.6813775887999997E-8</v>
      </c>
      <c r="IN14" s="1">
        <f>Table1567[[#This Row],[Total_Cost_MUSD]]*Table1567[[#This Row],[prob500-failure_rating9]]/500</f>
        <v>4.1758609929999998E-8</v>
      </c>
      <c r="IO14" s="1">
        <f>Table1567[[#This Row],[Total_Cost_MUSD]]*Table1567[[#This Row],[prob100-failure_rating1]]/100</f>
        <v>0.83517219860000003</v>
      </c>
      <c r="IP14" s="1">
        <f>Table1567[[#This Row],[Total_Cost_MUSD]]*Table1567[[#This Row],[prob100-failure_rating2]]/100</f>
        <v>8.3517219859999998E-3</v>
      </c>
      <c r="IQ14" s="1">
        <f>Table1567[[#This Row],[Total_Cost_MUSD]]*Table1567[[#This Row],[prob100-failure_rating3]]/100</f>
        <v>1.04396524825E-3</v>
      </c>
      <c r="IR14" s="1">
        <f>Table1567[[#This Row],[Total_Cost_MUSD]]*Table1567[[#This Row],[prob100-failure_rating4]]/100</f>
        <v>2.2967235461500001E-4</v>
      </c>
      <c r="IS14" s="1">
        <f>Table1567[[#This Row],[Total_Cost_MUSD]]*Table1567[[#This Row],[prob100-failure_rating5]]/100</f>
        <v>8.3517219860000004E-5</v>
      </c>
      <c r="IT14" s="1">
        <f>Table1567[[#This Row],[Total_Cost_MUSD]]*Table1567[[#This Row],[prob100-failure_rating6]]/100</f>
        <v>1.4615513475499998E-5</v>
      </c>
      <c r="IU14" s="1">
        <f>Table1567[[#This Row],[Total_Cost_MUSD]]*Table1567[[#This Row],[prob100-failure_rating7]]/100</f>
        <v>3.7582748936999998E-6</v>
      </c>
      <c r="IV14" s="1">
        <f>Table1567[[#This Row],[Total_Cost_MUSD]]*Table1567[[#This Row],[prob100-failure_rating8]]/100</f>
        <v>3.7582748936999998E-6</v>
      </c>
      <c r="IW14" s="1">
        <f>Table1567[[#This Row],[Total_Cost_MUSD]]*Table1567[[#This Row],[prob100-failure_rating9]]/100</f>
        <v>8.3517219859999996E-8</v>
      </c>
      <c r="IX14" s="1">
        <f>Table1567[[#This Row],[Total_Cost_MUSD]]*Table1567[[#This Row],[prob50-failure_rating1]]/50</f>
        <v>1.6703443972E-2</v>
      </c>
      <c r="IY14" s="1">
        <f>Table1567[[#This Row],[Total_Cost_MUSD]]*Table1567[[#This Row],[prob50-failure_rating2]]/50</f>
        <v>1.3919536643333334E-3</v>
      </c>
      <c r="IZ14" s="1">
        <f>Table1567[[#This Row],[Total_Cost_MUSD]]*Table1567[[#This Row],[prob50-failure_rating3]]/50</f>
        <v>3.0622980615333336E-4</v>
      </c>
      <c r="JA14" s="1">
        <f>Table1567[[#This Row],[Total_Cost_MUSD]]*Table1567[[#This Row],[prob50-failure_rating4]]/50</f>
        <v>1.1135629314666667E-4</v>
      </c>
      <c r="JB14" s="1">
        <f>Table1567[[#This Row],[Total_Cost_MUSD]]*Table1567[[#This Row],[prob50-failure_rating5]]/50</f>
        <v>1.9487351300666666E-5</v>
      </c>
      <c r="JC14" s="1">
        <f>Table1567[[#This Row],[Total_Cost_MUSD]]*Table1567[[#This Row],[prob50-failure_rating6]]/50</f>
        <v>5.0110331915999998E-6</v>
      </c>
      <c r="JD14" s="1">
        <f>Table1567[[#This Row],[Total_Cost_MUSD]]*Table1567[[#This Row],[prob50-failure_rating7]]/50</f>
        <v>5.0110331915999998E-6</v>
      </c>
      <c r="JE14" s="1">
        <f>Table1567[[#This Row],[Total_Cost_MUSD]]*Table1567[[#This Row],[prob50-failure_rating8]]/50</f>
        <v>1.1135629314666667E-7</v>
      </c>
      <c r="JF14" s="1">
        <f>Table1567[[#This Row],[Total_Cost_MUSD]]*Table1567[[#This Row],[prob50-failure_rating9]]/50</f>
        <v>6.9597683216666648E-8</v>
      </c>
      <c r="JG14" s="1">
        <f>Table1567[[#This Row],[Total_Cost_MUSD]]*Table1567[[#This Row],[prob10-failure_rating1]]/10</f>
        <v>8.3517219860000005E-2</v>
      </c>
      <c r="JH14" s="1">
        <f>Table1567[[#This Row],[Total_Cost_MUSD]]*Table1567[[#This Row],[prob10-failure_rating2]]/10</f>
        <v>4.1758609929999999E-3</v>
      </c>
      <c r="JI14" s="1">
        <f>Table1567[[#This Row],[Total_Cost_MUSD]]*Table1567[[#This Row],[prob10-failure_rating3]]/10</f>
        <v>9.1868941845999993E-4</v>
      </c>
      <c r="JJ14" s="1">
        <f>Table1567[[#This Row],[Total_Cost_MUSD]]*Table1567[[#This Row],[prob10-failure_rating4]]/10</f>
        <v>3.3406887944000002E-4</v>
      </c>
      <c r="JK14" s="1">
        <f>Table1567[[#This Row],[Total_Cost_MUSD]]*Table1567[[#This Row],[prob10-failure_rating5]]/10</f>
        <v>5.8462053901999987E-5</v>
      </c>
      <c r="JL14" s="1">
        <f>Table1567[[#This Row],[Total_Cost_MUSD]]*Table1567[[#This Row],[prob10-failure_rating6]]/10</f>
        <v>1.5033099574800001E-5</v>
      </c>
      <c r="JM14" s="1">
        <f>Table1567[[#This Row],[Total_Cost_MUSD]]*Table1567[[#This Row],[prob10-failure_rating7]]/10</f>
        <v>1.5033099574800001E-5</v>
      </c>
      <c r="JN14" s="1">
        <f>Table1567[[#This Row],[Total_Cost_MUSD]]*Table1567[[#This Row],[prob10-failure_rating8]]/10</f>
        <v>3.3406887944000004E-7</v>
      </c>
      <c r="JO14" s="1">
        <f>Table1567[[#This Row],[Total_Cost_MUSD]]*Table1567[[#This Row],[prob10-failure_rating9]]/10</f>
        <v>2.0879304964999998E-7</v>
      </c>
      <c r="JP14" s="1">
        <f>Table1567[[#This Row],[FailureCost_Rating1]]</f>
        <v>14754.708841933332</v>
      </c>
      <c r="JQ14" s="1">
        <f>Table1567[[#This Row],[FailureCost_Rating2]]</f>
        <v>14754.708841933332</v>
      </c>
      <c r="JR14" s="1">
        <f>(Table1567[[#This Row],[failurecost500_rating2]]+Table1567[[#This Row],[failurecost100_rating2]]+Table1567[[#This Row],[failurecost50_rating2]]+Table1567[[#This Row],[failurecost10_rating2]])*1000000</f>
        <v>14754.708841933332</v>
      </c>
      <c r="JS14" s="1">
        <f>(Table1567[[#This Row],[failurecost500_rating3]]+Table1567[[#This Row],[failurecost100_rating3]]+Table1567[[#This Row],[failurecost50_rating3]]+Table1567[[#This Row],[failurecost10_rating3]])*1000000</f>
        <v>2452.6223565553332</v>
      </c>
      <c r="JT14" s="1">
        <f>(Table1567[[#This Row],[failurecost500_rating4]]+Table1567[[#This Row],[failurecost100_rating4]]+Table1567[[#This Row],[failurecost50_rating4]]+Table1567[[#This Row],[failurecost10_rating4]])*1000000</f>
        <v>741.91130308966672</v>
      </c>
      <c r="JU14" s="1">
        <f>(Table1567[[#This Row],[failurecost500_rating5]]+Table1567[[#This Row],[failurecost100_rating5]]+Table1567[[#This Row],[failurecost50_rating5]]+Table1567[[#This Row],[failurecost10_rating5]])*1000000</f>
        <v>173.15903584306665</v>
      </c>
      <c r="JV14" s="1">
        <f>(Table1567[[#This Row],[failurecost500_rating6]]+Table1567[[#This Row],[failurecost100_rating6]]+Table1567[[#This Row],[failurecost50_rating6]]+Table1567[[#This Row],[failurecost10_rating6]])*1000000</f>
        <v>37.666266156860004</v>
      </c>
      <c r="JW14" s="1">
        <f>(Table1567[[#This Row],[failurecost500_rating7]]+Table1567[[#This Row],[failurecost100_rating7]]+Table1567[[#This Row],[failurecost50_rating7]]+Table1567[[#This Row],[failurecost10_rating7]])*1000000</f>
        <v>26.80902757506</v>
      </c>
      <c r="JX14" s="1">
        <f>(Table1567[[#This Row],[failurecost500_rating8]]+Table1567[[#This Row],[failurecost100_rating8]]+Table1567[[#This Row],[failurecost50_rating8]]+Table1567[[#This Row],[failurecost10_rating8]])*1000000</f>
        <v>4.2705138421746662</v>
      </c>
      <c r="JY14" s="1">
        <f>(Table1567[[#This Row],[failurecost500_rating9]]+Table1567[[#This Row],[failurecost100_rating9]]+Table1567[[#This Row],[failurecost50_rating9]]+Table1567[[#This Row],[failurecost10_rating9]])*1000000</f>
        <v>0.40366656265666662</v>
      </c>
    </row>
    <row r="15" spans="1:285" ht="28.8" x14ac:dyDescent="0.3">
      <c r="A15" s="1">
        <v>14</v>
      </c>
      <c r="B15" s="1" t="s">
        <v>274</v>
      </c>
      <c r="C15" s="1" t="s">
        <v>260</v>
      </c>
      <c r="D15" s="1">
        <v>42.353940000000001</v>
      </c>
      <c r="E15" s="1">
        <v>-71.05</v>
      </c>
      <c r="F15" s="1">
        <v>15.289761540000001</v>
      </c>
      <c r="G15" s="1">
        <v>12.98976326</v>
      </c>
      <c r="H15" s="1">
        <v>16.389762879999999</v>
      </c>
      <c r="I15" s="1">
        <v>20.686388019999999</v>
      </c>
      <c r="J15" s="1">
        <v>1610.280115</v>
      </c>
      <c r="K15" s="1">
        <v>1155.9973460000001</v>
      </c>
      <c r="L15" s="1">
        <v>2435.910163</v>
      </c>
      <c r="M15" s="1">
        <v>1349.098555</v>
      </c>
      <c r="N15" s="1">
        <v>2435.910163</v>
      </c>
      <c r="O15" s="1">
        <v>1349.098555</v>
      </c>
      <c r="P15" s="1">
        <v>2435.910163</v>
      </c>
      <c r="Q15" s="1">
        <v>1349.098555</v>
      </c>
      <c r="R15" s="1">
        <v>2435.910163</v>
      </c>
      <c r="S15" s="1">
        <v>1349.098555</v>
      </c>
      <c r="T15" s="1">
        <v>1.3929790769999999</v>
      </c>
      <c r="U15" s="1">
        <v>1.805583553</v>
      </c>
      <c r="V15" s="1">
        <v>1.805583553</v>
      </c>
      <c r="W15" s="1">
        <v>1.805583553</v>
      </c>
      <c r="X15" s="1">
        <v>1.805583553</v>
      </c>
      <c r="Y15" s="1">
        <v>0.158490566</v>
      </c>
      <c r="Z15" s="1">
        <v>12</v>
      </c>
      <c r="AA15" s="1">
        <v>11.806198950000001</v>
      </c>
      <c r="AB15" s="1">
        <v>11.806198950000001</v>
      </c>
      <c r="AC15" s="1">
        <v>11.806198950000001</v>
      </c>
      <c r="AD15" s="1">
        <v>11.806198950000001</v>
      </c>
      <c r="AE15" s="1">
        <v>1.0458634250000001</v>
      </c>
      <c r="AF15" s="1">
        <v>0.96399601300000004</v>
      </c>
      <c r="AG15" s="1">
        <v>0.93108484599999997</v>
      </c>
      <c r="AH15" s="1">
        <v>0.82876854600000005</v>
      </c>
      <c r="AI15" s="1">
        <v>33.360714360000003</v>
      </c>
      <c r="AJ15" s="1">
        <v>34.103053860000003</v>
      </c>
      <c r="AK15" s="1">
        <v>34.424408390000004</v>
      </c>
      <c r="AL15" s="1">
        <v>35.523570030000002</v>
      </c>
      <c r="AM15" s="1">
        <v>232.7715269</v>
      </c>
      <c r="AN15" s="1">
        <v>248.6586911</v>
      </c>
      <c r="AO15" s="1">
        <v>255.75450140000001</v>
      </c>
      <c r="AP15" s="1">
        <v>281.04356430000001</v>
      </c>
      <c r="AQ15" s="1">
        <f>Table1567[[#This Row],[Depth10_Soil_vol]]*(9.353+9.027)+(Table1567[[#This Row],[Depth10_Soil_vol]]/2.5)*20*1.053+(PI()*Table1567[[#This Row],[Depth10_Scour]])*Table1567[[#This Row],[DECK_WIDTH_MT_052]]*1.062</f>
        <v>9589.4503766877388</v>
      </c>
      <c r="AR15" s="1">
        <f>Table1567[[#This Row],[Depth50_Soil_vol]]*(9.353+9.027)+(Table1567[[#This Row],[Depth50_Soil_vol]]/2.5)*20*1.053+(PI()*Table1567[[#This Row],[Depth50_Scour]])*Table1567[[#This Row],[DECK_WIDTH_MT_052]]*1.062</f>
        <v>10089.839206196759</v>
      </c>
      <c r="AS15" s="1">
        <f>Table1567[[#This Row],[Depth100_Soil_vol]]*(9.353+9.027)+(Table1567[[#This Row],[Depth100_Soil_vol]]/2.5)*20*1.053+(PI()*Table1567[[#This Row],[Depth100_Scour]])*Table1567[[#This Row],[DECK_WIDTH_MT_052]]*1.062</f>
        <v>10312.30726316059</v>
      </c>
      <c r="AT15" s="1">
        <f>Table1567[[#This Row],[Depth500_Soil_vol]]*(9.353+9.027)+(Table1567[[#This Row],[Depth500_Soil_vol]]/2.5)*20*1.053+(PI()*Table1567[[#This Row],[Depth500_Scour]])*Table1567[[#This Row],[DECK_WIDTH_MT_052]]*1.062</f>
        <v>11100.538370005896</v>
      </c>
      <c r="AU15" s="1">
        <v>16</v>
      </c>
      <c r="AV15" s="1">
        <v>33.869999999999997</v>
      </c>
      <c r="AW15" s="1" t="s">
        <v>208</v>
      </c>
      <c r="AX15" s="1">
        <v>3</v>
      </c>
      <c r="AY15" s="1">
        <v>3</v>
      </c>
      <c r="AZ15" s="1">
        <v>3</v>
      </c>
      <c r="BA15" s="1">
        <v>3</v>
      </c>
      <c r="BB15" s="1">
        <v>25</v>
      </c>
      <c r="BC15" s="1" t="s">
        <v>275</v>
      </c>
      <c r="BD15" s="1">
        <v>42211420</v>
      </c>
      <c r="BE15" s="1">
        <v>71030015</v>
      </c>
      <c r="BF15" s="1">
        <v>1</v>
      </c>
      <c r="BG15" s="1">
        <v>5</v>
      </c>
      <c r="BH15" s="1">
        <v>1</v>
      </c>
      <c r="BI15" s="1">
        <v>0</v>
      </c>
      <c r="BJ15" s="1">
        <v>0</v>
      </c>
      <c r="BK15" s="1">
        <v>6</v>
      </c>
      <c r="BL15" s="1">
        <v>25</v>
      </c>
      <c r="BM15" s="1">
        <v>7000</v>
      </c>
      <c r="BN15" s="1" t="s">
        <v>262</v>
      </c>
      <c r="BO15" s="1">
        <v>0</v>
      </c>
      <c r="BP15" s="1" t="s">
        <v>276</v>
      </c>
      <c r="BQ15" s="1" t="s">
        <v>277</v>
      </c>
      <c r="BR15" s="1">
        <v>99.99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3</v>
      </c>
      <c r="BY15" s="1">
        <v>4</v>
      </c>
      <c r="BZ15" s="1">
        <v>4</v>
      </c>
      <c r="CA15" s="1">
        <v>14</v>
      </c>
      <c r="CB15" s="1">
        <v>1996</v>
      </c>
      <c r="CC15" s="1">
        <v>6</v>
      </c>
      <c r="CD15" s="1">
        <v>0</v>
      </c>
      <c r="CE15" s="1">
        <v>28448</v>
      </c>
      <c r="CF15" s="1">
        <v>2018</v>
      </c>
      <c r="CG15" s="1">
        <v>6</v>
      </c>
      <c r="CH15" s="1">
        <v>29.8</v>
      </c>
      <c r="CI15" s="1">
        <v>0</v>
      </c>
      <c r="CJ15" s="1">
        <v>0</v>
      </c>
      <c r="CK15" s="1">
        <v>0</v>
      </c>
      <c r="CL15" s="1">
        <v>1</v>
      </c>
      <c r="CM15" s="1" t="s">
        <v>190</v>
      </c>
      <c r="CN15" s="1" t="s">
        <v>190</v>
      </c>
      <c r="CO15" s="1" t="s">
        <v>190</v>
      </c>
      <c r="CP15" s="1">
        <v>4</v>
      </c>
      <c r="CQ15" s="1">
        <v>1</v>
      </c>
      <c r="CR15" s="1">
        <v>4.8</v>
      </c>
      <c r="CS15" s="1">
        <v>22.9</v>
      </c>
      <c r="CT15" s="1" t="s">
        <v>189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2</v>
      </c>
      <c r="DA15" s="1">
        <v>3</v>
      </c>
      <c r="DB15" s="1">
        <v>2</v>
      </c>
      <c r="DC15" s="1">
        <v>21.4</v>
      </c>
      <c r="DD15" s="1">
        <v>71.900000000000006</v>
      </c>
      <c r="DE15" s="1">
        <v>263.89999999999998</v>
      </c>
      <c r="DF15" s="1">
        <v>4.3</v>
      </c>
      <c r="DG15" s="1">
        <v>4.0999999999999996</v>
      </c>
      <c r="DH15" s="1">
        <v>21.4</v>
      </c>
      <c r="DI15" s="1">
        <v>30.1</v>
      </c>
      <c r="DJ15" s="1">
        <v>99.99</v>
      </c>
      <c r="DK15" s="1" t="s">
        <v>190</v>
      </c>
      <c r="DL15" s="1">
        <v>0</v>
      </c>
      <c r="DM15" s="1" t="s">
        <v>190</v>
      </c>
      <c r="DN15" s="1">
        <v>0</v>
      </c>
      <c r="DO15" s="1">
        <v>0</v>
      </c>
      <c r="DP15" s="1">
        <v>7</v>
      </c>
      <c r="DQ15" s="1">
        <v>5</v>
      </c>
      <c r="DR15" s="1">
        <v>5</v>
      </c>
      <c r="DS15" s="1">
        <v>7</v>
      </c>
      <c r="DT15" s="1" t="s">
        <v>190</v>
      </c>
      <c r="DU15" s="1">
        <v>1</v>
      </c>
      <c r="DV15" s="1">
        <v>83.8</v>
      </c>
      <c r="DW15" s="1">
        <v>1</v>
      </c>
      <c r="DX15" s="1">
        <v>50.2</v>
      </c>
      <c r="DY15" s="1">
        <v>5</v>
      </c>
      <c r="DZ15" s="1">
        <v>2</v>
      </c>
      <c r="EA15" s="1" t="s">
        <v>190</v>
      </c>
      <c r="EB15" s="1">
        <v>5</v>
      </c>
      <c r="EC15" s="1" t="s">
        <v>190</v>
      </c>
      <c r="ED15" s="1">
        <v>6</v>
      </c>
      <c r="EE15" s="1">
        <v>35</v>
      </c>
      <c r="EF15" s="1">
        <v>1</v>
      </c>
      <c r="EG15" s="1">
        <v>264</v>
      </c>
      <c r="EH15" s="1">
        <v>120</v>
      </c>
      <c r="EI15" s="1">
        <v>24</v>
      </c>
      <c r="EJ15" s="1" t="s">
        <v>191</v>
      </c>
      <c r="EK15" s="1" t="s">
        <v>214</v>
      </c>
      <c r="EL15" s="1" t="s">
        <v>191</v>
      </c>
      <c r="EM15" s="1">
        <v>0</v>
      </c>
      <c r="EN15" s="1">
        <v>218</v>
      </c>
      <c r="EO15" s="1">
        <v>0</v>
      </c>
      <c r="EP15" s="1">
        <v>35179</v>
      </c>
      <c r="EQ15" s="1">
        <v>3518</v>
      </c>
      <c r="ER15" s="1">
        <v>52769</v>
      </c>
      <c r="ES15" s="1">
        <v>2020</v>
      </c>
      <c r="ET15" s="1">
        <v>0</v>
      </c>
      <c r="EU15" s="1">
        <v>0</v>
      </c>
      <c r="EV15" s="1" t="s">
        <v>193</v>
      </c>
      <c r="EW15" s="1">
        <v>0</v>
      </c>
      <c r="EX15" s="1" t="s">
        <v>190</v>
      </c>
      <c r="EY15" s="1">
        <v>2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3</v>
      </c>
      <c r="FF15" s="1">
        <v>0</v>
      </c>
      <c r="FG15" s="1">
        <v>1</v>
      </c>
      <c r="FH15" s="1">
        <v>10</v>
      </c>
      <c r="FI15" s="1">
        <v>0</v>
      </c>
      <c r="FJ15" s="1">
        <v>2</v>
      </c>
      <c r="FK15" s="1" t="s">
        <v>194</v>
      </c>
      <c r="FL15" s="1">
        <v>8</v>
      </c>
      <c r="FM15" s="1">
        <v>42641</v>
      </c>
      <c r="FN15" s="1">
        <v>2031</v>
      </c>
      <c r="FO15" s="1">
        <v>0</v>
      </c>
      <c r="FP15" s="1" t="s">
        <v>190</v>
      </c>
      <c r="FQ15" s="1">
        <v>25</v>
      </c>
      <c r="FR15" s="1" t="s">
        <v>206</v>
      </c>
      <c r="FS15" s="1">
        <v>5</v>
      </c>
      <c r="FT15" s="1">
        <v>7943.39</v>
      </c>
      <c r="FU15" s="1">
        <v>183</v>
      </c>
      <c r="FV15" s="1">
        <v>50</v>
      </c>
      <c r="FW15" s="1">
        <v>70</v>
      </c>
      <c r="FX15" s="1">
        <v>2</v>
      </c>
      <c r="FY15" s="1">
        <v>5</v>
      </c>
      <c r="FZ15" s="1">
        <v>953206.8</v>
      </c>
      <c r="GA15" s="1">
        <v>27852014.399999999</v>
      </c>
      <c r="GB15" s="1">
        <v>19914593.760000002</v>
      </c>
      <c r="GC15" s="1">
        <v>2500000</v>
      </c>
      <c r="GD15" s="1"/>
      <c r="GE15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0.66</v>
      </c>
      <c r="GF15" s="1">
        <v>51.219814960000001</v>
      </c>
      <c r="GG15" s="1">
        <v>0</v>
      </c>
      <c r="GH15" s="1">
        <v>0.25</v>
      </c>
      <c r="GI15" s="1">
        <v>0.5</v>
      </c>
      <c r="GJ15" s="1">
        <v>0.75</v>
      </c>
      <c r="GK15" s="1">
        <v>8</v>
      </c>
      <c r="GL15" s="1">
        <v>22764.362204444446</v>
      </c>
      <c r="GM15" s="1">
        <v>12804.953739999999</v>
      </c>
      <c r="GN15" s="1">
        <v>8195.1703936000013</v>
      </c>
      <c r="GO15" s="1">
        <v>5691.0905511111114</v>
      </c>
      <c r="GP15" s="1">
        <v>4181.2093844897963</v>
      </c>
      <c r="GQ15" s="1">
        <v>3201.2384349999998</v>
      </c>
      <c r="GR15" s="1">
        <v>2529.3735782716049</v>
      </c>
      <c r="GS15" s="1">
        <v>0</v>
      </c>
      <c r="GT15" s="1">
        <v>0</v>
      </c>
      <c r="GU15" s="1">
        <v>0</v>
      </c>
      <c r="GV15" s="1">
        <v>0.01</v>
      </c>
      <c r="GW15" s="1">
        <v>5.0000000000000001E-3</v>
      </c>
      <c r="GX15" s="1">
        <v>1.1000000000000001E-3</v>
      </c>
      <c r="GY15" s="1">
        <v>4.0000000000000002E-4</v>
      </c>
      <c r="GZ15" s="1">
        <v>6.9999999999999994E-5</v>
      </c>
      <c r="HA15" s="1">
        <v>1.8E-5</v>
      </c>
      <c r="HB15" s="1">
        <v>1.8E-5</v>
      </c>
      <c r="HC15" s="1">
        <v>3.9999999999999998E-7</v>
      </c>
      <c r="HD15" s="1">
        <v>2.4999999999999999E-7</v>
      </c>
      <c r="HE15" s="1">
        <v>1</v>
      </c>
      <c r="HF15" s="1">
        <v>0.01</v>
      </c>
      <c r="HG15" s="1">
        <v>1.25E-3</v>
      </c>
      <c r="HH15" s="1">
        <v>2.7500000000000002E-4</v>
      </c>
      <c r="HI15" s="1">
        <v>1E-4</v>
      </c>
      <c r="HJ15" s="1">
        <v>1.7499999999999998E-5</v>
      </c>
      <c r="HK15" s="1">
        <v>4.5000000000000001E-6</v>
      </c>
      <c r="HL15" s="1">
        <v>4.5000000000000001E-6</v>
      </c>
      <c r="HM15" s="1">
        <v>9.9999999999999995E-8</v>
      </c>
      <c r="HN15" s="1">
        <v>0.01</v>
      </c>
      <c r="HO15" s="1">
        <v>8.3333333333333339E-4</v>
      </c>
      <c r="HP15" s="1">
        <v>1.8333333333333334E-4</v>
      </c>
      <c r="HQ15" s="1">
        <v>6.666666666666667E-5</v>
      </c>
      <c r="HR15" s="1">
        <v>1.1666666666666666E-5</v>
      </c>
      <c r="HS15" s="1">
        <v>3.0000000000000001E-6</v>
      </c>
      <c r="HT15" s="1">
        <v>3.0000000000000001E-6</v>
      </c>
      <c r="HU15" s="1">
        <v>6.6666666666666668E-8</v>
      </c>
      <c r="HV15" s="1">
        <v>4.1666666666666663E-8</v>
      </c>
      <c r="HW15" s="1">
        <v>0.01</v>
      </c>
      <c r="HX15" s="1">
        <v>5.0000000000000001E-4</v>
      </c>
      <c r="HY15" s="1">
        <v>1.1E-4</v>
      </c>
      <c r="HZ15" s="1">
        <v>4.0000000000000003E-5</v>
      </c>
      <c r="IA15" s="1">
        <v>6.999999999999999E-6</v>
      </c>
      <c r="IB15" s="1">
        <v>1.8000000000000001E-6</v>
      </c>
      <c r="IC15" s="1">
        <v>1.8000000000000001E-6</v>
      </c>
      <c r="ID15" s="1">
        <v>4.0000000000000001E-8</v>
      </c>
      <c r="IE15" s="1">
        <v>2.4999999999999999E-8</v>
      </c>
      <c r="IF15" s="1">
        <f>Table1567[[#This Row],[Total_Cost_MUSD]]*Table1567[[#This Row],[prob500-failure_rating1]]/500</f>
        <v>1.0243962992E-3</v>
      </c>
      <c r="IG15" s="1">
        <f>Table1567[[#This Row],[Total_Cost_MUSD]]*Table1567[[#This Row],[prob500-failure_rating2]]/500</f>
        <v>5.1219814959999998E-4</v>
      </c>
      <c r="IH15" s="1">
        <f>Table1567[[#This Row],[Total_Cost_MUSD]]*Table1567[[#This Row],[prob500-failure_rating3]]/500</f>
        <v>1.1268359291200001E-4</v>
      </c>
      <c r="II15" s="1">
        <f>Table1567[[#This Row],[Total_Cost_MUSD]]*Table1567[[#This Row],[prob500-failure_rating4]]/500</f>
        <v>4.0975851968E-5</v>
      </c>
      <c r="IJ15" s="1">
        <f>Table1567[[#This Row],[Total_Cost_MUSD]]*Table1567[[#This Row],[prob500-failure_rating5]]/500</f>
        <v>7.1707740943999997E-6</v>
      </c>
      <c r="IK15" s="1">
        <f>Table1567[[#This Row],[Total_Cost_MUSD]]*Table1567[[#This Row],[prob500-failure_rating6]]/500</f>
        <v>1.8439133385600001E-6</v>
      </c>
      <c r="IL15" s="1">
        <f>Table1567[[#This Row],[Total_Cost_MUSD]]*Table1567[[#This Row],[prob500-failure_rating7]]/500</f>
        <v>1.8439133385600001E-6</v>
      </c>
      <c r="IM15" s="1">
        <f>Table1567[[#This Row],[Total_Cost_MUSD]]*Table1567[[#This Row],[prob500-failure_rating8]]/500</f>
        <v>4.0975851968000003E-8</v>
      </c>
      <c r="IN15" s="1">
        <f>Table1567[[#This Row],[Total_Cost_MUSD]]*Table1567[[#This Row],[prob500-failure_rating9]]/500</f>
        <v>2.5609907479999998E-8</v>
      </c>
      <c r="IO15" s="1">
        <f>Table1567[[#This Row],[Total_Cost_MUSD]]*Table1567[[#This Row],[prob100-failure_rating1]]/100</f>
        <v>0.51219814959999999</v>
      </c>
      <c r="IP15" s="1">
        <f>Table1567[[#This Row],[Total_Cost_MUSD]]*Table1567[[#This Row],[prob100-failure_rating2]]/100</f>
        <v>5.121981496E-3</v>
      </c>
      <c r="IQ15" s="1">
        <f>Table1567[[#This Row],[Total_Cost_MUSD]]*Table1567[[#This Row],[prob100-failure_rating3]]/100</f>
        <v>6.40247687E-4</v>
      </c>
      <c r="IR15" s="1">
        <f>Table1567[[#This Row],[Total_Cost_MUSD]]*Table1567[[#This Row],[prob100-failure_rating4]]/100</f>
        <v>1.4085449114E-4</v>
      </c>
      <c r="IS15" s="1">
        <f>Table1567[[#This Row],[Total_Cost_MUSD]]*Table1567[[#This Row],[prob100-failure_rating5]]/100</f>
        <v>5.1219814960000002E-5</v>
      </c>
      <c r="IT15" s="1">
        <f>Table1567[[#This Row],[Total_Cost_MUSD]]*Table1567[[#This Row],[prob100-failure_rating6]]/100</f>
        <v>8.9634676179999999E-6</v>
      </c>
      <c r="IU15" s="1">
        <f>Table1567[[#This Row],[Total_Cost_MUSD]]*Table1567[[#This Row],[prob100-failure_rating7]]/100</f>
        <v>2.3048916732000001E-6</v>
      </c>
      <c r="IV15" s="1">
        <f>Table1567[[#This Row],[Total_Cost_MUSD]]*Table1567[[#This Row],[prob100-failure_rating8]]/100</f>
        <v>2.3048916732000001E-6</v>
      </c>
      <c r="IW15" s="1">
        <f>Table1567[[#This Row],[Total_Cost_MUSD]]*Table1567[[#This Row],[prob100-failure_rating9]]/100</f>
        <v>5.1219814960000003E-8</v>
      </c>
      <c r="IX15" s="1">
        <f>Table1567[[#This Row],[Total_Cost_MUSD]]*Table1567[[#This Row],[prob50-failure_rating1]]/50</f>
        <v>1.0243962992E-2</v>
      </c>
      <c r="IY15" s="1">
        <f>Table1567[[#This Row],[Total_Cost_MUSD]]*Table1567[[#This Row],[prob50-failure_rating2]]/50</f>
        <v>8.5366358266666682E-4</v>
      </c>
      <c r="IZ15" s="1">
        <f>Table1567[[#This Row],[Total_Cost_MUSD]]*Table1567[[#This Row],[prob50-failure_rating3]]/50</f>
        <v>1.8780598818666667E-4</v>
      </c>
      <c r="JA15" s="1">
        <f>Table1567[[#This Row],[Total_Cost_MUSD]]*Table1567[[#This Row],[prob50-failure_rating4]]/50</f>
        <v>6.8293086613333332E-5</v>
      </c>
      <c r="JB15" s="1">
        <f>Table1567[[#This Row],[Total_Cost_MUSD]]*Table1567[[#This Row],[prob50-failure_rating5]]/50</f>
        <v>1.1951290157333334E-5</v>
      </c>
      <c r="JC15" s="1">
        <f>Table1567[[#This Row],[Total_Cost_MUSD]]*Table1567[[#This Row],[prob50-failure_rating6]]/50</f>
        <v>3.0731888975999999E-6</v>
      </c>
      <c r="JD15" s="1">
        <f>Table1567[[#This Row],[Total_Cost_MUSD]]*Table1567[[#This Row],[prob50-failure_rating7]]/50</f>
        <v>3.0731888975999999E-6</v>
      </c>
      <c r="JE15" s="1">
        <f>Table1567[[#This Row],[Total_Cost_MUSD]]*Table1567[[#This Row],[prob50-failure_rating8]]/50</f>
        <v>6.8293086613333337E-8</v>
      </c>
      <c r="JF15" s="1">
        <f>Table1567[[#This Row],[Total_Cost_MUSD]]*Table1567[[#This Row],[prob50-failure_rating9]]/50</f>
        <v>4.2683179133333336E-8</v>
      </c>
      <c r="JG15" s="1">
        <f>Table1567[[#This Row],[Total_Cost_MUSD]]*Table1567[[#This Row],[prob10-failure_rating1]]/10</f>
        <v>5.1219814959999999E-2</v>
      </c>
      <c r="JH15" s="1">
        <f>Table1567[[#This Row],[Total_Cost_MUSD]]*Table1567[[#This Row],[prob10-failure_rating2]]/10</f>
        <v>2.560990748E-3</v>
      </c>
      <c r="JI15" s="1">
        <f>Table1567[[#This Row],[Total_Cost_MUSD]]*Table1567[[#This Row],[prob10-failure_rating3]]/10</f>
        <v>5.6341796455999999E-4</v>
      </c>
      <c r="JJ15" s="1">
        <f>Table1567[[#This Row],[Total_Cost_MUSD]]*Table1567[[#This Row],[prob10-failure_rating4]]/10</f>
        <v>2.0487925984000004E-4</v>
      </c>
      <c r="JK15" s="1">
        <f>Table1567[[#This Row],[Total_Cost_MUSD]]*Table1567[[#This Row],[prob10-failure_rating5]]/10</f>
        <v>3.5853870471999993E-5</v>
      </c>
      <c r="JL15" s="1">
        <f>Table1567[[#This Row],[Total_Cost_MUSD]]*Table1567[[#This Row],[prob10-failure_rating6]]/10</f>
        <v>9.2195666928000003E-6</v>
      </c>
      <c r="JM15" s="1">
        <f>Table1567[[#This Row],[Total_Cost_MUSD]]*Table1567[[#This Row],[prob10-failure_rating7]]/10</f>
        <v>9.2195666928000003E-6</v>
      </c>
      <c r="JN15" s="1">
        <f>Table1567[[#This Row],[Total_Cost_MUSD]]*Table1567[[#This Row],[prob10-failure_rating8]]/10</f>
        <v>2.0487925984000001E-7</v>
      </c>
      <c r="JO15" s="1">
        <f>Table1567[[#This Row],[Total_Cost_MUSD]]*Table1567[[#This Row],[prob10-failure_rating9]]/10</f>
        <v>1.2804953740000001E-7</v>
      </c>
      <c r="JP15" s="1">
        <f>Table1567[[#This Row],[FailureCost_Rating1]]</f>
        <v>9048.8339762666674</v>
      </c>
      <c r="JQ15" s="1">
        <f>Table1567[[#This Row],[FailureCost_Rating2]]</f>
        <v>9048.8339762666674</v>
      </c>
      <c r="JR15" s="1">
        <f>(Table1567[[#This Row],[failurecost500_rating2]]+Table1567[[#This Row],[failurecost100_rating2]]+Table1567[[#This Row],[failurecost50_rating2]]+Table1567[[#This Row],[failurecost10_rating2]])*1000000</f>
        <v>9048.8339762666674</v>
      </c>
      <c r="JS15" s="1">
        <f>(Table1567[[#This Row],[failurecost500_rating3]]+Table1567[[#This Row],[failurecost100_rating3]]+Table1567[[#This Row],[failurecost50_rating3]]+Table1567[[#This Row],[failurecost10_rating3]])*1000000</f>
        <v>1504.1552326586668</v>
      </c>
      <c r="JT15" s="1">
        <f>(Table1567[[#This Row],[failurecost500_rating4]]+Table1567[[#This Row],[failurecost100_rating4]]+Table1567[[#This Row],[failurecost50_rating4]]+Table1567[[#This Row],[failurecost10_rating4]])*1000000</f>
        <v>455.00268956133334</v>
      </c>
      <c r="JU15" s="1">
        <f>(Table1567[[#This Row],[failurecost500_rating5]]+Table1567[[#This Row],[failurecost100_rating5]]+Table1567[[#This Row],[failurecost50_rating5]]+Table1567[[#This Row],[failurecost10_rating5]])*1000000</f>
        <v>106.19574968373333</v>
      </c>
      <c r="JV15" s="1">
        <f>(Table1567[[#This Row],[failurecost500_rating6]]+Table1567[[#This Row],[failurecost100_rating6]]+Table1567[[#This Row],[failurecost50_rating6]]+Table1567[[#This Row],[failurecost10_rating6]])*1000000</f>
        <v>23.100136546960002</v>
      </c>
      <c r="JW15" s="1">
        <f>(Table1567[[#This Row],[failurecost500_rating7]]+Table1567[[#This Row],[failurecost100_rating7]]+Table1567[[#This Row],[failurecost50_rating7]]+Table1567[[#This Row],[failurecost10_rating7]])*1000000</f>
        <v>16.441560602159999</v>
      </c>
      <c r="JX15" s="1">
        <f>(Table1567[[#This Row],[failurecost500_rating8]]+Table1567[[#This Row],[failurecost100_rating8]]+Table1567[[#This Row],[failurecost50_rating8]]+Table1567[[#This Row],[failurecost10_rating8]])*1000000</f>
        <v>2.6190398716213337</v>
      </c>
      <c r="JY15" s="1">
        <f>(Table1567[[#This Row],[failurecost500_rating9]]+Table1567[[#This Row],[failurecost100_rating9]]+Table1567[[#This Row],[failurecost50_rating9]]+Table1567[[#This Row],[failurecost10_rating9]])*1000000</f>
        <v>0.24756243897333338</v>
      </c>
    </row>
    <row r="16" spans="1:285" ht="28.8" x14ac:dyDescent="0.3">
      <c r="A16" s="1">
        <v>15</v>
      </c>
      <c r="B16" s="1" t="s">
        <v>278</v>
      </c>
      <c r="C16" s="1" t="s">
        <v>249</v>
      </c>
      <c r="D16" s="1">
        <v>42.284439999999996</v>
      </c>
      <c r="E16" s="1">
        <v>-71.039500000000004</v>
      </c>
      <c r="F16" s="1">
        <v>15.289761540000001</v>
      </c>
      <c r="G16" s="1">
        <v>12.98976326</v>
      </c>
      <c r="H16" s="1">
        <v>16.389762879999999</v>
      </c>
      <c r="I16" s="1">
        <v>18.589765549999999</v>
      </c>
      <c r="J16" s="1">
        <v>1027.183728</v>
      </c>
      <c r="K16" s="1">
        <v>795.11694039999998</v>
      </c>
      <c r="L16" s="1">
        <v>1225.8406849999999</v>
      </c>
      <c r="M16" s="1">
        <v>892.59291740000003</v>
      </c>
      <c r="N16" s="1">
        <v>1225.8406849999999</v>
      </c>
      <c r="O16" s="1">
        <v>892.59291740000003</v>
      </c>
      <c r="P16" s="1">
        <v>1225.8406849999999</v>
      </c>
      <c r="Q16" s="1">
        <v>892.59291740000003</v>
      </c>
      <c r="R16" s="1">
        <v>1225.8406849999999</v>
      </c>
      <c r="S16" s="1">
        <v>892.59291740000003</v>
      </c>
      <c r="T16" s="1">
        <v>1.2918649769999999</v>
      </c>
      <c r="U16" s="1">
        <v>1.3733479850000001</v>
      </c>
      <c r="V16" s="1">
        <v>1.3733479850000001</v>
      </c>
      <c r="W16" s="1">
        <v>1.3733479850000001</v>
      </c>
      <c r="X16" s="1">
        <v>1.3733479850000001</v>
      </c>
      <c r="Y16" s="1">
        <v>0.17499999999999999</v>
      </c>
      <c r="Z16" s="1">
        <v>9.6666666669999994</v>
      </c>
      <c r="AA16" s="1">
        <v>10.33719597</v>
      </c>
      <c r="AB16" s="1">
        <v>10.33719597</v>
      </c>
      <c r="AC16" s="1">
        <v>10.33719597</v>
      </c>
      <c r="AD16" s="1">
        <v>10.33719597</v>
      </c>
      <c r="AE16" s="1">
        <v>0.91573039199999995</v>
      </c>
      <c r="AF16" s="1">
        <v>0.84404944800000004</v>
      </c>
      <c r="AG16" s="1">
        <v>0.81523330000000005</v>
      </c>
      <c r="AH16" s="1">
        <v>0.76547549100000001</v>
      </c>
      <c r="AI16" s="1">
        <v>13.45264336</v>
      </c>
      <c r="AJ16" s="1">
        <v>13.75199033</v>
      </c>
      <c r="AK16" s="1">
        <v>13.88157592</v>
      </c>
      <c r="AL16" s="1">
        <v>14.11963403</v>
      </c>
      <c r="AM16" s="1">
        <v>201.75088070000001</v>
      </c>
      <c r="AN16" s="1">
        <v>215.52081810000001</v>
      </c>
      <c r="AO16" s="1">
        <v>221.67099469999999</v>
      </c>
      <c r="AP16" s="1">
        <v>233.27213979999999</v>
      </c>
      <c r="AQ16" s="1">
        <f>Table1567[[#This Row],[Depth10_Soil_vol]]*(9.353+9.027)+(Table1567[[#This Row],[Depth10_Soil_vol]]/2.5)*20*1.053+(PI()*Table1567[[#This Row],[Depth10_Scour]])*Table1567[[#This Row],[DECK_WIDTH_MT_052]]*1.062</f>
        <v>6758.7093437956364</v>
      </c>
      <c r="AR16" s="1">
        <f>Table1567[[#This Row],[Depth50_Soil_vol]]*(9.353+9.027)+(Table1567[[#This Row],[Depth50_Soil_vol]]/2.5)*20*1.053+(PI()*Table1567[[#This Row],[Depth50_Scour]])*Table1567[[#This Row],[DECK_WIDTH_MT_052]]*1.062</f>
        <v>7157.860599196707</v>
      </c>
      <c r="AS16" s="1">
        <f>Table1567[[#This Row],[Depth100_Soil_vol]]*(9.353+9.027)+(Table1567[[#This Row],[Depth100_Soil_vol]]/2.5)*20*1.053+(PI()*Table1567[[#This Row],[Depth100_Scour]])*Table1567[[#This Row],[DECK_WIDTH_MT_052]]*1.062</f>
        <v>7335.7235370312192</v>
      </c>
      <c r="AT16" s="1">
        <f>Table1567[[#This Row],[Depth500_Soil_vol]]*(9.353+9.027)+(Table1567[[#This Row],[Depth500_Soil_vol]]/2.5)*20*1.053+(PI()*Table1567[[#This Row],[Depth500_Scour]])*Table1567[[#This Row],[DECK_WIDTH_MT_052]]*1.062</f>
        <v>7670.5875633973292</v>
      </c>
      <c r="AU16" s="1">
        <v>4.32</v>
      </c>
      <c r="AV16" s="1">
        <v>31.45</v>
      </c>
      <c r="AW16" s="1" t="s">
        <v>208</v>
      </c>
      <c r="AX16" s="1">
        <v>3</v>
      </c>
      <c r="AY16" s="1">
        <v>3</v>
      </c>
      <c r="AZ16" s="1">
        <v>3</v>
      </c>
      <c r="BA16" s="1">
        <v>3</v>
      </c>
      <c r="BB16" s="1">
        <v>25</v>
      </c>
      <c r="BC16" s="1" t="s">
        <v>279</v>
      </c>
      <c r="BD16" s="1">
        <v>42170397</v>
      </c>
      <c r="BE16" s="1">
        <v>71022230</v>
      </c>
      <c r="BF16" s="1">
        <v>1</v>
      </c>
      <c r="BG16" s="1">
        <v>3</v>
      </c>
      <c r="BH16" s="1">
        <v>2</v>
      </c>
      <c r="BI16" s="1" t="s">
        <v>280</v>
      </c>
      <c r="BJ16" s="1">
        <v>0</v>
      </c>
      <c r="BK16" s="1">
        <v>6</v>
      </c>
      <c r="BL16" s="1">
        <v>25</v>
      </c>
      <c r="BM16" s="1">
        <v>7000</v>
      </c>
      <c r="BN16" s="1" t="s">
        <v>281</v>
      </c>
      <c r="BO16" s="1">
        <v>0</v>
      </c>
      <c r="BP16" s="1" t="s">
        <v>282</v>
      </c>
      <c r="BQ16" s="1" t="s">
        <v>283</v>
      </c>
      <c r="BR16" s="1">
        <v>99.99</v>
      </c>
      <c r="BS16" s="1">
        <v>1.6E-2</v>
      </c>
      <c r="BT16" s="1">
        <v>1</v>
      </c>
      <c r="BU16" s="1">
        <v>0</v>
      </c>
      <c r="BV16" s="1">
        <v>0</v>
      </c>
      <c r="BW16" s="1">
        <v>6</v>
      </c>
      <c r="BX16" s="1">
        <v>3</v>
      </c>
      <c r="BY16" s="1">
        <v>1</v>
      </c>
      <c r="BZ16" s="1">
        <v>1</v>
      </c>
      <c r="CA16" s="1">
        <v>14</v>
      </c>
      <c r="CB16" s="1">
        <v>1970</v>
      </c>
      <c r="CC16" s="1">
        <v>6</v>
      </c>
      <c r="CD16" s="1">
        <v>1</v>
      </c>
      <c r="CE16" s="1">
        <v>76500</v>
      </c>
      <c r="CF16" s="1">
        <v>2019</v>
      </c>
      <c r="CG16" s="1">
        <v>5</v>
      </c>
      <c r="CH16" s="1">
        <v>22.6</v>
      </c>
      <c r="CI16" s="1">
        <v>3</v>
      </c>
      <c r="CJ16" s="1">
        <v>3</v>
      </c>
      <c r="CK16" s="1">
        <v>0</v>
      </c>
      <c r="CL16" s="1">
        <v>1</v>
      </c>
      <c r="CM16" s="1">
        <v>1</v>
      </c>
      <c r="CN16" s="1">
        <v>1</v>
      </c>
      <c r="CO16" s="1">
        <v>0</v>
      </c>
      <c r="CP16" s="1">
        <v>5</v>
      </c>
      <c r="CQ16" s="1">
        <v>1</v>
      </c>
      <c r="CR16" s="1">
        <v>9.1</v>
      </c>
      <c r="CS16" s="1">
        <v>24.4</v>
      </c>
      <c r="CT16" s="1" t="s">
        <v>189</v>
      </c>
      <c r="CU16" s="1">
        <v>5</v>
      </c>
      <c r="CV16" s="1">
        <v>6</v>
      </c>
      <c r="CW16" s="1">
        <v>3</v>
      </c>
      <c r="CX16" s="1">
        <v>2</v>
      </c>
      <c r="CY16" s="1">
        <v>0</v>
      </c>
      <c r="CZ16" s="1">
        <v>0</v>
      </c>
      <c r="DA16" s="1">
        <v>9</v>
      </c>
      <c r="DB16" s="1">
        <v>0</v>
      </c>
      <c r="DC16" s="1">
        <v>25.6</v>
      </c>
      <c r="DD16" s="1">
        <v>53.6</v>
      </c>
      <c r="DE16" s="1">
        <v>310.3</v>
      </c>
      <c r="DF16" s="1">
        <v>2.4</v>
      </c>
      <c r="DG16" s="1">
        <v>2.4</v>
      </c>
      <c r="DH16" s="1">
        <v>22.6</v>
      </c>
      <c r="DI16" s="1">
        <v>30.1</v>
      </c>
      <c r="DJ16" s="1">
        <v>99.99</v>
      </c>
      <c r="DK16" s="1" t="s">
        <v>204</v>
      </c>
      <c r="DL16" s="1">
        <v>4.3899999999999997</v>
      </c>
      <c r="DM16" s="1" t="s">
        <v>190</v>
      </c>
      <c r="DN16" s="1">
        <v>0</v>
      </c>
      <c r="DO16" s="1">
        <v>0</v>
      </c>
      <c r="DP16" s="1">
        <v>7</v>
      </c>
      <c r="DQ16" s="1">
        <v>6</v>
      </c>
      <c r="DR16" s="1">
        <v>7</v>
      </c>
      <c r="DS16" s="1">
        <v>7</v>
      </c>
      <c r="DT16" s="1" t="s">
        <v>190</v>
      </c>
      <c r="DU16" s="1">
        <v>1</v>
      </c>
      <c r="DV16" s="1">
        <v>50</v>
      </c>
      <c r="DW16" s="1">
        <v>1</v>
      </c>
      <c r="DX16" s="1">
        <v>29.9</v>
      </c>
      <c r="DY16" s="1">
        <v>6</v>
      </c>
      <c r="DZ16" s="1">
        <v>4</v>
      </c>
      <c r="EA16" s="1" t="s">
        <v>190</v>
      </c>
      <c r="EB16" s="1">
        <v>5</v>
      </c>
      <c r="EC16" s="1">
        <v>6</v>
      </c>
      <c r="ED16" s="1">
        <v>5</v>
      </c>
      <c r="EE16" s="1">
        <v>0</v>
      </c>
      <c r="EF16" s="1">
        <v>0</v>
      </c>
      <c r="EG16" s="1">
        <v>0</v>
      </c>
      <c r="EH16" s="1">
        <v>419</v>
      </c>
      <c r="EI16" s="1">
        <v>24</v>
      </c>
      <c r="EJ16" s="1" t="s">
        <v>191</v>
      </c>
      <c r="EK16" s="1" t="s">
        <v>192</v>
      </c>
      <c r="EL16" s="1" t="s">
        <v>191</v>
      </c>
      <c r="EM16" s="1">
        <v>0</v>
      </c>
      <c r="EN16" s="1">
        <v>220</v>
      </c>
      <c r="EO16" s="1">
        <v>0</v>
      </c>
      <c r="EP16" s="1">
        <v>0</v>
      </c>
      <c r="EQ16" s="1">
        <v>0</v>
      </c>
      <c r="ER16" s="1">
        <v>0</v>
      </c>
      <c r="ES16" s="1">
        <v>2020</v>
      </c>
      <c r="ET16" s="1">
        <v>0</v>
      </c>
      <c r="EU16" s="1">
        <v>0</v>
      </c>
      <c r="EV16" s="1" t="s">
        <v>193</v>
      </c>
      <c r="EW16" s="1">
        <v>0</v>
      </c>
      <c r="EX16" s="1" t="s">
        <v>190</v>
      </c>
      <c r="EY16" s="1">
        <v>2</v>
      </c>
      <c r="EZ16" s="1">
        <v>0</v>
      </c>
      <c r="FA16" s="1">
        <v>1</v>
      </c>
      <c r="FB16" s="1">
        <v>0</v>
      </c>
      <c r="FC16" s="1">
        <v>2012</v>
      </c>
      <c r="FD16" s="1">
        <v>1</v>
      </c>
      <c r="FE16" s="1">
        <v>6</v>
      </c>
      <c r="FF16" s="1">
        <v>3</v>
      </c>
      <c r="FG16" s="1">
        <v>1</v>
      </c>
      <c r="FH16" s="1">
        <v>2</v>
      </c>
      <c r="FI16" s="1">
        <v>0</v>
      </c>
      <c r="FJ16" s="1">
        <v>1</v>
      </c>
      <c r="FK16" s="1" t="s">
        <v>194</v>
      </c>
      <c r="FL16" s="1">
        <v>8</v>
      </c>
      <c r="FM16" s="1">
        <v>63962</v>
      </c>
      <c r="FN16" s="1">
        <v>2032</v>
      </c>
      <c r="FO16" s="1">
        <v>0</v>
      </c>
      <c r="FP16" s="1" t="s">
        <v>190</v>
      </c>
      <c r="FQ16" s="1">
        <v>25</v>
      </c>
      <c r="FR16" s="1" t="s">
        <v>206</v>
      </c>
      <c r="FS16" s="1">
        <v>6</v>
      </c>
      <c r="FT16" s="1">
        <v>9340.0300000000007</v>
      </c>
      <c r="FU16" s="1">
        <v>183</v>
      </c>
      <c r="FV16" s="1">
        <v>60</v>
      </c>
      <c r="FW16" s="1">
        <v>80</v>
      </c>
      <c r="FX16" s="1">
        <v>2</v>
      </c>
      <c r="FY16" s="1">
        <v>5</v>
      </c>
      <c r="FZ16" s="1">
        <v>1363644.38</v>
      </c>
      <c r="GA16" s="1">
        <v>39226599</v>
      </c>
      <c r="GB16" s="1">
        <v>30879359.329999998</v>
      </c>
      <c r="GC16" s="1">
        <v>2500000</v>
      </c>
      <c r="GD16" s="1"/>
      <c r="GE16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0.66</v>
      </c>
      <c r="GF16" s="1">
        <v>73.969602710000004</v>
      </c>
      <c r="GG16" s="1">
        <v>0</v>
      </c>
      <c r="GH16" s="1">
        <v>0.25</v>
      </c>
      <c r="GI16" s="1">
        <v>0.5</v>
      </c>
      <c r="GJ16" s="1">
        <v>0.75</v>
      </c>
      <c r="GK16" s="1">
        <v>8</v>
      </c>
      <c r="GL16" s="1">
        <v>32875.378982222224</v>
      </c>
      <c r="GM16" s="1">
        <v>18492.400677499998</v>
      </c>
      <c r="GN16" s="1">
        <v>11835.136433600001</v>
      </c>
      <c r="GO16" s="1">
        <v>8218.8447455555561</v>
      </c>
      <c r="GP16" s="1">
        <v>6038.3349151020411</v>
      </c>
      <c r="GQ16" s="1">
        <v>4623.1001693749995</v>
      </c>
      <c r="GR16" s="1">
        <v>3652.8198869135804</v>
      </c>
      <c r="GS16" s="1">
        <v>0</v>
      </c>
      <c r="GT16" s="1">
        <v>0</v>
      </c>
      <c r="GU16" s="1">
        <v>0</v>
      </c>
      <c r="GV16" s="1">
        <v>0.01</v>
      </c>
      <c r="GW16" s="1">
        <v>5.0000000000000001E-3</v>
      </c>
      <c r="GX16" s="1">
        <v>1.1000000000000001E-3</v>
      </c>
      <c r="GY16" s="1">
        <v>4.0000000000000002E-4</v>
      </c>
      <c r="GZ16" s="1">
        <v>6.9999999999999994E-5</v>
      </c>
      <c r="HA16" s="1">
        <v>1.8E-5</v>
      </c>
      <c r="HB16" s="1">
        <v>1.8E-5</v>
      </c>
      <c r="HC16" s="1">
        <v>3.9999999999999998E-7</v>
      </c>
      <c r="HD16" s="1">
        <v>2.4999999999999999E-7</v>
      </c>
      <c r="HE16" s="1">
        <v>1</v>
      </c>
      <c r="HF16" s="1">
        <v>0.01</v>
      </c>
      <c r="HG16" s="1">
        <v>1.25E-3</v>
      </c>
      <c r="HH16" s="1">
        <v>2.7500000000000002E-4</v>
      </c>
      <c r="HI16" s="1">
        <v>1E-4</v>
      </c>
      <c r="HJ16" s="1">
        <v>1.7499999999999998E-5</v>
      </c>
      <c r="HK16" s="1">
        <v>4.5000000000000001E-6</v>
      </c>
      <c r="HL16" s="1">
        <v>4.5000000000000001E-6</v>
      </c>
      <c r="HM16" s="1">
        <v>9.9999999999999995E-8</v>
      </c>
      <c r="HN16" s="1">
        <v>0.01</v>
      </c>
      <c r="HO16" s="1">
        <v>8.3333333333333339E-4</v>
      </c>
      <c r="HP16" s="1">
        <v>1.8333333333333334E-4</v>
      </c>
      <c r="HQ16" s="1">
        <v>6.666666666666667E-5</v>
      </c>
      <c r="HR16" s="1">
        <v>1.1666666666666666E-5</v>
      </c>
      <c r="HS16" s="1">
        <v>3.0000000000000001E-6</v>
      </c>
      <c r="HT16" s="1">
        <v>3.0000000000000001E-6</v>
      </c>
      <c r="HU16" s="1">
        <v>6.6666666666666668E-8</v>
      </c>
      <c r="HV16" s="1">
        <v>4.1666666666666663E-8</v>
      </c>
      <c r="HW16" s="1">
        <v>0.01</v>
      </c>
      <c r="HX16" s="1">
        <v>5.0000000000000001E-4</v>
      </c>
      <c r="HY16" s="1">
        <v>1.1E-4</v>
      </c>
      <c r="HZ16" s="1">
        <v>4.0000000000000003E-5</v>
      </c>
      <c r="IA16" s="1">
        <v>6.999999999999999E-6</v>
      </c>
      <c r="IB16" s="1">
        <v>1.8000000000000001E-6</v>
      </c>
      <c r="IC16" s="1">
        <v>1.8000000000000001E-6</v>
      </c>
      <c r="ID16" s="1">
        <v>4.0000000000000001E-8</v>
      </c>
      <c r="IE16" s="1">
        <v>2.4999999999999999E-8</v>
      </c>
      <c r="IF16" s="1">
        <f>Table1567[[#This Row],[Total_Cost_MUSD]]*Table1567[[#This Row],[prob500-failure_rating1]]/500</f>
        <v>1.4793920542000001E-3</v>
      </c>
      <c r="IG16" s="1">
        <f>Table1567[[#This Row],[Total_Cost_MUSD]]*Table1567[[#This Row],[prob500-failure_rating2]]/500</f>
        <v>7.3969602710000006E-4</v>
      </c>
      <c r="IH16" s="1">
        <f>Table1567[[#This Row],[Total_Cost_MUSD]]*Table1567[[#This Row],[prob500-failure_rating3]]/500</f>
        <v>1.62733125962E-4</v>
      </c>
      <c r="II16" s="1">
        <f>Table1567[[#This Row],[Total_Cost_MUSD]]*Table1567[[#This Row],[prob500-failure_rating4]]/500</f>
        <v>5.9175682168E-5</v>
      </c>
      <c r="IJ16" s="1">
        <f>Table1567[[#This Row],[Total_Cost_MUSD]]*Table1567[[#This Row],[prob500-failure_rating5]]/500</f>
        <v>1.0355744379399999E-5</v>
      </c>
      <c r="IK16" s="1">
        <f>Table1567[[#This Row],[Total_Cost_MUSD]]*Table1567[[#This Row],[prob500-failure_rating6]]/500</f>
        <v>2.6629056975600003E-6</v>
      </c>
      <c r="IL16" s="1">
        <f>Table1567[[#This Row],[Total_Cost_MUSD]]*Table1567[[#This Row],[prob500-failure_rating7]]/500</f>
        <v>2.6629056975600003E-6</v>
      </c>
      <c r="IM16" s="1">
        <f>Table1567[[#This Row],[Total_Cost_MUSD]]*Table1567[[#This Row],[prob500-failure_rating8]]/500</f>
        <v>5.9175682168000003E-8</v>
      </c>
      <c r="IN16" s="1">
        <f>Table1567[[#This Row],[Total_Cost_MUSD]]*Table1567[[#This Row],[prob500-failure_rating9]]/500</f>
        <v>3.6984801355000001E-8</v>
      </c>
      <c r="IO16" s="1">
        <f>Table1567[[#This Row],[Total_Cost_MUSD]]*Table1567[[#This Row],[prob100-failure_rating1]]/100</f>
        <v>0.73969602710000004</v>
      </c>
      <c r="IP16" s="1">
        <f>Table1567[[#This Row],[Total_Cost_MUSD]]*Table1567[[#This Row],[prob100-failure_rating2]]/100</f>
        <v>7.3969602710000004E-3</v>
      </c>
      <c r="IQ16" s="1">
        <f>Table1567[[#This Row],[Total_Cost_MUSD]]*Table1567[[#This Row],[prob100-failure_rating3]]/100</f>
        <v>9.2462003387500005E-4</v>
      </c>
      <c r="IR16" s="1">
        <f>Table1567[[#This Row],[Total_Cost_MUSD]]*Table1567[[#This Row],[prob100-failure_rating4]]/100</f>
        <v>2.0341640745250001E-4</v>
      </c>
      <c r="IS16" s="1">
        <f>Table1567[[#This Row],[Total_Cost_MUSD]]*Table1567[[#This Row],[prob100-failure_rating5]]/100</f>
        <v>7.3969602710000001E-5</v>
      </c>
      <c r="IT16" s="1">
        <f>Table1567[[#This Row],[Total_Cost_MUSD]]*Table1567[[#This Row],[prob100-failure_rating6]]/100</f>
        <v>1.2944680474249998E-5</v>
      </c>
      <c r="IU16" s="1">
        <f>Table1567[[#This Row],[Total_Cost_MUSD]]*Table1567[[#This Row],[prob100-failure_rating7]]/100</f>
        <v>3.3286321219500005E-6</v>
      </c>
      <c r="IV16" s="1">
        <f>Table1567[[#This Row],[Total_Cost_MUSD]]*Table1567[[#This Row],[prob100-failure_rating8]]/100</f>
        <v>3.3286321219500005E-6</v>
      </c>
      <c r="IW16" s="1">
        <f>Table1567[[#This Row],[Total_Cost_MUSD]]*Table1567[[#This Row],[prob100-failure_rating9]]/100</f>
        <v>7.3969602710000002E-8</v>
      </c>
      <c r="IX16" s="1">
        <f>Table1567[[#This Row],[Total_Cost_MUSD]]*Table1567[[#This Row],[prob50-failure_rating1]]/50</f>
        <v>1.4793920542000001E-2</v>
      </c>
      <c r="IY16" s="1">
        <f>Table1567[[#This Row],[Total_Cost_MUSD]]*Table1567[[#This Row],[prob50-failure_rating2]]/50</f>
        <v>1.2328267118333334E-3</v>
      </c>
      <c r="IZ16" s="1">
        <f>Table1567[[#This Row],[Total_Cost_MUSD]]*Table1567[[#This Row],[prob50-failure_rating3]]/50</f>
        <v>2.7122187660333336E-4</v>
      </c>
      <c r="JA16" s="1">
        <f>Table1567[[#This Row],[Total_Cost_MUSD]]*Table1567[[#This Row],[prob50-failure_rating4]]/50</f>
        <v>9.8626136946666667E-5</v>
      </c>
      <c r="JB16" s="1">
        <f>Table1567[[#This Row],[Total_Cost_MUSD]]*Table1567[[#This Row],[prob50-failure_rating5]]/50</f>
        <v>1.7259573965666667E-5</v>
      </c>
      <c r="JC16" s="1">
        <f>Table1567[[#This Row],[Total_Cost_MUSD]]*Table1567[[#This Row],[prob50-failure_rating6]]/50</f>
        <v>4.4381761626000007E-6</v>
      </c>
      <c r="JD16" s="1">
        <f>Table1567[[#This Row],[Total_Cost_MUSD]]*Table1567[[#This Row],[prob50-failure_rating7]]/50</f>
        <v>4.4381761626000007E-6</v>
      </c>
      <c r="JE16" s="1">
        <f>Table1567[[#This Row],[Total_Cost_MUSD]]*Table1567[[#This Row],[prob50-failure_rating8]]/50</f>
        <v>9.862613694666667E-8</v>
      </c>
      <c r="JF16" s="1">
        <f>Table1567[[#This Row],[Total_Cost_MUSD]]*Table1567[[#This Row],[prob50-failure_rating9]]/50</f>
        <v>6.1641335591666662E-8</v>
      </c>
      <c r="JG16" s="1">
        <f>Table1567[[#This Row],[Total_Cost_MUSD]]*Table1567[[#This Row],[prob10-failure_rating1]]/10</f>
        <v>7.3969602709999999E-2</v>
      </c>
      <c r="JH16" s="1">
        <f>Table1567[[#This Row],[Total_Cost_MUSD]]*Table1567[[#This Row],[prob10-failure_rating2]]/10</f>
        <v>3.6984801354999998E-3</v>
      </c>
      <c r="JI16" s="1">
        <f>Table1567[[#This Row],[Total_Cost_MUSD]]*Table1567[[#This Row],[prob10-failure_rating3]]/10</f>
        <v>8.1366562981000003E-4</v>
      </c>
      <c r="JJ16" s="1">
        <f>Table1567[[#This Row],[Total_Cost_MUSD]]*Table1567[[#This Row],[prob10-failure_rating4]]/10</f>
        <v>2.9587841084E-4</v>
      </c>
      <c r="JK16" s="1">
        <f>Table1567[[#This Row],[Total_Cost_MUSD]]*Table1567[[#This Row],[prob10-failure_rating5]]/10</f>
        <v>5.1778721896999994E-5</v>
      </c>
      <c r="JL16" s="1">
        <f>Table1567[[#This Row],[Total_Cost_MUSD]]*Table1567[[#This Row],[prob10-failure_rating6]]/10</f>
        <v>1.3314528487800002E-5</v>
      </c>
      <c r="JM16" s="1">
        <f>Table1567[[#This Row],[Total_Cost_MUSD]]*Table1567[[#This Row],[prob10-failure_rating7]]/10</f>
        <v>1.3314528487800002E-5</v>
      </c>
      <c r="JN16" s="1">
        <f>Table1567[[#This Row],[Total_Cost_MUSD]]*Table1567[[#This Row],[prob10-failure_rating8]]/10</f>
        <v>2.9587841084000001E-7</v>
      </c>
      <c r="JO16" s="1">
        <f>Table1567[[#This Row],[Total_Cost_MUSD]]*Table1567[[#This Row],[prob10-failure_rating9]]/10</f>
        <v>1.8492400677500001E-7</v>
      </c>
      <c r="JP16" s="1">
        <f>Table1567[[#This Row],[FailureCost_Rating1]]</f>
        <v>13067.963145433334</v>
      </c>
      <c r="JQ16" s="1">
        <f>Table1567[[#This Row],[FailureCost_Rating2]]</f>
        <v>13067.963145433334</v>
      </c>
      <c r="JR16" s="1">
        <f>(Table1567[[#This Row],[failurecost500_rating2]]+Table1567[[#This Row],[failurecost100_rating2]]+Table1567[[#This Row],[failurecost50_rating2]]+Table1567[[#This Row],[failurecost10_rating2]])*1000000</f>
        <v>13067.963145433334</v>
      </c>
      <c r="JS16" s="1">
        <f>(Table1567[[#This Row],[failurecost500_rating3]]+Table1567[[#This Row],[failurecost100_rating3]]+Table1567[[#This Row],[failurecost50_rating3]]+Table1567[[#This Row],[failurecost10_rating3]])*1000000</f>
        <v>2172.2406662503331</v>
      </c>
      <c r="JT16" s="1">
        <f>(Table1567[[#This Row],[failurecost500_rating4]]+Table1567[[#This Row],[failurecost100_rating4]]+Table1567[[#This Row],[failurecost50_rating4]]+Table1567[[#This Row],[failurecost10_rating4]])*1000000</f>
        <v>657.09663740716667</v>
      </c>
      <c r="JU16" s="1">
        <f>(Table1567[[#This Row],[failurecost500_rating5]]+Table1567[[#This Row],[failurecost100_rating5]]+Table1567[[#This Row],[failurecost50_rating5]]+Table1567[[#This Row],[failurecost10_rating5]])*1000000</f>
        <v>153.36364295206667</v>
      </c>
      <c r="JV16" s="1">
        <f>(Table1567[[#This Row],[failurecost500_rating6]]+Table1567[[#This Row],[failurecost100_rating6]]+Table1567[[#This Row],[failurecost50_rating6]]+Table1567[[#This Row],[failurecost10_rating6]])*1000000</f>
        <v>33.360290822210004</v>
      </c>
      <c r="JW16" s="1">
        <f>(Table1567[[#This Row],[failurecost500_rating7]]+Table1567[[#This Row],[failurecost100_rating7]]+Table1567[[#This Row],[failurecost50_rating7]]+Table1567[[#This Row],[failurecost10_rating7]])*1000000</f>
        <v>23.744242469910002</v>
      </c>
      <c r="JX16" s="1">
        <f>(Table1567[[#This Row],[failurecost500_rating8]]+Table1567[[#This Row],[failurecost100_rating8]]+Table1567[[#This Row],[failurecost50_rating8]]+Table1567[[#This Row],[failurecost10_rating8]])*1000000</f>
        <v>3.7823123519046669</v>
      </c>
      <c r="JY16" s="1">
        <f>(Table1567[[#This Row],[failurecost500_rating9]]+Table1567[[#This Row],[failurecost100_rating9]]+Table1567[[#This Row],[failurecost50_rating9]]+Table1567[[#This Row],[failurecost10_rating9]])*1000000</f>
        <v>0.35751974643166662</v>
      </c>
    </row>
    <row r="17" spans="1:285" ht="28.8" x14ac:dyDescent="0.3">
      <c r="A17" s="1">
        <v>16</v>
      </c>
      <c r="B17" s="1" t="s">
        <v>284</v>
      </c>
      <c r="C17" s="1" t="s">
        <v>285</v>
      </c>
      <c r="D17" s="1">
        <v>42.405239999999999</v>
      </c>
      <c r="E17" s="1">
        <v>-71.021600000000007</v>
      </c>
      <c r="F17" s="1">
        <v>1.4060720209999999</v>
      </c>
      <c r="G17" s="1">
        <v>0</v>
      </c>
      <c r="H17" s="1">
        <v>2.5060725210000001</v>
      </c>
      <c r="I17" s="1">
        <v>4.706072807</v>
      </c>
      <c r="J17" s="1">
        <v>88.5</v>
      </c>
      <c r="K17" s="1">
        <v>193.65106890000001</v>
      </c>
      <c r="L17" s="1">
        <v>88.5</v>
      </c>
      <c r="M17" s="1">
        <v>193.65106890000001</v>
      </c>
      <c r="N17" s="1">
        <v>0.98851926300000004</v>
      </c>
      <c r="O17" s="1">
        <v>54.918434300000001</v>
      </c>
      <c r="P17" s="1">
        <v>3.524437587</v>
      </c>
      <c r="Q17" s="1">
        <v>136.71469250000001</v>
      </c>
      <c r="R17" s="1">
        <v>53</v>
      </c>
      <c r="S17" s="1">
        <v>173.2226976</v>
      </c>
      <c r="T17" s="1">
        <v>0.45700754700000001</v>
      </c>
      <c r="U17" s="1">
        <v>0.45700754700000001</v>
      </c>
      <c r="V17" s="1">
        <v>1.7999771000000001E-2</v>
      </c>
      <c r="W17" s="1">
        <v>2.5779508999999999E-2</v>
      </c>
      <c r="X17" s="1">
        <v>0.30596452299999999</v>
      </c>
      <c r="Y17" s="1">
        <v>4.1666666999999998E-2</v>
      </c>
      <c r="Z17" s="1">
        <v>22</v>
      </c>
      <c r="AA17" s="1">
        <v>2.4221811660000001</v>
      </c>
      <c r="AB17" s="1">
        <v>0.28039420100000001</v>
      </c>
      <c r="AC17" s="1">
        <v>0.35626580200000002</v>
      </c>
      <c r="AD17" s="1">
        <v>1.8536956170000001</v>
      </c>
      <c r="AE17" s="1">
        <v>0</v>
      </c>
      <c r="AF17" s="1">
        <v>7.5497181999999996E-2</v>
      </c>
      <c r="AG17" s="1">
        <v>7.1852654000000002E-2</v>
      </c>
      <c r="AH17" s="1">
        <v>0.27281899100000001</v>
      </c>
      <c r="AI17" s="1">
        <v>0</v>
      </c>
      <c r="AJ17" s="1">
        <v>0.58550938500000005</v>
      </c>
      <c r="AK17" s="1">
        <v>0.70168012599999996</v>
      </c>
      <c r="AL17" s="1">
        <v>1.5526644000000001</v>
      </c>
      <c r="AM17" s="1">
        <v>0</v>
      </c>
      <c r="AN17" s="1">
        <v>0.90684174399999995</v>
      </c>
      <c r="AO17" s="1">
        <v>1.560800696</v>
      </c>
      <c r="AP17" s="1">
        <v>16.910743750000002</v>
      </c>
      <c r="AQ17" s="1">
        <f>Table1567[[#This Row],[Depth10_Soil_vol]]*(9.353+9.027)+(Table1567[[#This Row],[Depth10_Soil_vol]]/2.5)*20*1.053+(PI()*Table1567[[#This Row],[Depth10_Scour]])*Table1567[[#This Row],[DECK_WIDTH_MT_052]]*1.062</f>
        <v>0</v>
      </c>
      <c r="AR17" s="1">
        <f>Table1567[[#This Row],[Depth50_Soil_vol]]*(9.353+9.027)+(Table1567[[#This Row],[Depth50_Soil_vol]]/2.5)*20*1.053+(PI()*Table1567[[#This Row],[Depth50_Scour]])*Table1567[[#This Row],[DECK_WIDTH_MT_052]]*1.062</f>
        <v>73.925295948361111</v>
      </c>
      <c r="AS17" s="1">
        <f>Table1567[[#This Row],[Depth100_Soil_vol]]*(9.353+9.027)+(Table1567[[#This Row],[Depth100_Soil_vol]]/2.5)*20*1.053+(PI()*Table1567[[#This Row],[Depth100_Scour]])*Table1567[[#This Row],[DECK_WIDTH_MT_052]]*1.062</f>
        <v>101.29876563204503</v>
      </c>
      <c r="AT17" s="1">
        <f>Table1567[[#This Row],[Depth500_Soil_vol]]*(9.353+9.027)+(Table1567[[#This Row],[Depth500_Soil_vol]]/2.5)*20*1.053+(PI()*Table1567[[#This Row],[Depth500_Scour]])*Table1567[[#This Row],[DECK_WIDTH_MT_052]]*1.062</f>
        <v>584.85430888869314</v>
      </c>
      <c r="AU17" s="1">
        <v>0.6</v>
      </c>
      <c r="AV17" s="1">
        <v>12.66</v>
      </c>
      <c r="AW17" s="1" t="s">
        <v>184</v>
      </c>
      <c r="AX17" s="1">
        <v>8</v>
      </c>
      <c r="AY17" s="1">
        <v>5</v>
      </c>
      <c r="AZ17" s="1">
        <v>5</v>
      </c>
      <c r="BA17" s="1">
        <v>5</v>
      </c>
      <c r="BB17" s="1">
        <v>25</v>
      </c>
      <c r="BC17" s="1" t="s">
        <v>286</v>
      </c>
      <c r="BD17" s="1">
        <v>42202818</v>
      </c>
      <c r="BE17" s="1">
        <v>71031622</v>
      </c>
      <c r="BF17" s="1">
        <v>1</v>
      </c>
      <c r="BG17" s="1">
        <v>5</v>
      </c>
      <c r="BH17" s="1">
        <v>1</v>
      </c>
      <c r="BI17" s="1">
        <v>0</v>
      </c>
      <c r="BJ17" s="1">
        <v>0</v>
      </c>
      <c r="BK17" s="1">
        <v>6</v>
      </c>
      <c r="BL17" s="1">
        <v>25</v>
      </c>
      <c r="BM17" s="1">
        <v>7000</v>
      </c>
      <c r="BN17" s="1" t="s">
        <v>287</v>
      </c>
      <c r="BO17" s="1">
        <v>0</v>
      </c>
      <c r="BP17" s="1" t="s">
        <v>288</v>
      </c>
      <c r="BQ17" s="1" t="s">
        <v>289</v>
      </c>
      <c r="BR17" s="1">
        <v>99.99</v>
      </c>
      <c r="BS17" s="1">
        <v>0</v>
      </c>
      <c r="BT17" s="1">
        <v>0</v>
      </c>
      <c r="BU17" s="1">
        <v>0</v>
      </c>
      <c r="BV17" s="1">
        <v>0</v>
      </c>
      <c r="BW17" s="1">
        <v>2</v>
      </c>
      <c r="BX17" s="1">
        <v>3</v>
      </c>
      <c r="BY17" s="1">
        <v>1</v>
      </c>
      <c r="BZ17" s="1">
        <v>1</v>
      </c>
      <c r="CA17" s="1">
        <v>16</v>
      </c>
      <c r="CB17" s="1">
        <v>1918</v>
      </c>
      <c r="CC17" s="1">
        <v>4</v>
      </c>
      <c r="CD17" s="1">
        <v>2</v>
      </c>
      <c r="CE17" s="1">
        <v>18200</v>
      </c>
      <c r="CF17" s="1">
        <v>2019</v>
      </c>
      <c r="CG17" s="1">
        <v>0</v>
      </c>
      <c r="CH17" s="1">
        <v>15.2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</v>
      </c>
      <c r="CQ17" s="1" t="s">
        <v>190</v>
      </c>
      <c r="CR17" s="1">
        <v>0</v>
      </c>
      <c r="CS17" s="1">
        <v>0</v>
      </c>
      <c r="CT17" s="1" t="s">
        <v>189</v>
      </c>
      <c r="CU17" s="1">
        <v>5</v>
      </c>
      <c r="CV17" s="1">
        <v>4</v>
      </c>
      <c r="CW17" s="1">
        <v>3</v>
      </c>
      <c r="CX17" s="1">
        <v>3</v>
      </c>
      <c r="CY17" s="1">
        <v>0</v>
      </c>
      <c r="CZ17" s="1">
        <v>0</v>
      </c>
      <c r="DA17" s="1">
        <v>1</v>
      </c>
      <c r="DB17" s="1">
        <v>0</v>
      </c>
      <c r="DC17" s="1">
        <v>15.3</v>
      </c>
      <c r="DD17" s="1">
        <v>18.399999999999999</v>
      </c>
      <c r="DE17" s="1">
        <v>20.7</v>
      </c>
      <c r="DF17" s="1">
        <v>3.8</v>
      </c>
      <c r="DG17" s="1">
        <v>3.9</v>
      </c>
      <c r="DH17" s="1">
        <v>15.3</v>
      </c>
      <c r="DI17" s="1">
        <v>25.4</v>
      </c>
      <c r="DJ17" s="1">
        <v>99.99</v>
      </c>
      <c r="DK17" s="1" t="s">
        <v>204</v>
      </c>
      <c r="DL17" s="1">
        <v>5.23</v>
      </c>
      <c r="DM17" s="1" t="s">
        <v>204</v>
      </c>
      <c r="DN17" s="1">
        <v>0.5</v>
      </c>
      <c r="DO17" s="1">
        <v>0</v>
      </c>
      <c r="DP17" s="1">
        <v>5</v>
      </c>
      <c r="DQ17" s="1">
        <v>5</v>
      </c>
      <c r="DR17" s="1">
        <v>5</v>
      </c>
      <c r="DS17" s="1" t="s">
        <v>190</v>
      </c>
      <c r="DT17" s="1" t="s">
        <v>190</v>
      </c>
      <c r="DU17" s="1">
        <v>2</v>
      </c>
      <c r="DV17" s="1">
        <v>71.599999999999994</v>
      </c>
      <c r="DW17" s="1">
        <v>2</v>
      </c>
      <c r="DX17" s="1">
        <v>47.8</v>
      </c>
      <c r="DY17" s="1">
        <v>5</v>
      </c>
      <c r="DZ17" s="1">
        <v>3</v>
      </c>
      <c r="EA17" s="1">
        <v>3</v>
      </c>
      <c r="EB17" s="1">
        <v>5</v>
      </c>
      <c r="EC17" s="1" t="s">
        <v>190</v>
      </c>
      <c r="ED17" s="1">
        <v>7</v>
      </c>
      <c r="EE17" s="1">
        <v>35</v>
      </c>
      <c r="EF17" s="1">
        <v>1</v>
      </c>
      <c r="EG17" s="1">
        <v>21</v>
      </c>
      <c r="EH17" s="1">
        <v>1119</v>
      </c>
      <c r="EI17" s="1">
        <v>24</v>
      </c>
      <c r="EJ17" s="1" t="s">
        <v>214</v>
      </c>
      <c r="EK17" s="1" t="s">
        <v>191</v>
      </c>
      <c r="EL17" s="1" t="s">
        <v>191</v>
      </c>
      <c r="EM17" s="1">
        <v>1119</v>
      </c>
      <c r="EN17" s="1">
        <v>0</v>
      </c>
      <c r="EO17" s="1">
        <v>0</v>
      </c>
      <c r="EP17" s="1">
        <v>2362</v>
      </c>
      <c r="EQ17" s="1">
        <v>237</v>
      </c>
      <c r="ER17" s="1">
        <v>3544</v>
      </c>
      <c r="ES17" s="1">
        <v>2020</v>
      </c>
      <c r="ET17" s="1">
        <v>0</v>
      </c>
      <c r="EU17" s="1">
        <v>0</v>
      </c>
      <c r="EV17" s="1" t="s">
        <v>193</v>
      </c>
      <c r="EW17" s="1">
        <v>0</v>
      </c>
      <c r="EX17" s="1" t="s">
        <v>190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6</v>
      </c>
      <c r="FF17" s="1">
        <v>8</v>
      </c>
      <c r="FG17" s="1">
        <v>8</v>
      </c>
      <c r="FH17" s="1">
        <v>5</v>
      </c>
      <c r="FI17" s="1">
        <v>0</v>
      </c>
      <c r="FJ17" s="1">
        <v>0</v>
      </c>
      <c r="FK17" s="1" t="s">
        <v>194</v>
      </c>
      <c r="FL17" s="1" t="s">
        <v>190</v>
      </c>
      <c r="FM17" s="1">
        <v>29691</v>
      </c>
      <c r="FN17" s="1">
        <v>2032</v>
      </c>
      <c r="FO17" s="1">
        <v>0</v>
      </c>
      <c r="FP17" s="1" t="s">
        <v>190</v>
      </c>
      <c r="FQ17" s="1">
        <v>25</v>
      </c>
      <c r="FR17" s="1" t="s">
        <v>206</v>
      </c>
      <c r="FS17" s="1">
        <v>5</v>
      </c>
      <c r="FT17" s="1">
        <v>525.78</v>
      </c>
      <c r="FU17" s="1">
        <v>183</v>
      </c>
      <c r="FV17" s="1">
        <v>62</v>
      </c>
      <c r="FW17" s="1">
        <v>75</v>
      </c>
      <c r="FX17" s="1">
        <v>2</v>
      </c>
      <c r="FY17" s="1">
        <v>5</v>
      </c>
      <c r="FZ17" s="1">
        <v>76763.88</v>
      </c>
      <c r="GA17" s="1">
        <v>3280641</v>
      </c>
      <c r="GB17" s="1">
        <v>2486060.591</v>
      </c>
      <c r="GC17" s="1">
        <v>2500000</v>
      </c>
      <c r="GD17" s="1"/>
      <c r="GE17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0.22800000000000001</v>
      </c>
      <c r="GF17" s="1">
        <v>8.343465471</v>
      </c>
      <c r="GG17" s="1">
        <v>0</v>
      </c>
      <c r="GH17" s="1">
        <v>0</v>
      </c>
      <c r="GI17" s="1">
        <v>0</v>
      </c>
      <c r="GJ17" s="1">
        <v>0</v>
      </c>
      <c r="GK17" s="1">
        <v>9</v>
      </c>
      <c r="GL17" s="1">
        <v>3708.2068759999997</v>
      </c>
      <c r="GM17" s="1">
        <v>2085.8663677500003</v>
      </c>
      <c r="GN17" s="1">
        <v>1334.9544753600001</v>
      </c>
      <c r="GO17" s="1">
        <v>927.05171899999993</v>
      </c>
      <c r="GP17" s="1">
        <v>681.09922212244896</v>
      </c>
      <c r="GQ17" s="1">
        <v>521.46659193750008</v>
      </c>
      <c r="GR17" s="1">
        <v>412.02298622222224</v>
      </c>
      <c r="GS17" s="1">
        <v>0</v>
      </c>
      <c r="GT17" s="1">
        <v>0</v>
      </c>
      <c r="GU17" s="1">
        <v>0</v>
      </c>
      <c r="GV17" s="1">
        <v>0.01</v>
      </c>
      <c r="GW17" s="1">
        <v>5.0000000000000001E-3</v>
      </c>
      <c r="GX17" s="1">
        <v>1.1000000000000001E-3</v>
      </c>
      <c r="GY17" s="1">
        <v>4.0000000000000002E-4</v>
      </c>
      <c r="GZ17" s="1">
        <v>6.9999999999999994E-5</v>
      </c>
      <c r="HA17" s="1">
        <v>1.8E-5</v>
      </c>
      <c r="HB17" s="1">
        <v>1.8E-5</v>
      </c>
      <c r="HC17" s="1">
        <v>3.9999999999999998E-7</v>
      </c>
      <c r="HD17" s="1">
        <v>2.4999999999999999E-7</v>
      </c>
      <c r="HE17" s="1">
        <v>1</v>
      </c>
      <c r="HF17" s="1">
        <v>0.01</v>
      </c>
      <c r="HG17" s="1">
        <v>1.25E-3</v>
      </c>
      <c r="HH17" s="1">
        <v>2.7500000000000002E-4</v>
      </c>
      <c r="HI17" s="1">
        <v>1E-4</v>
      </c>
      <c r="HJ17" s="1">
        <v>1.7499999999999998E-5</v>
      </c>
      <c r="HK17" s="1">
        <v>4.5000000000000001E-6</v>
      </c>
      <c r="HL17" s="1">
        <v>4.5000000000000001E-6</v>
      </c>
      <c r="HM17" s="1">
        <v>9.9999999999999995E-8</v>
      </c>
      <c r="HN17" s="1">
        <v>0.01</v>
      </c>
      <c r="HO17" s="1">
        <v>8.3333333333333339E-4</v>
      </c>
      <c r="HP17" s="1">
        <v>1.8333333333333334E-4</v>
      </c>
      <c r="HQ17" s="1">
        <v>6.666666666666667E-5</v>
      </c>
      <c r="HR17" s="1">
        <v>1.1666666666666666E-5</v>
      </c>
      <c r="HS17" s="1">
        <v>3.0000000000000001E-6</v>
      </c>
      <c r="HT17" s="1">
        <v>3.0000000000000001E-6</v>
      </c>
      <c r="HU17" s="1">
        <v>6.6666666666666668E-8</v>
      </c>
      <c r="HV17" s="1">
        <v>4.1666666666666663E-8</v>
      </c>
      <c r="HW17" s="1">
        <v>0.01</v>
      </c>
      <c r="HX17" s="1">
        <v>5.0000000000000001E-4</v>
      </c>
      <c r="HY17" s="1">
        <v>1.1E-4</v>
      </c>
      <c r="HZ17" s="1">
        <v>4.0000000000000003E-5</v>
      </c>
      <c r="IA17" s="1">
        <v>6.999999999999999E-6</v>
      </c>
      <c r="IB17" s="1">
        <v>1.8000000000000001E-6</v>
      </c>
      <c r="IC17" s="1">
        <v>1.8000000000000001E-6</v>
      </c>
      <c r="ID17" s="1">
        <v>4.0000000000000001E-8</v>
      </c>
      <c r="IE17" s="1">
        <v>2.4999999999999999E-8</v>
      </c>
      <c r="IF17" s="1">
        <f>Table1567[[#This Row],[Total_Cost_MUSD]]*Table1567[[#This Row],[prob500-failure_rating1]]/500</f>
        <v>1.6686930942E-4</v>
      </c>
      <c r="IG17" s="1">
        <f>Table1567[[#This Row],[Total_Cost_MUSD]]*Table1567[[#This Row],[prob500-failure_rating2]]/500</f>
        <v>8.3434654710000001E-5</v>
      </c>
      <c r="IH17" s="1">
        <f>Table1567[[#This Row],[Total_Cost_MUSD]]*Table1567[[#This Row],[prob500-failure_rating3]]/500</f>
        <v>1.8355624036200003E-5</v>
      </c>
      <c r="II17" s="1">
        <f>Table1567[[#This Row],[Total_Cost_MUSD]]*Table1567[[#This Row],[prob500-failure_rating4]]/500</f>
        <v>6.6747723768000004E-6</v>
      </c>
      <c r="IJ17" s="1">
        <f>Table1567[[#This Row],[Total_Cost_MUSD]]*Table1567[[#This Row],[prob500-failure_rating5]]/500</f>
        <v>1.1680851659399999E-6</v>
      </c>
      <c r="IK17" s="1">
        <f>Table1567[[#This Row],[Total_Cost_MUSD]]*Table1567[[#This Row],[prob500-failure_rating6]]/500</f>
        <v>3.00364756956E-7</v>
      </c>
      <c r="IL17" s="1">
        <f>Table1567[[#This Row],[Total_Cost_MUSD]]*Table1567[[#This Row],[prob500-failure_rating7]]/500</f>
        <v>3.00364756956E-7</v>
      </c>
      <c r="IM17" s="1">
        <f>Table1567[[#This Row],[Total_Cost_MUSD]]*Table1567[[#This Row],[prob500-failure_rating8]]/500</f>
        <v>6.6747723767999996E-9</v>
      </c>
      <c r="IN17" s="1">
        <f>Table1567[[#This Row],[Total_Cost_MUSD]]*Table1567[[#This Row],[prob500-failure_rating9]]/500</f>
        <v>4.1717327355000004E-9</v>
      </c>
      <c r="IO17" s="1">
        <f>Table1567[[#This Row],[Total_Cost_MUSD]]*Table1567[[#This Row],[prob100-failure_rating1]]/100</f>
        <v>8.343465471E-2</v>
      </c>
      <c r="IP17" s="1">
        <f>Table1567[[#This Row],[Total_Cost_MUSD]]*Table1567[[#This Row],[prob100-failure_rating2]]/100</f>
        <v>8.3434654709999998E-4</v>
      </c>
      <c r="IQ17" s="1">
        <f>Table1567[[#This Row],[Total_Cost_MUSD]]*Table1567[[#This Row],[prob100-failure_rating3]]/100</f>
        <v>1.042933183875E-4</v>
      </c>
      <c r="IR17" s="1">
        <f>Table1567[[#This Row],[Total_Cost_MUSD]]*Table1567[[#This Row],[prob100-failure_rating4]]/100</f>
        <v>2.2944530045250003E-5</v>
      </c>
      <c r="IS17" s="1">
        <f>Table1567[[#This Row],[Total_Cost_MUSD]]*Table1567[[#This Row],[prob100-failure_rating5]]/100</f>
        <v>8.3434654710000005E-6</v>
      </c>
      <c r="IT17" s="1">
        <f>Table1567[[#This Row],[Total_Cost_MUSD]]*Table1567[[#This Row],[prob100-failure_rating6]]/100</f>
        <v>1.4601064574249999E-6</v>
      </c>
      <c r="IU17" s="1">
        <f>Table1567[[#This Row],[Total_Cost_MUSD]]*Table1567[[#This Row],[prob100-failure_rating7]]/100</f>
        <v>3.7545594619500002E-7</v>
      </c>
      <c r="IV17" s="1">
        <f>Table1567[[#This Row],[Total_Cost_MUSD]]*Table1567[[#This Row],[prob100-failure_rating8]]/100</f>
        <v>3.7545594619500002E-7</v>
      </c>
      <c r="IW17" s="1">
        <f>Table1567[[#This Row],[Total_Cost_MUSD]]*Table1567[[#This Row],[prob100-failure_rating9]]/100</f>
        <v>8.3434654709999991E-9</v>
      </c>
      <c r="IX17" s="1">
        <f>Table1567[[#This Row],[Total_Cost_MUSD]]*Table1567[[#This Row],[prob50-failure_rating1]]/50</f>
        <v>1.6686930942E-3</v>
      </c>
      <c r="IY17" s="1">
        <f>Table1567[[#This Row],[Total_Cost_MUSD]]*Table1567[[#This Row],[prob50-failure_rating2]]/50</f>
        <v>1.3905775785000001E-4</v>
      </c>
      <c r="IZ17" s="1">
        <f>Table1567[[#This Row],[Total_Cost_MUSD]]*Table1567[[#This Row],[prob50-failure_rating3]]/50</f>
        <v>3.0592706727000002E-5</v>
      </c>
      <c r="JA17" s="1">
        <f>Table1567[[#This Row],[Total_Cost_MUSD]]*Table1567[[#This Row],[prob50-failure_rating4]]/50</f>
        <v>1.1124620628E-5</v>
      </c>
      <c r="JB17" s="1">
        <f>Table1567[[#This Row],[Total_Cost_MUSD]]*Table1567[[#This Row],[prob50-failure_rating5]]/50</f>
        <v>1.9468086099E-6</v>
      </c>
      <c r="JC17" s="1">
        <f>Table1567[[#This Row],[Total_Cost_MUSD]]*Table1567[[#This Row],[prob50-failure_rating6]]/50</f>
        <v>5.0060792826000003E-7</v>
      </c>
      <c r="JD17" s="1">
        <f>Table1567[[#This Row],[Total_Cost_MUSD]]*Table1567[[#This Row],[prob50-failure_rating7]]/50</f>
        <v>5.0060792826000003E-7</v>
      </c>
      <c r="JE17" s="1">
        <f>Table1567[[#This Row],[Total_Cost_MUSD]]*Table1567[[#This Row],[prob50-failure_rating8]]/50</f>
        <v>1.1124620628000001E-8</v>
      </c>
      <c r="JF17" s="1">
        <f>Table1567[[#This Row],[Total_Cost_MUSD]]*Table1567[[#This Row],[prob50-failure_rating9]]/50</f>
        <v>6.952887892499999E-9</v>
      </c>
      <c r="JG17" s="1">
        <f>Table1567[[#This Row],[Total_Cost_MUSD]]*Table1567[[#This Row],[prob10-failure_rating1]]/10</f>
        <v>8.3434654710000007E-3</v>
      </c>
      <c r="JH17" s="1">
        <f>Table1567[[#This Row],[Total_Cost_MUSD]]*Table1567[[#This Row],[prob10-failure_rating2]]/10</f>
        <v>4.1717327355000005E-4</v>
      </c>
      <c r="JI17" s="1">
        <f>Table1567[[#This Row],[Total_Cost_MUSD]]*Table1567[[#This Row],[prob10-failure_rating3]]/10</f>
        <v>9.1778120181E-5</v>
      </c>
      <c r="JJ17" s="1">
        <f>Table1567[[#This Row],[Total_Cost_MUSD]]*Table1567[[#This Row],[prob10-failure_rating4]]/10</f>
        <v>3.3373861884000002E-5</v>
      </c>
      <c r="JK17" s="1">
        <f>Table1567[[#This Row],[Total_Cost_MUSD]]*Table1567[[#This Row],[prob10-failure_rating5]]/10</f>
        <v>5.8404258296999995E-6</v>
      </c>
      <c r="JL17" s="1">
        <f>Table1567[[#This Row],[Total_Cost_MUSD]]*Table1567[[#This Row],[prob10-failure_rating6]]/10</f>
        <v>1.5018237847800001E-6</v>
      </c>
      <c r="JM17" s="1">
        <f>Table1567[[#This Row],[Total_Cost_MUSD]]*Table1567[[#This Row],[prob10-failure_rating7]]/10</f>
        <v>1.5018237847800001E-6</v>
      </c>
      <c r="JN17" s="1">
        <f>Table1567[[#This Row],[Total_Cost_MUSD]]*Table1567[[#This Row],[prob10-failure_rating8]]/10</f>
        <v>3.3373861884000003E-8</v>
      </c>
      <c r="JO17" s="1">
        <f>Table1567[[#This Row],[Total_Cost_MUSD]]*Table1567[[#This Row],[prob10-failure_rating9]]/10</f>
        <v>2.0858663677499998E-8</v>
      </c>
      <c r="JP17" s="1">
        <f>Table1567[[#This Row],[FailureCost_Rating1]]</f>
        <v>1474.01223321</v>
      </c>
      <c r="JQ17" s="1">
        <f>Table1567[[#This Row],[FailureCost_Rating2]]</f>
        <v>1474.01223321</v>
      </c>
      <c r="JR17" s="1">
        <f>(Table1567[[#This Row],[failurecost500_rating2]]+Table1567[[#This Row],[failurecost100_rating2]]+Table1567[[#This Row],[failurecost50_rating2]]+Table1567[[#This Row],[failurecost10_rating2]])*1000000</f>
        <v>1474.01223321</v>
      </c>
      <c r="JS17" s="1">
        <f>(Table1567[[#This Row],[failurecost500_rating3]]+Table1567[[#This Row],[failurecost100_rating3]]+Table1567[[#This Row],[failurecost50_rating3]]+Table1567[[#This Row],[failurecost10_rating3]])*1000000</f>
        <v>245.01976933169999</v>
      </c>
      <c r="JT17" s="1">
        <f>(Table1567[[#This Row],[failurecost500_rating4]]+Table1567[[#This Row],[failurecost100_rating4]]+Table1567[[#This Row],[failurecost50_rating4]]+Table1567[[#This Row],[failurecost10_rating4]])*1000000</f>
        <v>74.117784934050007</v>
      </c>
      <c r="JU17" s="1">
        <f>(Table1567[[#This Row],[failurecost500_rating5]]+Table1567[[#This Row],[failurecost100_rating5]]+Table1567[[#This Row],[failurecost50_rating5]]+Table1567[[#This Row],[failurecost10_rating5]])*1000000</f>
        <v>17.29878507654</v>
      </c>
      <c r="JV17" s="1">
        <f>(Table1567[[#This Row],[failurecost500_rating6]]+Table1567[[#This Row],[failurecost100_rating6]]+Table1567[[#This Row],[failurecost50_rating6]]+Table1567[[#This Row],[failurecost10_rating6]])*1000000</f>
        <v>3.762902927421</v>
      </c>
      <c r="JW17" s="1">
        <f>(Table1567[[#This Row],[failurecost500_rating7]]+Table1567[[#This Row],[failurecost100_rating7]]+Table1567[[#This Row],[failurecost50_rating7]]+Table1567[[#This Row],[failurecost10_rating7]])*1000000</f>
        <v>2.678252416191</v>
      </c>
      <c r="JX17" s="1">
        <f>(Table1567[[#This Row],[failurecost500_rating8]]+Table1567[[#This Row],[failurecost100_rating8]]+Table1567[[#This Row],[failurecost50_rating8]]+Table1567[[#This Row],[failurecost10_rating8]])*1000000</f>
        <v>0.42662920108380004</v>
      </c>
      <c r="JY17" s="1">
        <f>(Table1567[[#This Row],[failurecost500_rating9]]+Table1567[[#This Row],[failurecost100_rating9]]+Table1567[[#This Row],[failurecost50_rating9]]+Table1567[[#This Row],[failurecost10_rating9]])*1000000</f>
        <v>4.0326749776499991E-2</v>
      </c>
    </row>
    <row r="18" spans="1:285" ht="28.8" x14ac:dyDescent="0.3">
      <c r="A18" s="1">
        <v>17</v>
      </c>
      <c r="B18" s="1" t="s">
        <v>290</v>
      </c>
      <c r="C18" s="1" t="s">
        <v>291</v>
      </c>
      <c r="D18" s="1">
        <v>42.40381</v>
      </c>
      <c r="E18" s="1">
        <v>-71.072500000000005</v>
      </c>
      <c r="F18" s="1">
        <v>10.00198746</v>
      </c>
      <c r="G18" s="1">
        <v>7.701988697</v>
      </c>
      <c r="H18" s="1">
        <v>11.10198879</v>
      </c>
      <c r="I18" s="1">
        <v>13.3019886</v>
      </c>
      <c r="J18" s="1">
        <v>717</v>
      </c>
      <c r="K18" s="1">
        <v>363.112663</v>
      </c>
      <c r="L18" s="1">
        <v>1185.5</v>
      </c>
      <c r="M18" s="1">
        <v>284.80069930000002</v>
      </c>
      <c r="N18" s="1">
        <v>918</v>
      </c>
      <c r="O18" s="1">
        <v>293.13254719999998</v>
      </c>
      <c r="P18" s="1">
        <v>918</v>
      </c>
      <c r="Q18" s="1">
        <v>293.13254719999998</v>
      </c>
      <c r="R18" s="1">
        <v>918</v>
      </c>
      <c r="S18" s="1">
        <v>293.13254719999998</v>
      </c>
      <c r="T18" s="1">
        <v>1.974593764</v>
      </c>
      <c r="U18" s="1">
        <v>4.1625600040000004</v>
      </c>
      <c r="V18" s="1">
        <v>3.1316890900000001</v>
      </c>
      <c r="W18" s="1">
        <v>3.1316890900000001</v>
      </c>
      <c r="X18" s="1">
        <v>3.1316890900000001</v>
      </c>
      <c r="Y18" s="1">
        <v>3.3333333E-2</v>
      </c>
      <c r="Z18" s="1">
        <v>78</v>
      </c>
      <c r="AA18" s="1">
        <v>9.4487938309999997</v>
      </c>
      <c r="AB18" s="1">
        <v>7.816070377</v>
      </c>
      <c r="AC18" s="1">
        <v>7.816070377</v>
      </c>
      <c r="AD18" s="1">
        <v>7.816070377</v>
      </c>
      <c r="AE18" s="1">
        <v>1.0870272489999999</v>
      </c>
      <c r="AF18" s="1">
        <v>0.78906141100000005</v>
      </c>
      <c r="AG18" s="1">
        <v>0.748951276</v>
      </c>
      <c r="AH18" s="1">
        <v>0.68421985399999996</v>
      </c>
      <c r="AI18" s="1">
        <v>8.006453145</v>
      </c>
      <c r="AJ18" s="1">
        <v>7.6442279160000002</v>
      </c>
      <c r="AK18" s="1">
        <v>7.7526661380000004</v>
      </c>
      <c r="AL18" s="1">
        <v>7.9442099480000001</v>
      </c>
      <c r="AM18" s="1">
        <v>550.32430069999998</v>
      </c>
      <c r="AN18" s="1">
        <v>478.95981</v>
      </c>
      <c r="AO18" s="1">
        <v>499.63337000000001</v>
      </c>
      <c r="AP18" s="1">
        <v>537.58894640000005</v>
      </c>
      <c r="AQ18" s="1">
        <f>Table1567[[#This Row],[Depth10_Soil_vol]]*(9.353+9.027)+(Table1567[[#This Row],[Depth10_Soil_vol]]/2.5)*20*1.053+(PI()*Table1567[[#This Row],[Depth10_Scour]])*Table1567[[#This Row],[DECK_WIDTH_MT_052]]*1.062</f>
        <v>15354.595084739485</v>
      </c>
      <c r="AR18" s="1">
        <f>Table1567[[#This Row],[Depth50_Soil_vol]]*(9.353+9.027)+(Table1567[[#This Row],[Depth50_Soil_vol]]/2.5)*20*1.053+(PI()*Table1567[[#This Row],[Depth50_Scour]])*Table1567[[#This Row],[DECK_WIDTH_MT_052]]*1.062</f>
        <v>13414.428771618834</v>
      </c>
      <c r="AS18" s="1">
        <f>Table1567[[#This Row],[Depth100_Soil_vol]]*(9.353+9.027)+(Table1567[[#This Row],[Depth100_Soil_vol]]/2.5)*20*1.053+(PI()*Table1567[[#This Row],[Depth100_Scour]])*Table1567[[#This Row],[DECK_WIDTH_MT_052]]*1.062</f>
        <v>13976.739331979787</v>
      </c>
      <c r="AT18" s="1">
        <f>Table1567[[#This Row],[Depth500_Soil_vol]]*(9.353+9.027)+(Table1567[[#This Row],[Depth500_Soil_vol]]/2.5)*20*1.053+(PI()*Table1567[[#This Row],[Depth500_Scour]])*Table1567[[#This Row],[DECK_WIDTH_MT_052]]*1.062</f>
        <v>15008.543386940617</v>
      </c>
      <c r="AU18" s="1">
        <v>2.2999999999999998</v>
      </c>
      <c r="AV18" s="1">
        <v>40.54</v>
      </c>
      <c r="AW18" s="1" t="s">
        <v>184</v>
      </c>
      <c r="AX18" s="1">
        <v>5</v>
      </c>
      <c r="AY18" s="1">
        <v>5</v>
      </c>
      <c r="AZ18" s="1">
        <v>5</v>
      </c>
      <c r="BA18" s="1">
        <v>5</v>
      </c>
      <c r="BB18" s="1">
        <v>25</v>
      </c>
      <c r="BC18" s="1" t="s">
        <v>292</v>
      </c>
      <c r="BD18" s="1">
        <v>42.403813999999997</v>
      </c>
      <c r="BE18" s="1">
        <v>-71.072592</v>
      </c>
      <c r="BF18" s="1">
        <v>1</v>
      </c>
      <c r="BG18" s="1"/>
      <c r="BH18" s="1"/>
      <c r="BI18" s="1"/>
      <c r="BJ18" s="1"/>
      <c r="BK18" s="1"/>
      <c r="BL18" s="1">
        <v>25</v>
      </c>
      <c r="BM18" s="1"/>
      <c r="BN18" s="1" t="s">
        <v>293</v>
      </c>
      <c r="BO18" s="1"/>
      <c r="BP18" s="1" t="s">
        <v>294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14</v>
      </c>
      <c r="CB18" s="1">
        <v>2018</v>
      </c>
      <c r="CC18" s="1">
        <v>6</v>
      </c>
      <c r="CD18" s="1">
        <v>0</v>
      </c>
      <c r="CE18" s="1">
        <v>10000</v>
      </c>
      <c r="CF18" s="1">
        <v>2015</v>
      </c>
      <c r="CG18" s="1"/>
      <c r="CH18" s="1">
        <v>22.6</v>
      </c>
      <c r="CI18" s="1"/>
      <c r="CJ18" s="1">
        <v>20</v>
      </c>
      <c r="CK18" s="1">
        <v>0</v>
      </c>
      <c r="CL18" s="1">
        <v>0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1</v>
      </c>
      <c r="DB18" s="1">
        <v>4</v>
      </c>
      <c r="DC18" s="1">
        <v>16</v>
      </c>
      <c r="DD18" s="1">
        <v>24.4</v>
      </c>
      <c r="DE18" s="1">
        <v>106</v>
      </c>
      <c r="DF18" s="1">
        <v>1.9</v>
      </c>
      <c r="DG18" s="1">
        <v>1.9</v>
      </c>
      <c r="DH18" s="1">
        <v>27.1</v>
      </c>
      <c r="DI18" s="1">
        <v>22.6</v>
      </c>
      <c r="DJ18" s="1">
        <v>30</v>
      </c>
      <c r="DK18" s="1"/>
      <c r="DL18" s="1"/>
      <c r="DM18" s="1"/>
      <c r="DN18" s="1"/>
      <c r="DO18" s="1"/>
      <c r="DP18" s="1">
        <v>7</v>
      </c>
      <c r="DQ18" s="1">
        <v>7</v>
      </c>
      <c r="DR18" s="1">
        <v>8</v>
      </c>
      <c r="DS18" s="1" t="s">
        <v>190</v>
      </c>
      <c r="DT18" s="1" t="s">
        <v>190</v>
      </c>
      <c r="DU18" s="1"/>
      <c r="DV18" s="1"/>
      <c r="DW18" s="1"/>
      <c r="DX18" s="1"/>
      <c r="DY18" s="1">
        <v>7</v>
      </c>
      <c r="DZ18" s="1">
        <v>7</v>
      </c>
      <c r="EA18" s="1"/>
      <c r="EB18" s="1"/>
      <c r="EC18" s="1"/>
      <c r="ED18" s="1">
        <v>7</v>
      </c>
      <c r="EE18" s="1"/>
      <c r="EF18" s="1"/>
      <c r="EG18" s="1"/>
      <c r="EH18" s="1">
        <v>118</v>
      </c>
      <c r="EI18" s="1">
        <v>24</v>
      </c>
      <c r="EJ18" s="1"/>
      <c r="EK18" s="1"/>
      <c r="EL18" s="1"/>
      <c r="EM18" s="1"/>
      <c r="EN18" s="1"/>
      <c r="EO18" s="1"/>
      <c r="EP18" s="1">
        <v>0</v>
      </c>
      <c r="EQ18" s="1">
        <v>0</v>
      </c>
      <c r="ER18" s="1">
        <v>0</v>
      </c>
      <c r="ES18" s="1">
        <v>2020</v>
      </c>
      <c r="ET18" s="1">
        <v>0</v>
      </c>
      <c r="EU18" s="1"/>
      <c r="EV18" s="1"/>
      <c r="EW18" s="1"/>
      <c r="EX18" s="1" t="s">
        <v>190</v>
      </c>
      <c r="EY18" s="1"/>
      <c r="EZ18" s="1"/>
      <c r="FA18" s="1"/>
      <c r="FB18" s="1"/>
      <c r="FC18" s="1">
        <v>0</v>
      </c>
      <c r="FD18" s="1">
        <v>1</v>
      </c>
      <c r="FE18" s="1">
        <v>6</v>
      </c>
      <c r="FF18" s="1">
        <v>3</v>
      </c>
      <c r="FG18" s="1">
        <v>1</v>
      </c>
      <c r="FH18" s="1">
        <v>8</v>
      </c>
      <c r="FI18" s="1">
        <v>0</v>
      </c>
      <c r="FJ18" s="1">
        <v>1</v>
      </c>
      <c r="FK18" s="1" t="s">
        <v>194</v>
      </c>
      <c r="FL18" s="1">
        <v>8</v>
      </c>
      <c r="FM18" s="1">
        <v>88441</v>
      </c>
      <c r="FN18" s="1">
        <v>2032</v>
      </c>
      <c r="FO18" s="1">
        <v>0</v>
      </c>
      <c r="FP18" s="1" t="s">
        <v>190</v>
      </c>
      <c r="FQ18" s="1">
        <v>25</v>
      </c>
      <c r="FR18" s="1" t="s">
        <v>195</v>
      </c>
      <c r="FS18" s="1">
        <v>7</v>
      </c>
      <c r="FT18" s="1">
        <v>44120.22</v>
      </c>
      <c r="FU18" s="1">
        <v>183</v>
      </c>
      <c r="FV18" s="1">
        <v>62</v>
      </c>
      <c r="FW18" s="1">
        <v>75</v>
      </c>
      <c r="FX18" s="1">
        <v>2</v>
      </c>
      <c r="FY18" s="1">
        <v>5</v>
      </c>
      <c r="FZ18" s="1">
        <v>344966.40000000002</v>
      </c>
      <c r="GA18" s="1">
        <v>0</v>
      </c>
      <c r="GB18" s="1">
        <v>0</v>
      </c>
      <c r="GC18" s="1">
        <v>2500000</v>
      </c>
      <c r="GD18" s="1"/>
      <c r="GE18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0.52800000000000002</v>
      </c>
      <c r="GF18" s="1">
        <v>2.8449664000000001</v>
      </c>
      <c r="GG18" s="1">
        <v>0</v>
      </c>
      <c r="GH18" s="1">
        <v>0</v>
      </c>
      <c r="GI18" s="1">
        <v>0</v>
      </c>
      <c r="GJ18" s="1">
        <v>0</v>
      </c>
      <c r="GK18" s="1">
        <v>9</v>
      </c>
      <c r="GL18" s="1">
        <v>1264.429511111111</v>
      </c>
      <c r="GM18" s="1">
        <v>711.24160000000006</v>
      </c>
      <c r="GN18" s="1">
        <v>455.19462400000009</v>
      </c>
      <c r="GO18" s="1">
        <v>316.10737777777774</v>
      </c>
      <c r="GP18" s="1">
        <v>232.24215510204081</v>
      </c>
      <c r="GQ18" s="1">
        <v>177.81040000000002</v>
      </c>
      <c r="GR18" s="1">
        <v>140.49216790123455</v>
      </c>
      <c r="GS18" s="1">
        <v>0</v>
      </c>
      <c r="GT18" s="1">
        <v>0</v>
      </c>
      <c r="GU18" s="1">
        <v>0</v>
      </c>
      <c r="GV18" s="1">
        <v>0.01</v>
      </c>
      <c r="GW18" s="1">
        <v>5.0000000000000001E-3</v>
      </c>
      <c r="GX18" s="1">
        <v>1.1000000000000001E-3</v>
      </c>
      <c r="GY18" s="1">
        <v>4.0000000000000002E-4</v>
      </c>
      <c r="GZ18" s="1">
        <v>6.9999999999999994E-5</v>
      </c>
      <c r="HA18" s="1">
        <v>1.8E-5</v>
      </c>
      <c r="HB18" s="1">
        <v>1.8E-5</v>
      </c>
      <c r="HC18" s="1">
        <v>3.9999999999999998E-7</v>
      </c>
      <c r="HD18" s="1">
        <v>2.4999999999999999E-7</v>
      </c>
      <c r="HE18" s="1">
        <v>1</v>
      </c>
      <c r="HF18" s="1">
        <v>0.01</v>
      </c>
      <c r="HG18" s="1">
        <v>1.25E-3</v>
      </c>
      <c r="HH18" s="1">
        <v>2.7500000000000002E-4</v>
      </c>
      <c r="HI18" s="1">
        <v>1E-4</v>
      </c>
      <c r="HJ18" s="1">
        <v>1.7499999999999998E-5</v>
      </c>
      <c r="HK18" s="1">
        <v>4.5000000000000001E-6</v>
      </c>
      <c r="HL18" s="1">
        <v>4.5000000000000001E-6</v>
      </c>
      <c r="HM18" s="1">
        <v>9.9999999999999995E-8</v>
      </c>
      <c r="HN18" s="1">
        <v>0.01</v>
      </c>
      <c r="HO18" s="1">
        <v>8.3333333333333339E-4</v>
      </c>
      <c r="HP18" s="1">
        <v>1.8333333333333334E-4</v>
      </c>
      <c r="HQ18" s="1">
        <v>6.666666666666667E-5</v>
      </c>
      <c r="HR18" s="1">
        <v>1.1666666666666666E-5</v>
      </c>
      <c r="HS18" s="1">
        <v>3.0000000000000001E-6</v>
      </c>
      <c r="HT18" s="1">
        <v>3.0000000000000001E-6</v>
      </c>
      <c r="HU18" s="1">
        <v>6.6666666666666668E-8</v>
      </c>
      <c r="HV18" s="1">
        <v>4.1666666666666663E-8</v>
      </c>
      <c r="HW18" s="1">
        <v>0.01</v>
      </c>
      <c r="HX18" s="1">
        <v>5.0000000000000001E-4</v>
      </c>
      <c r="HY18" s="1">
        <v>1.1E-4</v>
      </c>
      <c r="HZ18" s="1">
        <v>4.0000000000000003E-5</v>
      </c>
      <c r="IA18" s="1">
        <v>6.999999999999999E-6</v>
      </c>
      <c r="IB18" s="1">
        <v>1.8000000000000001E-6</v>
      </c>
      <c r="IC18" s="1">
        <v>1.8000000000000001E-6</v>
      </c>
      <c r="ID18" s="1">
        <v>4.0000000000000001E-8</v>
      </c>
      <c r="IE18" s="1">
        <v>2.4999999999999999E-8</v>
      </c>
      <c r="IF18" s="1">
        <f>Table1567[[#This Row],[Total_Cost_MUSD]]*Table1567[[#This Row],[prob500-failure_rating1]]/500</f>
        <v>5.6899328000000009E-5</v>
      </c>
      <c r="IG18" s="1">
        <f>Table1567[[#This Row],[Total_Cost_MUSD]]*Table1567[[#This Row],[prob500-failure_rating2]]/500</f>
        <v>2.8449664000000005E-5</v>
      </c>
      <c r="IH18" s="1">
        <f>Table1567[[#This Row],[Total_Cost_MUSD]]*Table1567[[#This Row],[prob500-failure_rating3]]/500</f>
        <v>6.2589260800000001E-6</v>
      </c>
      <c r="II18" s="1">
        <f>Table1567[[#This Row],[Total_Cost_MUSD]]*Table1567[[#This Row],[prob500-failure_rating4]]/500</f>
        <v>2.2759731200000002E-6</v>
      </c>
      <c r="IJ18" s="1">
        <f>Table1567[[#This Row],[Total_Cost_MUSD]]*Table1567[[#This Row],[prob500-failure_rating5]]/500</f>
        <v>3.9829529599999994E-7</v>
      </c>
      <c r="IK18" s="1">
        <f>Table1567[[#This Row],[Total_Cost_MUSD]]*Table1567[[#This Row],[prob500-failure_rating6]]/500</f>
        <v>1.024187904E-7</v>
      </c>
      <c r="IL18" s="1">
        <f>Table1567[[#This Row],[Total_Cost_MUSD]]*Table1567[[#This Row],[prob500-failure_rating7]]/500</f>
        <v>1.024187904E-7</v>
      </c>
      <c r="IM18" s="1">
        <f>Table1567[[#This Row],[Total_Cost_MUSD]]*Table1567[[#This Row],[prob500-failure_rating8]]/500</f>
        <v>2.2759731199999998E-9</v>
      </c>
      <c r="IN18" s="1">
        <f>Table1567[[#This Row],[Total_Cost_MUSD]]*Table1567[[#This Row],[prob500-failure_rating9]]/500</f>
        <v>1.4224832E-9</v>
      </c>
      <c r="IO18" s="1">
        <f>Table1567[[#This Row],[Total_Cost_MUSD]]*Table1567[[#This Row],[prob100-failure_rating1]]/100</f>
        <v>2.8449664E-2</v>
      </c>
      <c r="IP18" s="1">
        <f>Table1567[[#This Row],[Total_Cost_MUSD]]*Table1567[[#This Row],[prob100-failure_rating2]]/100</f>
        <v>2.8449664000000001E-4</v>
      </c>
      <c r="IQ18" s="1">
        <f>Table1567[[#This Row],[Total_Cost_MUSD]]*Table1567[[#This Row],[prob100-failure_rating3]]/100</f>
        <v>3.5562080000000002E-5</v>
      </c>
      <c r="IR18" s="1">
        <f>Table1567[[#This Row],[Total_Cost_MUSD]]*Table1567[[#This Row],[prob100-failure_rating4]]/100</f>
        <v>7.8236575999999997E-6</v>
      </c>
      <c r="IS18" s="1">
        <f>Table1567[[#This Row],[Total_Cost_MUSD]]*Table1567[[#This Row],[prob100-failure_rating5]]/100</f>
        <v>2.8449664E-6</v>
      </c>
      <c r="IT18" s="1">
        <f>Table1567[[#This Row],[Total_Cost_MUSD]]*Table1567[[#This Row],[prob100-failure_rating6]]/100</f>
        <v>4.9786911999999993E-7</v>
      </c>
      <c r="IU18" s="1">
        <f>Table1567[[#This Row],[Total_Cost_MUSD]]*Table1567[[#This Row],[prob100-failure_rating7]]/100</f>
        <v>1.28023488E-7</v>
      </c>
      <c r="IV18" s="1">
        <f>Table1567[[#This Row],[Total_Cost_MUSD]]*Table1567[[#This Row],[prob100-failure_rating8]]/100</f>
        <v>1.28023488E-7</v>
      </c>
      <c r="IW18" s="1">
        <f>Table1567[[#This Row],[Total_Cost_MUSD]]*Table1567[[#This Row],[prob100-failure_rating9]]/100</f>
        <v>2.8449663999999996E-9</v>
      </c>
      <c r="IX18" s="1">
        <f>Table1567[[#This Row],[Total_Cost_MUSD]]*Table1567[[#This Row],[prob50-failure_rating1]]/50</f>
        <v>5.6899328000000002E-4</v>
      </c>
      <c r="IY18" s="1">
        <f>Table1567[[#This Row],[Total_Cost_MUSD]]*Table1567[[#This Row],[prob50-failure_rating2]]/50</f>
        <v>4.7416106666666678E-5</v>
      </c>
      <c r="IZ18" s="1">
        <f>Table1567[[#This Row],[Total_Cost_MUSD]]*Table1567[[#This Row],[prob50-failure_rating3]]/50</f>
        <v>1.0431543466666666E-5</v>
      </c>
      <c r="JA18" s="1">
        <f>Table1567[[#This Row],[Total_Cost_MUSD]]*Table1567[[#This Row],[prob50-failure_rating4]]/50</f>
        <v>3.7932885333333337E-6</v>
      </c>
      <c r="JB18" s="1">
        <f>Table1567[[#This Row],[Total_Cost_MUSD]]*Table1567[[#This Row],[prob50-failure_rating5]]/50</f>
        <v>6.6382549333333324E-7</v>
      </c>
      <c r="JC18" s="1">
        <f>Table1567[[#This Row],[Total_Cost_MUSD]]*Table1567[[#This Row],[prob50-failure_rating6]]/50</f>
        <v>1.7069798400000001E-7</v>
      </c>
      <c r="JD18" s="1">
        <f>Table1567[[#This Row],[Total_Cost_MUSD]]*Table1567[[#This Row],[prob50-failure_rating7]]/50</f>
        <v>1.7069798400000001E-7</v>
      </c>
      <c r="JE18" s="1">
        <f>Table1567[[#This Row],[Total_Cost_MUSD]]*Table1567[[#This Row],[prob50-failure_rating8]]/50</f>
        <v>3.7932885333333337E-9</v>
      </c>
      <c r="JF18" s="1">
        <f>Table1567[[#This Row],[Total_Cost_MUSD]]*Table1567[[#This Row],[prob50-failure_rating9]]/50</f>
        <v>2.3708053333333332E-9</v>
      </c>
      <c r="JG18" s="1">
        <f>Table1567[[#This Row],[Total_Cost_MUSD]]*Table1567[[#This Row],[prob10-failure_rating1]]/10</f>
        <v>2.8449664000000001E-3</v>
      </c>
      <c r="JH18" s="1">
        <f>Table1567[[#This Row],[Total_Cost_MUSD]]*Table1567[[#This Row],[prob10-failure_rating2]]/10</f>
        <v>1.4224832000000001E-4</v>
      </c>
      <c r="JI18" s="1">
        <f>Table1567[[#This Row],[Total_Cost_MUSD]]*Table1567[[#This Row],[prob10-failure_rating3]]/10</f>
        <v>3.1294630399999999E-5</v>
      </c>
      <c r="JJ18" s="1">
        <f>Table1567[[#This Row],[Total_Cost_MUSD]]*Table1567[[#This Row],[prob10-failure_rating4]]/10</f>
        <v>1.1379865600000002E-5</v>
      </c>
      <c r="JK18" s="1">
        <f>Table1567[[#This Row],[Total_Cost_MUSD]]*Table1567[[#This Row],[prob10-failure_rating5]]/10</f>
        <v>1.9914764799999997E-6</v>
      </c>
      <c r="JL18" s="1">
        <f>Table1567[[#This Row],[Total_Cost_MUSD]]*Table1567[[#This Row],[prob10-failure_rating6]]/10</f>
        <v>5.1209395200000002E-7</v>
      </c>
      <c r="JM18" s="1">
        <f>Table1567[[#This Row],[Total_Cost_MUSD]]*Table1567[[#This Row],[prob10-failure_rating7]]/10</f>
        <v>5.1209395200000002E-7</v>
      </c>
      <c r="JN18" s="1">
        <f>Table1567[[#This Row],[Total_Cost_MUSD]]*Table1567[[#This Row],[prob10-failure_rating8]]/10</f>
        <v>1.13798656E-8</v>
      </c>
      <c r="JO18" s="1">
        <f>Table1567[[#This Row],[Total_Cost_MUSD]]*Table1567[[#This Row],[prob10-failure_rating9]]/10</f>
        <v>7.1124159999999997E-9</v>
      </c>
      <c r="JP18" s="1">
        <f>Table1567[[#This Row],[FailureCost_Rating1]]</f>
        <v>502.61073066666671</v>
      </c>
      <c r="JQ18" s="1">
        <f>Table1567[[#This Row],[FailureCost_Rating2]]</f>
        <v>502.61073066666671</v>
      </c>
      <c r="JR18" s="1">
        <f>(Table1567[[#This Row],[failurecost500_rating2]]+Table1567[[#This Row],[failurecost100_rating2]]+Table1567[[#This Row],[failurecost50_rating2]]+Table1567[[#This Row],[failurecost10_rating2]])*1000000</f>
        <v>502.61073066666671</v>
      </c>
      <c r="JS18" s="1">
        <f>(Table1567[[#This Row],[failurecost500_rating3]]+Table1567[[#This Row],[failurecost100_rating3]]+Table1567[[#This Row],[failurecost50_rating3]]+Table1567[[#This Row],[failurecost10_rating3]])*1000000</f>
        <v>83.54717994666666</v>
      </c>
      <c r="JT18" s="1">
        <f>(Table1567[[#This Row],[failurecost500_rating4]]+Table1567[[#This Row],[failurecost100_rating4]]+Table1567[[#This Row],[failurecost50_rating4]]+Table1567[[#This Row],[failurecost10_rating4]])*1000000</f>
        <v>25.272784853333338</v>
      </c>
      <c r="JU18" s="1">
        <f>(Table1567[[#This Row],[failurecost500_rating5]]+Table1567[[#This Row],[failurecost100_rating5]]+Table1567[[#This Row],[failurecost50_rating5]]+Table1567[[#This Row],[failurecost10_rating5]])*1000000</f>
        <v>5.898563669333333</v>
      </c>
      <c r="JV18" s="1">
        <f>(Table1567[[#This Row],[failurecost500_rating6]]+Table1567[[#This Row],[failurecost100_rating6]]+Table1567[[#This Row],[failurecost50_rating6]]+Table1567[[#This Row],[failurecost10_rating6]])*1000000</f>
        <v>1.2830798463999999</v>
      </c>
      <c r="JW18" s="1">
        <f>(Table1567[[#This Row],[failurecost500_rating7]]+Table1567[[#This Row],[failurecost100_rating7]]+Table1567[[#This Row],[failurecost50_rating7]]+Table1567[[#This Row],[failurecost10_rating7]])*1000000</f>
        <v>0.91323421439999997</v>
      </c>
      <c r="JX18" s="1">
        <f>(Table1567[[#This Row],[failurecost500_rating8]]+Table1567[[#This Row],[failurecost100_rating8]]+Table1567[[#This Row],[failurecost50_rating8]]+Table1567[[#This Row],[failurecost10_rating8]])*1000000</f>
        <v>0.14547261525333335</v>
      </c>
      <c r="JY18" s="1">
        <f>(Table1567[[#This Row],[failurecost500_rating9]]+Table1567[[#This Row],[failurecost100_rating9]]+Table1567[[#This Row],[failurecost50_rating9]]+Table1567[[#This Row],[failurecost10_rating9]])*1000000</f>
        <v>1.3750670933333332E-2</v>
      </c>
    </row>
    <row r="19" spans="1:285" ht="28.8" x14ac:dyDescent="0.3">
      <c r="A19" s="1">
        <v>18</v>
      </c>
      <c r="B19" s="1" t="s">
        <v>295</v>
      </c>
      <c r="C19" s="1" t="s">
        <v>236</v>
      </c>
      <c r="D19" s="1">
        <v>42.399709999999999</v>
      </c>
      <c r="E19" s="1">
        <v>-71.083600000000004</v>
      </c>
      <c r="F19" s="1">
        <v>10.2044611</v>
      </c>
      <c r="G19" s="1">
        <v>7.9044613840000002</v>
      </c>
      <c r="H19" s="1">
        <v>11.304462429999999</v>
      </c>
      <c r="I19" s="1">
        <v>13.50446129</v>
      </c>
      <c r="J19" s="1">
        <v>1098.9381969999999</v>
      </c>
      <c r="K19" s="1">
        <v>898.49435210000001</v>
      </c>
      <c r="L19" s="1">
        <v>2622.0415600000001</v>
      </c>
      <c r="M19" s="1">
        <v>1129.480452</v>
      </c>
      <c r="N19" s="1">
        <v>2622.0415600000001</v>
      </c>
      <c r="O19" s="1">
        <v>1129.480452</v>
      </c>
      <c r="P19" s="1">
        <v>2622.0415600000001</v>
      </c>
      <c r="Q19" s="1">
        <v>1129.480452</v>
      </c>
      <c r="R19" s="1">
        <v>2622.0415600000001</v>
      </c>
      <c r="S19" s="1">
        <v>1129.480452</v>
      </c>
      <c r="T19" s="1">
        <v>1.2230885970000001</v>
      </c>
      <c r="U19" s="1">
        <v>2.3214581139999999</v>
      </c>
      <c r="V19" s="1">
        <v>2.3214581139999999</v>
      </c>
      <c r="W19" s="1">
        <v>2.3214581139999999</v>
      </c>
      <c r="X19" s="1">
        <v>2.3214581139999999</v>
      </c>
      <c r="Y19" s="1">
        <v>0.17</v>
      </c>
      <c r="Z19" s="1">
        <v>7.6666666670000003</v>
      </c>
      <c r="AA19" s="1">
        <v>14.4575607</v>
      </c>
      <c r="AB19" s="1">
        <v>14.4575607</v>
      </c>
      <c r="AC19" s="1">
        <v>14.4575607</v>
      </c>
      <c r="AD19" s="1">
        <v>14.4575607</v>
      </c>
      <c r="AE19" s="1">
        <v>1.6418156070000001</v>
      </c>
      <c r="AF19" s="1">
        <v>1.444992136</v>
      </c>
      <c r="AG19" s="1">
        <v>1.3728894359999999</v>
      </c>
      <c r="AH19" s="1">
        <v>1.25609327</v>
      </c>
      <c r="AI19" s="1">
        <v>8.5494691889999999</v>
      </c>
      <c r="AJ19" s="1">
        <v>8.8493842590000007</v>
      </c>
      <c r="AK19" s="1">
        <v>8.9725343980000005</v>
      </c>
      <c r="AL19" s="1">
        <v>9.1905356519999994</v>
      </c>
      <c r="AM19" s="1">
        <v>360.24725289999998</v>
      </c>
      <c r="AN19" s="1">
        <v>399.50515130000002</v>
      </c>
      <c r="AO19" s="1">
        <v>416.41716100000002</v>
      </c>
      <c r="AP19" s="1">
        <v>447.5130408</v>
      </c>
      <c r="AQ19" s="1">
        <f>Table1567[[#This Row],[Depth10_Soil_vol]]*(9.353+9.027)+(Table1567[[#This Row],[Depth10_Soil_vol]]/2.5)*20*1.053+(PI()*Table1567[[#This Row],[Depth10_Scour]])*Table1567[[#This Row],[DECK_WIDTH_MT_052]]*1.062</f>
        <v>10223.699035708925</v>
      </c>
      <c r="AR19" s="1">
        <f>Table1567[[#This Row],[Depth50_Soil_vol]]*(9.353+9.027)+(Table1567[[#This Row],[Depth50_Soil_vol]]/2.5)*20*1.053+(PI()*Table1567[[#This Row],[Depth50_Scour]])*Table1567[[#This Row],[DECK_WIDTH_MT_052]]*1.062</f>
        <v>11295.880242844603</v>
      </c>
      <c r="AS19" s="1">
        <f>Table1567[[#This Row],[Depth100_Soil_vol]]*(9.353+9.027)+(Table1567[[#This Row],[Depth100_Soil_vol]]/2.5)*20*1.053+(PI()*Table1567[[#This Row],[Depth100_Scour]])*Table1567[[#This Row],[DECK_WIDTH_MT_052]]*1.062</f>
        <v>11757.366155411924</v>
      </c>
      <c r="AT19" s="1">
        <f>Table1567[[#This Row],[Depth500_Soil_vol]]*(9.353+9.027)+(Table1567[[#This Row],[Depth500_Soil_vol]]/2.5)*20*1.053+(PI()*Table1567[[#This Row],[Depth500_Scour]])*Table1567[[#This Row],[DECK_WIDTH_MT_052]]*1.062</f>
        <v>12605.334047228227</v>
      </c>
      <c r="AU19" s="1">
        <v>1.91</v>
      </c>
      <c r="AV19" s="1">
        <v>31.77</v>
      </c>
      <c r="AW19" s="1" t="s">
        <v>184</v>
      </c>
      <c r="AX19" s="1">
        <v>3</v>
      </c>
      <c r="AY19" s="1">
        <v>3</v>
      </c>
      <c r="AZ19" s="1">
        <v>3</v>
      </c>
      <c r="BA19" s="1">
        <v>3</v>
      </c>
      <c r="BB19" s="1">
        <v>25</v>
      </c>
      <c r="BC19" s="1" t="s">
        <v>296</v>
      </c>
      <c r="BD19" s="1">
        <v>42231099</v>
      </c>
      <c r="BE19" s="1">
        <v>71043698</v>
      </c>
      <c r="BF19" s="1">
        <v>1</v>
      </c>
      <c r="BG19" s="1">
        <v>3</v>
      </c>
      <c r="BH19" s="1">
        <v>1</v>
      </c>
      <c r="BI19" s="1">
        <v>38</v>
      </c>
      <c r="BJ19" s="1">
        <v>0</v>
      </c>
      <c r="BK19" s="1">
        <v>6</v>
      </c>
      <c r="BL19" s="1">
        <v>25</v>
      </c>
      <c r="BM19" s="1">
        <v>7000</v>
      </c>
      <c r="BN19" s="1" t="s">
        <v>297</v>
      </c>
      <c r="BO19" s="1">
        <v>0</v>
      </c>
      <c r="BP19" s="1" t="s">
        <v>298</v>
      </c>
      <c r="BQ19" s="1" t="s">
        <v>299</v>
      </c>
      <c r="BR19" s="1">
        <v>99.99</v>
      </c>
      <c r="BS19" s="1">
        <v>1.6E-2</v>
      </c>
      <c r="BT19" s="1">
        <v>0</v>
      </c>
      <c r="BU19" s="1">
        <v>0</v>
      </c>
      <c r="BV19" s="1">
        <v>0</v>
      </c>
      <c r="BW19" s="1">
        <v>5</v>
      </c>
      <c r="BX19" s="1">
        <v>3</v>
      </c>
      <c r="BY19" s="1">
        <v>1</v>
      </c>
      <c r="BZ19" s="1">
        <v>1</v>
      </c>
      <c r="CA19" s="1">
        <v>14</v>
      </c>
      <c r="CB19" s="1">
        <v>1953</v>
      </c>
      <c r="CC19" s="1">
        <v>4</v>
      </c>
      <c r="CD19" s="1">
        <v>0</v>
      </c>
      <c r="CE19" s="1">
        <v>31293</v>
      </c>
      <c r="CF19" s="1">
        <v>2019</v>
      </c>
      <c r="CG19" s="1">
        <v>5</v>
      </c>
      <c r="CH19" s="1">
        <v>16.2</v>
      </c>
      <c r="CI19" s="1">
        <v>2</v>
      </c>
      <c r="CJ19" s="1">
        <v>37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5</v>
      </c>
      <c r="CQ19" s="1" t="s">
        <v>190</v>
      </c>
      <c r="CR19" s="1">
        <v>0</v>
      </c>
      <c r="CS19" s="1">
        <v>0</v>
      </c>
      <c r="CT19" s="1" t="s">
        <v>189</v>
      </c>
      <c r="CU19" s="1">
        <v>5</v>
      </c>
      <c r="CV19" s="1">
        <v>2</v>
      </c>
      <c r="CW19" s="1">
        <v>4</v>
      </c>
      <c r="CX19" s="1">
        <v>2</v>
      </c>
      <c r="CY19" s="1">
        <v>0</v>
      </c>
      <c r="CZ19" s="1">
        <v>0</v>
      </c>
      <c r="DA19" s="1">
        <v>3</v>
      </c>
      <c r="DB19" s="1">
        <v>0</v>
      </c>
      <c r="DC19" s="1">
        <v>16.2</v>
      </c>
      <c r="DD19" s="1">
        <v>25</v>
      </c>
      <c r="DE19" s="1">
        <v>66.099999999999994</v>
      </c>
      <c r="DF19" s="1">
        <v>0.3</v>
      </c>
      <c r="DG19" s="1">
        <v>2.4</v>
      </c>
      <c r="DH19" s="1">
        <v>16.2</v>
      </c>
      <c r="DI19" s="1">
        <v>19.899999999999999</v>
      </c>
      <c r="DJ19" s="1">
        <v>99.99</v>
      </c>
      <c r="DK19" s="1" t="s">
        <v>300</v>
      </c>
      <c r="DL19" s="1">
        <v>5.62</v>
      </c>
      <c r="DM19" s="1" t="s">
        <v>300</v>
      </c>
      <c r="DN19" s="1">
        <v>2.4</v>
      </c>
      <c r="DO19" s="1">
        <v>2.4</v>
      </c>
      <c r="DP19" s="1">
        <v>5</v>
      </c>
      <c r="DQ19" s="1">
        <v>5</v>
      </c>
      <c r="DR19" s="1">
        <v>5</v>
      </c>
      <c r="DS19" s="1" t="s">
        <v>190</v>
      </c>
      <c r="DT19" s="1" t="s">
        <v>190</v>
      </c>
      <c r="DU19" s="1">
        <v>1</v>
      </c>
      <c r="DV19" s="1">
        <v>63.2</v>
      </c>
      <c r="DW19" s="1">
        <v>1</v>
      </c>
      <c r="DX19" s="1">
        <v>37.9</v>
      </c>
      <c r="DY19" s="1">
        <v>5</v>
      </c>
      <c r="DZ19" s="1">
        <v>4</v>
      </c>
      <c r="EA19" s="1">
        <v>3</v>
      </c>
      <c r="EB19" s="1">
        <v>5</v>
      </c>
      <c r="EC19" s="1" t="s">
        <v>190</v>
      </c>
      <c r="ED19" s="1">
        <v>7</v>
      </c>
      <c r="EE19" s="1">
        <v>35</v>
      </c>
      <c r="EF19" s="1">
        <v>1</v>
      </c>
      <c r="EG19" s="1">
        <v>67</v>
      </c>
      <c r="EH19" s="1">
        <v>1119</v>
      </c>
      <c r="EI19" s="1">
        <v>24</v>
      </c>
      <c r="EJ19" s="1" t="s">
        <v>191</v>
      </c>
      <c r="EK19" s="1" t="s">
        <v>191</v>
      </c>
      <c r="EL19" s="1" t="s">
        <v>301</v>
      </c>
      <c r="EM19" s="1">
        <v>0</v>
      </c>
      <c r="EN19" s="1">
        <v>0</v>
      </c>
      <c r="EO19" s="1">
        <v>1111</v>
      </c>
      <c r="EP19" s="1">
        <v>5903</v>
      </c>
      <c r="EQ19" s="1">
        <v>591</v>
      </c>
      <c r="ER19" s="1">
        <v>8855</v>
      </c>
      <c r="ES19" s="1">
        <v>2020</v>
      </c>
      <c r="ET19" s="1">
        <v>0</v>
      </c>
      <c r="EU19" s="1">
        <v>0</v>
      </c>
      <c r="EV19" s="1" t="s">
        <v>193</v>
      </c>
      <c r="EW19" s="1">
        <v>0</v>
      </c>
      <c r="EX19" s="1" t="s">
        <v>190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6</v>
      </c>
      <c r="FF19" s="1">
        <v>1</v>
      </c>
      <c r="FG19" s="1">
        <v>0</v>
      </c>
      <c r="FH19" s="1">
        <v>12</v>
      </c>
      <c r="FI19" s="1">
        <v>1</v>
      </c>
      <c r="FJ19" s="1">
        <v>0</v>
      </c>
      <c r="FK19" s="1" t="s">
        <v>194</v>
      </c>
      <c r="FL19" s="1" t="s">
        <v>190</v>
      </c>
      <c r="FM19" s="1">
        <v>56855</v>
      </c>
      <c r="FN19" s="1">
        <v>2032</v>
      </c>
      <c r="FO19" s="1">
        <v>0</v>
      </c>
      <c r="FP19" s="1" t="s">
        <v>190</v>
      </c>
      <c r="FQ19" s="1">
        <v>25</v>
      </c>
      <c r="FR19" s="1" t="s">
        <v>206</v>
      </c>
      <c r="FS19" s="1">
        <v>5</v>
      </c>
      <c r="FT19" s="1">
        <v>1315.39</v>
      </c>
      <c r="FU19" s="1">
        <v>183</v>
      </c>
      <c r="FV19" s="1">
        <v>60</v>
      </c>
      <c r="FW19" s="1">
        <v>80</v>
      </c>
      <c r="FX19" s="1">
        <v>2</v>
      </c>
      <c r="FY19" s="1">
        <v>5</v>
      </c>
      <c r="FZ19" s="1">
        <v>194677.72</v>
      </c>
      <c r="GA19" s="1">
        <v>15805468.439999999</v>
      </c>
      <c r="GB19" s="1">
        <v>11059813.550000001</v>
      </c>
      <c r="GC19" s="1">
        <v>2500000</v>
      </c>
      <c r="GD19" s="1"/>
      <c r="GE19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0.79200000000000004</v>
      </c>
      <c r="GF19" s="1">
        <v>29.559959710000001</v>
      </c>
      <c r="GG19" s="1">
        <v>0</v>
      </c>
      <c r="GH19" s="1">
        <v>0.25</v>
      </c>
      <c r="GI19" s="1">
        <v>0.5</v>
      </c>
      <c r="GJ19" s="1">
        <v>0.75</v>
      </c>
      <c r="GK19" s="1">
        <v>9</v>
      </c>
      <c r="GL19" s="1">
        <v>13137.759871111111</v>
      </c>
      <c r="GM19" s="1">
        <v>7389.9899274999998</v>
      </c>
      <c r="GN19" s="1">
        <v>4729.5935536000006</v>
      </c>
      <c r="GO19" s="1">
        <v>3284.4399677777778</v>
      </c>
      <c r="GP19" s="1">
        <v>2413.0579355102041</v>
      </c>
      <c r="GQ19" s="1">
        <v>1847.4974818749999</v>
      </c>
      <c r="GR19" s="1">
        <v>1459.7510967901235</v>
      </c>
      <c r="GS19" s="1">
        <v>0</v>
      </c>
      <c r="GT19" s="1">
        <v>0</v>
      </c>
      <c r="GU19" s="1">
        <v>0</v>
      </c>
      <c r="GV19" s="1">
        <v>0.01</v>
      </c>
      <c r="GW19" s="1">
        <v>5.0000000000000001E-3</v>
      </c>
      <c r="GX19" s="1">
        <v>1.1000000000000001E-3</v>
      </c>
      <c r="GY19" s="1">
        <v>4.0000000000000002E-4</v>
      </c>
      <c r="GZ19" s="1">
        <v>6.9999999999999994E-5</v>
      </c>
      <c r="HA19" s="1">
        <v>1.8E-5</v>
      </c>
      <c r="HB19" s="1">
        <v>1.8E-5</v>
      </c>
      <c r="HC19" s="1">
        <v>3.9999999999999998E-7</v>
      </c>
      <c r="HD19" s="1">
        <v>2.4999999999999999E-7</v>
      </c>
      <c r="HE19" s="1">
        <v>1</v>
      </c>
      <c r="HF19" s="1">
        <v>0.01</v>
      </c>
      <c r="HG19" s="1">
        <v>1.25E-3</v>
      </c>
      <c r="HH19" s="1">
        <v>2.7500000000000002E-4</v>
      </c>
      <c r="HI19" s="1">
        <v>1E-4</v>
      </c>
      <c r="HJ19" s="1">
        <v>1.7499999999999998E-5</v>
      </c>
      <c r="HK19" s="1">
        <v>4.5000000000000001E-6</v>
      </c>
      <c r="HL19" s="1">
        <v>4.5000000000000001E-6</v>
      </c>
      <c r="HM19" s="1">
        <v>9.9999999999999995E-8</v>
      </c>
      <c r="HN19" s="1">
        <v>0.01</v>
      </c>
      <c r="HO19" s="1">
        <v>8.3333333333333339E-4</v>
      </c>
      <c r="HP19" s="1">
        <v>1.8333333333333334E-4</v>
      </c>
      <c r="HQ19" s="1">
        <v>6.666666666666667E-5</v>
      </c>
      <c r="HR19" s="1">
        <v>1.1666666666666666E-5</v>
      </c>
      <c r="HS19" s="1">
        <v>3.0000000000000001E-6</v>
      </c>
      <c r="HT19" s="1">
        <v>3.0000000000000001E-6</v>
      </c>
      <c r="HU19" s="1">
        <v>6.6666666666666668E-8</v>
      </c>
      <c r="HV19" s="1">
        <v>4.1666666666666663E-8</v>
      </c>
      <c r="HW19" s="1">
        <v>0.01</v>
      </c>
      <c r="HX19" s="1">
        <v>5.0000000000000001E-4</v>
      </c>
      <c r="HY19" s="1">
        <v>1.1E-4</v>
      </c>
      <c r="HZ19" s="1">
        <v>4.0000000000000003E-5</v>
      </c>
      <c r="IA19" s="1">
        <v>6.999999999999999E-6</v>
      </c>
      <c r="IB19" s="1">
        <v>1.8000000000000001E-6</v>
      </c>
      <c r="IC19" s="1">
        <v>1.8000000000000001E-6</v>
      </c>
      <c r="ID19" s="1">
        <v>4.0000000000000001E-8</v>
      </c>
      <c r="IE19" s="1">
        <v>2.4999999999999999E-8</v>
      </c>
      <c r="IF19" s="1">
        <f>Table1567[[#This Row],[Total_Cost_MUSD]]*Table1567[[#This Row],[prob500-failure_rating1]]/500</f>
        <v>5.9119919419999998E-4</v>
      </c>
      <c r="IG19" s="1">
        <f>Table1567[[#This Row],[Total_Cost_MUSD]]*Table1567[[#This Row],[prob500-failure_rating2]]/500</f>
        <v>2.9559959709999999E-4</v>
      </c>
      <c r="IH19" s="1">
        <f>Table1567[[#This Row],[Total_Cost_MUSD]]*Table1567[[#This Row],[prob500-failure_rating3]]/500</f>
        <v>6.5031911362000008E-5</v>
      </c>
      <c r="II19" s="1">
        <f>Table1567[[#This Row],[Total_Cost_MUSD]]*Table1567[[#This Row],[prob500-failure_rating4]]/500</f>
        <v>2.3647967768000004E-5</v>
      </c>
      <c r="IJ19" s="1">
        <f>Table1567[[#This Row],[Total_Cost_MUSD]]*Table1567[[#This Row],[prob500-failure_rating5]]/500</f>
        <v>4.1383943593999991E-6</v>
      </c>
      <c r="IK19" s="1">
        <f>Table1567[[#This Row],[Total_Cost_MUSD]]*Table1567[[#This Row],[prob500-failure_rating6]]/500</f>
        <v>1.0641585495600002E-6</v>
      </c>
      <c r="IL19" s="1">
        <f>Table1567[[#This Row],[Total_Cost_MUSD]]*Table1567[[#This Row],[prob500-failure_rating7]]/500</f>
        <v>1.0641585495600002E-6</v>
      </c>
      <c r="IM19" s="1">
        <f>Table1567[[#This Row],[Total_Cost_MUSD]]*Table1567[[#This Row],[prob500-failure_rating8]]/500</f>
        <v>2.3647967767999999E-8</v>
      </c>
      <c r="IN19" s="1">
        <f>Table1567[[#This Row],[Total_Cost_MUSD]]*Table1567[[#This Row],[prob500-failure_rating9]]/500</f>
        <v>1.4779979855000001E-8</v>
      </c>
      <c r="IO19" s="1">
        <f>Table1567[[#This Row],[Total_Cost_MUSD]]*Table1567[[#This Row],[prob100-failure_rating1]]/100</f>
        <v>0.2955995971</v>
      </c>
      <c r="IP19" s="1">
        <f>Table1567[[#This Row],[Total_Cost_MUSD]]*Table1567[[#This Row],[prob100-failure_rating2]]/100</f>
        <v>2.9559959709999999E-3</v>
      </c>
      <c r="IQ19" s="1">
        <f>Table1567[[#This Row],[Total_Cost_MUSD]]*Table1567[[#This Row],[prob100-failure_rating3]]/100</f>
        <v>3.6949949637499999E-4</v>
      </c>
      <c r="IR19" s="1">
        <f>Table1567[[#This Row],[Total_Cost_MUSD]]*Table1567[[#This Row],[prob100-failure_rating4]]/100</f>
        <v>8.1289889202500017E-5</v>
      </c>
      <c r="IS19" s="1">
        <f>Table1567[[#This Row],[Total_Cost_MUSD]]*Table1567[[#This Row],[prob100-failure_rating5]]/100</f>
        <v>2.9559959710000004E-5</v>
      </c>
      <c r="IT19" s="1">
        <f>Table1567[[#This Row],[Total_Cost_MUSD]]*Table1567[[#This Row],[prob100-failure_rating6]]/100</f>
        <v>5.1729929492499992E-6</v>
      </c>
      <c r="IU19" s="1">
        <f>Table1567[[#This Row],[Total_Cost_MUSD]]*Table1567[[#This Row],[prob100-failure_rating7]]/100</f>
        <v>1.3301981869500001E-6</v>
      </c>
      <c r="IV19" s="1">
        <f>Table1567[[#This Row],[Total_Cost_MUSD]]*Table1567[[#This Row],[prob100-failure_rating8]]/100</f>
        <v>1.3301981869500001E-6</v>
      </c>
      <c r="IW19" s="1">
        <f>Table1567[[#This Row],[Total_Cost_MUSD]]*Table1567[[#This Row],[prob100-failure_rating9]]/100</f>
        <v>2.9559959710000002E-8</v>
      </c>
      <c r="IX19" s="1">
        <f>Table1567[[#This Row],[Total_Cost_MUSD]]*Table1567[[#This Row],[prob50-failure_rating1]]/50</f>
        <v>5.9119919419999998E-3</v>
      </c>
      <c r="IY19" s="1">
        <f>Table1567[[#This Row],[Total_Cost_MUSD]]*Table1567[[#This Row],[prob50-failure_rating2]]/50</f>
        <v>4.9266599516666672E-4</v>
      </c>
      <c r="IZ19" s="1">
        <f>Table1567[[#This Row],[Total_Cost_MUSD]]*Table1567[[#This Row],[prob50-failure_rating3]]/50</f>
        <v>1.0838651893666668E-4</v>
      </c>
      <c r="JA19" s="1">
        <f>Table1567[[#This Row],[Total_Cost_MUSD]]*Table1567[[#This Row],[prob50-failure_rating4]]/50</f>
        <v>3.9413279613333339E-5</v>
      </c>
      <c r="JB19" s="1">
        <f>Table1567[[#This Row],[Total_Cost_MUSD]]*Table1567[[#This Row],[prob50-failure_rating5]]/50</f>
        <v>6.8973239323333337E-6</v>
      </c>
      <c r="JC19" s="1">
        <f>Table1567[[#This Row],[Total_Cost_MUSD]]*Table1567[[#This Row],[prob50-failure_rating6]]/50</f>
        <v>1.7735975826000002E-6</v>
      </c>
      <c r="JD19" s="1">
        <f>Table1567[[#This Row],[Total_Cost_MUSD]]*Table1567[[#This Row],[prob50-failure_rating7]]/50</f>
        <v>1.7735975826000002E-6</v>
      </c>
      <c r="JE19" s="1">
        <f>Table1567[[#This Row],[Total_Cost_MUSD]]*Table1567[[#This Row],[prob50-failure_rating8]]/50</f>
        <v>3.9413279613333338E-8</v>
      </c>
      <c r="JF19" s="1">
        <f>Table1567[[#This Row],[Total_Cost_MUSD]]*Table1567[[#This Row],[prob50-failure_rating9]]/50</f>
        <v>2.4633299758333334E-8</v>
      </c>
      <c r="JG19" s="1">
        <f>Table1567[[#This Row],[Total_Cost_MUSD]]*Table1567[[#This Row],[prob10-failure_rating1]]/10</f>
        <v>2.955995971E-2</v>
      </c>
      <c r="JH19" s="1">
        <f>Table1567[[#This Row],[Total_Cost_MUSD]]*Table1567[[#This Row],[prob10-failure_rating2]]/10</f>
        <v>1.4779979855E-3</v>
      </c>
      <c r="JI19" s="1">
        <f>Table1567[[#This Row],[Total_Cost_MUSD]]*Table1567[[#This Row],[prob10-failure_rating3]]/10</f>
        <v>3.2515955681000001E-4</v>
      </c>
      <c r="JJ19" s="1">
        <f>Table1567[[#This Row],[Total_Cost_MUSD]]*Table1567[[#This Row],[prob10-failure_rating4]]/10</f>
        <v>1.1823983884000002E-4</v>
      </c>
      <c r="JK19" s="1">
        <f>Table1567[[#This Row],[Total_Cost_MUSD]]*Table1567[[#This Row],[prob10-failure_rating5]]/10</f>
        <v>2.0691971796999997E-5</v>
      </c>
      <c r="JL19" s="1">
        <f>Table1567[[#This Row],[Total_Cost_MUSD]]*Table1567[[#This Row],[prob10-failure_rating6]]/10</f>
        <v>5.3207927478000006E-6</v>
      </c>
      <c r="JM19" s="1">
        <f>Table1567[[#This Row],[Total_Cost_MUSD]]*Table1567[[#This Row],[prob10-failure_rating7]]/10</f>
        <v>5.3207927478000006E-6</v>
      </c>
      <c r="JN19" s="1">
        <f>Table1567[[#This Row],[Total_Cost_MUSD]]*Table1567[[#This Row],[prob10-failure_rating8]]/10</f>
        <v>1.1823983884000001E-7</v>
      </c>
      <c r="JO19" s="1">
        <f>Table1567[[#This Row],[Total_Cost_MUSD]]*Table1567[[#This Row],[prob10-failure_rating9]]/10</f>
        <v>7.3899899275000004E-8</v>
      </c>
      <c r="JP19" s="1">
        <f>Table1567[[#This Row],[FailureCost_Rating1]]</f>
        <v>5222.2595487666667</v>
      </c>
      <c r="JQ19" s="1">
        <f>Table1567[[#This Row],[FailureCost_Rating2]]</f>
        <v>5222.2595487666667</v>
      </c>
      <c r="JR19" s="1">
        <f>(Table1567[[#This Row],[failurecost500_rating2]]+Table1567[[#This Row],[failurecost100_rating2]]+Table1567[[#This Row],[failurecost50_rating2]]+Table1567[[#This Row],[failurecost10_rating2]])*1000000</f>
        <v>5222.2595487666667</v>
      </c>
      <c r="JS19" s="1">
        <f>(Table1567[[#This Row],[failurecost500_rating3]]+Table1567[[#This Row],[failurecost100_rating3]]+Table1567[[#This Row],[failurecost50_rating3]]+Table1567[[#This Row],[failurecost10_rating3]])*1000000</f>
        <v>868.0774834836667</v>
      </c>
      <c r="JT19" s="1">
        <f>(Table1567[[#This Row],[failurecost500_rating4]]+Table1567[[#This Row],[failurecost100_rating4]]+Table1567[[#This Row],[failurecost50_rating4]]+Table1567[[#This Row],[failurecost10_rating4]])*1000000</f>
        <v>262.59097542383336</v>
      </c>
      <c r="JU19" s="1">
        <f>(Table1567[[#This Row],[failurecost500_rating5]]+Table1567[[#This Row],[failurecost100_rating5]]+Table1567[[#This Row],[failurecost50_rating5]]+Table1567[[#This Row],[failurecost10_rating5]])*1000000</f>
        <v>61.287649798733334</v>
      </c>
      <c r="JV19" s="1">
        <f>(Table1567[[#This Row],[failurecost500_rating6]]+Table1567[[#This Row],[failurecost100_rating6]]+Table1567[[#This Row],[failurecost50_rating6]]+Table1567[[#This Row],[failurecost10_rating6]])*1000000</f>
        <v>13.33154182921</v>
      </c>
      <c r="JW19" s="1">
        <f>(Table1567[[#This Row],[failurecost500_rating7]]+Table1567[[#This Row],[failurecost100_rating7]]+Table1567[[#This Row],[failurecost50_rating7]]+Table1567[[#This Row],[failurecost10_rating7]])*1000000</f>
        <v>9.4887470669100011</v>
      </c>
      <c r="JX19" s="1">
        <f>(Table1567[[#This Row],[failurecost500_rating8]]+Table1567[[#This Row],[failurecost100_rating8]]+Table1567[[#This Row],[failurecost50_rating8]]+Table1567[[#This Row],[failurecost10_rating8]])*1000000</f>
        <v>1.5114992731713337</v>
      </c>
      <c r="JY19" s="1">
        <f>(Table1567[[#This Row],[failurecost500_rating9]]+Table1567[[#This Row],[failurecost100_rating9]]+Table1567[[#This Row],[failurecost50_rating9]]+Table1567[[#This Row],[failurecost10_rating9]])*1000000</f>
        <v>0.14287313859833334</v>
      </c>
    </row>
    <row r="20" spans="1:285" ht="28.8" x14ac:dyDescent="0.3">
      <c r="A20" s="1">
        <v>19</v>
      </c>
      <c r="B20" s="1" t="s">
        <v>302</v>
      </c>
      <c r="C20" s="1" t="s">
        <v>303</v>
      </c>
      <c r="D20" s="1">
        <v>42.430929999999996</v>
      </c>
      <c r="E20" s="1">
        <v>-70.997399999999999</v>
      </c>
      <c r="F20" s="1">
        <v>13.61944866</v>
      </c>
      <c r="G20" s="1">
        <v>11.319448469999999</v>
      </c>
      <c r="H20" s="1">
        <v>14.719449040000001</v>
      </c>
      <c r="I20" s="1">
        <v>16.919446950000001</v>
      </c>
      <c r="J20" s="1">
        <v>819.2448048</v>
      </c>
      <c r="K20" s="1">
        <v>733.09787319999998</v>
      </c>
      <c r="L20" s="1">
        <v>1502.880725</v>
      </c>
      <c r="M20" s="1">
        <v>776.77945420000003</v>
      </c>
      <c r="N20" s="1">
        <v>1502.880725</v>
      </c>
      <c r="O20" s="1">
        <v>776.77945420000003</v>
      </c>
      <c r="P20" s="1">
        <v>1502.880725</v>
      </c>
      <c r="Q20" s="1">
        <v>776.77945420000003</v>
      </c>
      <c r="R20" s="1">
        <v>1502.880725</v>
      </c>
      <c r="S20" s="1">
        <v>776.77945420000003</v>
      </c>
      <c r="T20" s="1">
        <v>1.117510819</v>
      </c>
      <c r="U20" s="1">
        <v>1.9347585940000001</v>
      </c>
      <c r="V20" s="1">
        <v>1.9347585940000001</v>
      </c>
      <c r="W20" s="1">
        <v>1.9347585940000001</v>
      </c>
      <c r="X20" s="1">
        <v>1.9347585940000001</v>
      </c>
      <c r="Y20" s="1">
        <v>7.4906367000000001E-2</v>
      </c>
      <c r="Z20" s="1">
        <v>12.233333330000001</v>
      </c>
      <c r="AA20" s="1">
        <v>8.4991185250000001</v>
      </c>
      <c r="AB20" s="1">
        <v>8.4991185250000001</v>
      </c>
      <c r="AC20" s="1">
        <v>8.4991185250000001</v>
      </c>
      <c r="AD20" s="1">
        <v>8.4991185250000001</v>
      </c>
      <c r="AE20" s="1">
        <v>0.80654155599999999</v>
      </c>
      <c r="AF20" s="1">
        <v>0.73529162400000003</v>
      </c>
      <c r="AG20" s="1">
        <v>0.70728362700000003</v>
      </c>
      <c r="AH20" s="1">
        <v>0.65969972099999996</v>
      </c>
      <c r="AI20" s="1">
        <v>9.7630168249999993</v>
      </c>
      <c r="AJ20" s="1">
        <v>10.009886720000001</v>
      </c>
      <c r="AK20" s="1">
        <v>10.11539827</v>
      </c>
      <c r="AL20" s="1">
        <v>10.307414919999999</v>
      </c>
      <c r="AM20" s="1">
        <v>484.3960419</v>
      </c>
      <c r="AN20" s="1">
        <v>522.0786832</v>
      </c>
      <c r="AO20" s="1">
        <v>538.76259019999998</v>
      </c>
      <c r="AP20" s="1">
        <v>570.03004729999998</v>
      </c>
      <c r="AQ20" s="1">
        <f>Table1567[[#This Row],[Depth10_Soil_vol]]*(9.353+9.027)+(Table1567[[#This Row],[Depth10_Soil_vol]]/2.5)*20*1.053+(PI()*Table1567[[#This Row],[Depth10_Scour]])*Table1567[[#This Row],[DECK_WIDTH_MT_052]]*1.062</f>
        <v>13853.451944603266</v>
      </c>
      <c r="AR20" s="1">
        <f>Table1567[[#This Row],[Depth50_Soil_vol]]*(9.353+9.027)+(Table1567[[#This Row],[Depth50_Soil_vol]]/2.5)*20*1.053+(PI()*Table1567[[#This Row],[Depth50_Scour]])*Table1567[[#This Row],[DECK_WIDTH_MT_052]]*1.062</f>
        <v>14885.488907843239</v>
      </c>
      <c r="AS20" s="1">
        <f>Table1567[[#This Row],[Depth100_Soil_vol]]*(9.353+9.027)+(Table1567[[#This Row],[Depth100_Soil_vol]]/2.5)*20*1.053+(PI()*Table1567[[#This Row],[Depth100_Scour]])*Table1567[[#This Row],[DECK_WIDTH_MT_052]]*1.062</f>
        <v>15342.083437730904</v>
      </c>
      <c r="AT20" s="1">
        <f>Table1567[[#This Row],[Depth500_Soil_vol]]*(9.353+9.027)+(Table1567[[#This Row],[Depth500_Soil_vol]]/2.5)*20*1.053+(PI()*Table1567[[#This Row],[Depth500_Scour]])*Table1567[[#This Row],[DECK_WIDTH_MT_052]]*1.062</f>
        <v>16197.281415375173</v>
      </c>
      <c r="AU20" s="1">
        <v>3.09</v>
      </c>
      <c r="AV20" s="1">
        <v>27.48</v>
      </c>
      <c r="AW20" s="1" t="s">
        <v>184</v>
      </c>
      <c r="AX20" s="1">
        <v>5</v>
      </c>
      <c r="AY20" s="1">
        <v>5</v>
      </c>
      <c r="AZ20" s="1">
        <v>5</v>
      </c>
      <c r="BA20" s="1">
        <v>5</v>
      </c>
      <c r="BB20" s="1">
        <v>25</v>
      </c>
      <c r="BC20" s="1" t="s">
        <v>304</v>
      </c>
      <c r="BD20" s="1">
        <v>42255136</v>
      </c>
      <c r="BE20" s="1">
        <v>70595056</v>
      </c>
      <c r="BF20" s="1">
        <v>1</v>
      </c>
      <c r="BG20" s="1">
        <v>3</v>
      </c>
      <c r="BH20" s="1">
        <v>1</v>
      </c>
      <c r="BI20" s="1">
        <v>107</v>
      </c>
      <c r="BJ20" s="1">
        <v>0</v>
      </c>
      <c r="BK20" s="1">
        <v>4</v>
      </c>
      <c r="BL20" s="1">
        <v>25</v>
      </c>
      <c r="BM20" s="1">
        <v>56585</v>
      </c>
      <c r="BN20" s="1" t="s">
        <v>305</v>
      </c>
      <c r="BO20" s="1">
        <v>0</v>
      </c>
      <c r="BP20" s="1" t="s">
        <v>306</v>
      </c>
      <c r="BQ20" s="1" t="s">
        <v>307</v>
      </c>
      <c r="BR20" s="1">
        <v>4.42</v>
      </c>
      <c r="BS20" s="1">
        <v>0.33800000000000002</v>
      </c>
      <c r="BT20" s="1">
        <v>0</v>
      </c>
      <c r="BU20" s="1">
        <v>0</v>
      </c>
      <c r="BV20" s="1">
        <v>0</v>
      </c>
      <c r="BW20" s="1">
        <v>6</v>
      </c>
      <c r="BX20" s="1">
        <v>3</v>
      </c>
      <c r="BY20" s="1">
        <v>1</v>
      </c>
      <c r="BZ20" s="1">
        <v>1</v>
      </c>
      <c r="CA20" s="1">
        <v>14</v>
      </c>
      <c r="CB20" s="1">
        <v>2011</v>
      </c>
      <c r="CC20" s="1">
        <v>4</v>
      </c>
      <c r="CD20" s="1">
        <v>0</v>
      </c>
      <c r="CE20" s="1">
        <v>35302</v>
      </c>
      <c r="CF20" s="1">
        <v>2019</v>
      </c>
      <c r="CG20" s="1">
        <v>9</v>
      </c>
      <c r="CH20" s="1">
        <v>21.3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1</v>
      </c>
      <c r="CO20" s="1">
        <v>1</v>
      </c>
      <c r="CP20" s="1">
        <v>5</v>
      </c>
      <c r="CQ20" s="1">
        <v>0</v>
      </c>
      <c r="CR20" s="1">
        <v>0</v>
      </c>
      <c r="CS20" s="1">
        <v>0</v>
      </c>
      <c r="CT20" s="1" t="s">
        <v>189</v>
      </c>
      <c r="CU20" s="1">
        <v>1</v>
      </c>
      <c r="CV20" s="1">
        <v>5</v>
      </c>
      <c r="CW20" s="1">
        <v>5</v>
      </c>
      <c r="CX20" s="1">
        <v>6</v>
      </c>
      <c r="CY20" s="1">
        <v>0</v>
      </c>
      <c r="CZ20" s="1">
        <v>0</v>
      </c>
      <c r="DA20" s="1">
        <v>3</v>
      </c>
      <c r="DB20" s="1">
        <v>0</v>
      </c>
      <c r="DC20" s="1">
        <v>0</v>
      </c>
      <c r="DD20" s="1">
        <v>17.8</v>
      </c>
      <c r="DE20" s="1">
        <v>46.4</v>
      </c>
      <c r="DF20" s="1">
        <v>0</v>
      </c>
      <c r="DG20" s="1">
        <v>1.8</v>
      </c>
      <c r="DH20" s="1">
        <v>21.3</v>
      </c>
      <c r="DI20" s="1">
        <v>26.7</v>
      </c>
      <c r="DJ20" s="1">
        <v>0</v>
      </c>
      <c r="DK20" s="1" t="s">
        <v>190</v>
      </c>
      <c r="DL20" s="1">
        <v>4.42</v>
      </c>
      <c r="DM20" s="1" t="s">
        <v>190</v>
      </c>
      <c r="DN20" s="1">
        <v>0</v>
      </c>
      <c r="DO20" s="1">
        <v>0.6</v>
      </c>
      <c r="DP20" s="1">
        <v>7</v>
      </c>
      <c r="DQ20" s="1">
        <v>7</v>
      </c>
      <c r="DR20" s="1">
        <v>7</v>
      </c>
      <c r="DS20" s="1">
        <v>7</v>
      </c>
      <c r="DT20" s="1" t="s">
        <v>190</v>
      </c>
      <c r="DU20" s="1">
        <v>1</v>
      </c>
      <c r="DV20" s="1">
        <v>61.6</v>
      </c>
      <c r="DW20" s="1">
        <v>1</v>
      </c>
      <c r="DX20" s="1">
        <v>36.9</v>
      </c>
      <c r="DY20" s="1">
        <v>7</v>
      </c>
      <c r="DZ20" s="1">
        <v>2</v>
      </c>
      <c r="EA20" s="1" t="s">
        <v>190</v>
      </c>
      <c r="EB20" s="1">
        <v>5</v>
      </c>
      <c r="EC20" s="1">
        <v>8</v>
      </c>
      <c r="ED20" s="1">
        <v>8</v>
      </c>
      <c r="EE20" s="1">
        <v>31</v>
      </c>
      <c r="EF20" s="1">
        <v>1</v>
      </c>
      <c r="EG20" s="1">
        <v>57</v>
      </c>
      <c r="EH20" s="1">
        <v>719</v>
      </c>
      <c r="EI20" s="1">
        <v>24</v>
      </c>
      <c r="EJ20" s="1" t="s">
        <v>191</v>
      </c>
      <c r="EK20" s="1" t="s">
        <v>191</v>
      </c>
      <c r="EL20" s="1" t="s">
        <v>191</v>
      </c>
      <c r="EM20" s="1">
        <v>0</v>
      </c>
      <c r="EN20" s="1">
        <v>0</v>
      </c>
      <c r="EO20" s="1">
        <v>0</v>
      </c>
      <c r="EP20" s="1">
        <v>9274</v>
      </c>
      <c r="EQ20" s="1">
        <v>928</v>
      </c>
      <c r="ER20" s="1">
        <v>13912</v>
      </c>
      <c r="ES20" s="1">
        <v>2020</v>
      </c>
      <c r="ET20" s="1">
        <v>0</v>
      </c>
      <c r="EU20" s="1">
        <v>0</v>
      </c>
      <c r="EV20" s="1" t="s">
        <v>193</v>
      </c>
      <c r="EW20" s="1">
        <v>0</v>
      </c>
      <c r="EX20" s="1" t="s">
        <v>190</v>
      </c>
      <c r="EY20" s="1">
        <v>2</v>
      </c>
      <c r="EZ20" s="1">
        <v>0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 s="1">
        <v>9</v>
      </c>
      <c r="FG20" s="1">
        <v>9</v>
      </c>
      <c r="FH20" s="1">
        <v>10</v>
      </c>
      <c r="FI20" s="1">
        <v>1</v>
      </c>
      <c r="FJ20" s="1">
        <v>1</v>
      </c>
      <c r="FK20" s="1" t="s">
        <v>194</v>
      </c>
      <c r="FL20" s="1">
        <v>7</v>
      </c>
      <c r="FM20" s="1">
        <v>59066</v>
      </c>
      <c r="FN20" s="1">
        <v>2032</v>
      </c>
      <c r="FO20" s="1">
        <v>0</v>
      </c>
      <c r="FP20" s="1" t="s">
        <v>190</v>
      </c>
      <c r="FQ20" s="1">
        <v>25</v>
      </c>
      <c r="FR20" s="1" t="s">
        <v>195</v>
      </c>
      <c r="FS20" s="1">
        <v>7</v>
      </c>
      <c r="FT20" s="1">
        <v>1238.8800000000001</v>
      </c>
      <c r="FU20" s="1">
        <v>183</v>
      </c>
      <c r="FV20" s="1">
        <v>65</v>
      </c>
      <c r="FW20" s="1">
        <v>110</v>
      </c>
      <c r="FX20" s="1">
        <v>2</v>
      </c>
      <c r="FY20" s="1">
        <v>5</v>
      </c>
      <c r="FZ20" s="1">
        <v>247776</v>
      </c>
      <c r="GA20" s="1">
        <v>20737453.859999999</v>
      </c>
      <c r="GB20" s="1">
        <v>14827579.91</v>
      </c>
      <c r="GC20" s="1">
        <v>2500000</v>
      </c>
      <c r="GD20" s="1"/>
      <c r="GE20" s="1">
        <f>MAX(0,(Table1567[[#This Row],[Current_rating]]-Table1567[[#This Row],[Depth10_Rating]])/10+(Table1567[[#This Row],[Current_rating]]-Table1567[[#This Row],[Depth50_Rating]])/50+(Table1567[[#This Row],[Current_rating]]-Table1567[[#This Row],[Depth100_Rating]])/100+(Table1567[[#This Row],[Current_rating]]-Table1567[[#This Row],[Depth500_Rating]])/500)</f>
        <v>0.26400000000000001</v>
      </c>
      <c r="GF20" s="1">
        <v>38.312809770000001</v>
      </c>
      <c r="GG20" s="1">
        <v>0</v>
      </c>
      <c r="GH20" s="1">
        <v>0</v>
      </c>
      <c r="GI20" s="1">
        <v>0</v>
      </c>
      <c r="GJ20" s="1">
        <v>0</v>
      </c>
      <c r="GK20" s="1">
        <v>7</v>
      </c>
      <c r="GL20" s="1">
        <v>17027.915453333335</v>
      </c>
      <c r="GM20" s="1">
        <v>9578.2024425000018</v>
      </c>
      <c r="GN20" s="1">
        <v>6130.0495632000011</v>
      </c>
      <c r="GO20" s="1">
        <v>4256.9788633333337</v>
      </c>
      <c r="GP20" s="1">
        <v>3127.5763077551023</v>
      </c>
      <c r="GQ20" s="1">
        <v>2394.5506106250004</v>
      </c>
      <c r="GR20" s="1">
        <v>1891.9906059259258</v>
      </c>
      <c r="GS20" s="1">
        <v>0</v>
      </c>
      <c r="GT20" s="1">
        <v>0</v>
      </c>
      <c r="GU20" s="1">
        <v>0</v>
      </c>
      <c r="GV20" s="1">
        <v>0.01</v>
      </c>
      <c r="GW20" s="1">
        <v>5.0000000000000001E-3</v>
      </c>
      <c r="GX20" s="1">
        <v>1.1000000000000001E-3</v>
      </c>
      <c r="GY20" s="1">
        <v>4.0000000000000002E-4</v>
      </c>
      <c r="GZ20" s="1">
        <v>6.9999999999999994E-5</v>
      </c>
      <c r="HA20" s="1">
        <v>1.8E-5</v>
      </c>
      <c r="HB20" s="1">
        <v>1.8E-5</v>
      </c>
      <c r="HC20" s="1">
        <v>3.9999999999999998E-7</v>
      </c>
      <c r="HD20" s="1">
        <v>2.4999999999999999E-7</v>
      </c>
      <c r="HE20" s="1">
        <v>1</v>
      </c>
      <c r="HF20" s="1">
        <v>0.01</v>
      </c>
      <c r="HG20" s="1">
        <v>1.25E-3</v>
      </c>
      <c r="HH20" s="1">
        <v>2.7500000000000002E-4</v>
      </c>
      <c r="HI20" s="1">
        <v>1E-4</v>
      </c>
      <c r="HJ20" s="1">
        <v>1.7499999999999998E-5</v>
      </c>
      <c r="HK20" s="1">
        <v>4.5000000000000001E-6</v>
      </c>
      <c r="HL20" s="1">
        <v>4.5000000000000001E-6</v>
      </c>
      <c r="HM20" s="1">
        <v>9.9999999999999995E-8</v>
      </c>
      <c r="HN20" s="1">
        <v>0.01</v>
      </c>
      <c r="HO20" s="1">
        <v>8.3333333333333339E-4</v>
      </c>
      <c r="HP20" s="1">
        <v>1.8333333333333334E-4</v>
      </c>
      <c r="HQ20" s="1">
        <v>6.666666666666667E-5</v>
      </c>
      <c r="HR20" s="1">
        <v>1.1666666666666666E-5</v>
      </c>
      <c r="HS20" s="1">
        <v>3.0000000000000001E-6</v>
      </c>
      <c r="HT20" s="1">
        <v>3.0000000000000001E-6</v>
      </c>
      <c r="HU20" s="1">
        <v>6.6666666666666668E-8</v>
      </c>
      <c r="HV20" s="1">
        <v>4.1666666666666663E-8</v>
      </c>
      <c r="HW20" s="1">
        <v>0.01</v>
      </c>
      <c r="HX20" s="1">
        <v>5.0000000000000001E-4</v>
      </c>
      <c r="HY20" s="1">
        <v>1.1E-4</v>
      </c>
      <c r="HZ20" s="1">
        <v>4.0000000000000003E-5</v>
      </c>
      <c r="IA20" s="1">
        <v>6.999999999999999E-6</v>
      </c>
      <c r="IB20" s="1">
        <v>1.8000000000000001E-6</v>
      </c>
      <c r="IC20" s="1">
        <v>1.8000000000000001E-6</v>
      </c>
      <c r="ID20" s="1">
        <v>4.0000000000000001E-8</v>
      </c>
      <c r="IE20" s="1">
        <v>2.4999999999999999E-8</v>
      </c>
      <c r="IF20" s="1">
        <f>Table1567[[#This Row],[Total_Cost_MUSD]]*Table1567[[#This Row],[prob500-failure_rating1]]/500</f>
        <v>7.6625619539999999E-4</v>
      </c>
      <c r="IG20" s="1">
        <f>Table1567[[#This Row],[Total_Cost_MUSD]]*Table1567[[#This Row],[prob500-failure_rating2]]/500</f>
        <v>3.8312809769999999E-4</v>
      </c>
      <c r="IH20" s="1">
        <f>Table1567[[#This Row],[Total_Cost_MUSD]]*Table1567[[#This Row],[prob500-failure_rating3]]/500</f>
        <v>8.4288181494000008E-5</v>
      </c>
      <c r="II20" s="1">
        <f>Table1567[[#This Row],[Total_Cost_MUSD]]*Table1567[[#This Row],[prob500-failure_rating4]]/500</f>
        <v>3.0650247816E-5</v>
      </c>
      <c r="IJ20" s="1">
        <f>Table1567[[#This Row],[Total_Cost_MUSD]]*Table1567[[#This Row],[prob500-failure_rating5]]/500</f>
        <v>5.3637933678000001E-6</v>
      </c>
      <c r="IK20" s="1">
        <f>Table1567[[#This Row],[Total_Cost_MUSD]]*Table1567[[#This Row],[prob500-failure_rating6]]/500</f>
        <v>1.3792611517200001E-6</v>
      </c>
      <c r="IL20" s="1">
        <f>Table1567[[#This Row],[Total_Cost_MUSD]]*Table1567[[#This Row],[prob500-failure_rating7]]/500</f>
        <v>1.3792611517200001E-6</v>
      </c>
      <c r="IM20" s="1">
        <f>Table1567[[#This Row],[Total_Cost_MUSD]]*Table1567[[#This Row],[prob500-failure_rating8]]/500</f>
        <v>3.0650247815999998E-8</v>
      </c>
      <c r="IN20" s="1">
        <f>Table1567[[#This Row],[Total_Cost_MUSD]]*Table1567[[#This Row],[prob500-failure_rating9]]/500</f>
        <v>1.9156404885000001E-8</v>
      </c>
      <c r="IO20" s="1">
        <f>Table1567[[#This Row],[Total_Cost_MUSD]]*Table1567[[#This Row],[prob100-failure_rating1]]/100</f>
        <v>0.3831280977</v>
      </c>
      <c r="IP20" s="1">
        <f>Table1567[[#This Row],[Total_Cost_MUSD]]*Table1567[[#This Row],[prob100-failure_rating2]]/100</f>
        <v>3.8312809769999998E-3</v>
      </c>
      <c r="IQ20" s="1">
        <f>Table1567[[#This Row],[Total_Cost_MUSD]]*Table1567[[#This Row],[prob100-failure_rating3]]/100</f>
        <v>4.7891012212499998E-4</v>
      </c>
      <c r="IR20" s="1">
        <f>Table1567[[#This Row],[Total_Cost_MUSD]]*Table1567[[#This Row],[prob100-failure_rating4]]/100</f>
        <v>1.0536022686750001E-4</v>
      </c>
      <c r="IS20" s="1">
        <f>Table1567[[#This Row],[Total_Cost_MUSD]]*Table1567[[#This Row],[prob100-failure_rating5]]/100</f>
        <v>3.8312809770000005E-5</v>
      </c>
      <c r="IT20" s="1">
        <f>Table1567[[#This Row],[Total_Cost_MUSD]]*Table1567[[#This Row],[prob100-failure_rating6]]/100</f>
        <v>6.7047417097500002E-6</v>
      </c>
      <c r="IU20" s="1">
        <f>Table1567[[#This Row],[Total_Cost_MUSD]]*Table1567[[#This Row],[prob100-failure_rating7]]/100</f>
        <v>1.7240764396500003E-6</v>
      </c>
      <c r="IV20" s="1">
        <f>Table1567[[#This Row],[Total_Cost_MUSD]]*Table1567[[#This Row],[prob100-failure_rating8]]/100</f>
        <v>1.7240764396500003E-6</v>
      </c>
      <c r="IW20" s="1">
        <f>Table1567[[#This Row],[Total_Cost_MUSD]]*Table1567[[#This Row],[prob100-failure_rating9]]/100</f>
        <v>3.8312809770000001E-8</v>
      </c>
      <c r="IX20" s="1">
        <f>Table1567[[#This Row],[Total_Cost_MUSD]]*Table1567[[#This Row],[prob50-failure_rating1]]/50</f>
        <v>7.6625619539999997E-3</v>
      </c>
      <c r="IY20" s="1">
        <f>Table1567[[#This Row],[Total_Cost_MUSD]]*Table1567[[#This Row],[prob50-failure_rating2]]/50</f>
        <v>6.3854682950000008E-4</v>
      </c>
      <c r="IZ20" s="1">
        <f>Table1567[[#This Row],[Total_Cost_MUSD]]*Table1567[[#This Row],[prob50-failure_rating3]]/50</f>
        <v>1.4048030249000002E-4</v>
      </c>
      <c r="JA20" s="1">
        <f>Table1567[[#This Row],[Total_Cost_MUSD]]*Table1567[[#This Row],[prob50-failure_rating4]]/50</f>
        <v>5.1083746360000007E-5</v>
      </c>
      <c r="JB20" s="1">
        <f>Table1567[[#This Row],[Total_Cost_MUSD]]*Table1567[[#This Row],[prob50-failure_rating5]]/50</f>
        <v>8.9396556130000008E-6</v>
      </c>
      <c r="JC20" s="1">
        <f>Table1567[[#This Row],[Total_Cost_MUSD]]*Table1567[[#This Row],[prob50-failure_rating6]]/50</f>
        <v>2.2987685861999998E-6</v>
      </c>
      <c r="JD20" s="1">
        <f>Table1567[[#This Row],[Total_Cost_MUSD]]*Table1567[[#This Row],[prob50-failure_rating7]]/50</f>
        <v>2.2987685861999998E-6</v>
      </c>
      <c r="JE20" s="1">
        <f>Table1567[[#This Row],[Total_Cost_MUSD]]*Table1567[[#This Row],[prob50-failure_rating8]]/50</f>
        <v>5.1083746360000002E-8</v>
      </c>
      <c r="JF20" s="1">
        <f>Table1567[[#This Row],[Total_Cost_MUSD]]*Table1567[[#This Row],[prob50-failure_rating9]]/50</f>
        <v>3.1927341475000001E-8</v>
      </c>
      <c r="JG20" s="1">
        <f>Table1567[[#This Row],[Total_Cost_MUSD]]*Table1567[[#This Row],[prob10-failure_rating1]]/10</f>
        <v>3.8312809769999998E-2</v>
      </c>
      <c r="JH20" s="1">
        <f>Table1567[[#This Row],[Total_Cost_MUSD]]*Table1567[[#This Row],[prob10-failure_rating2]]/10</f>
        <v>1.9156404885000001E-3</v>
      </c>
      <c r="JI20" s="1">
        <f>Table1567[[#This Row],[Total_Cost_MUSD]]*Table1567[[#This Row],[prob10-failure_rating3]]/10</f>
        <v>4.2144090747E-4</v>
      </c>
      <c r="JJ20" s="1">
        <f>Table1567[[#This Row],[Total_Cost_MUSD]]*Table1567[[#This Row],[prob10-failure_rating4]]/10</f>
        <v>1.5325123908000002E-4</v>
      </c>
      <c r="JK20" s="1">
        <f>Table1567[[#This Row],[Total_Cost_MUSD]]*Table1567[[#This Row],[prob10-failure_rating5]]/10</f>
        <v>2.6818966838999997E-5</v>
      </c>
      <c r="JL20" s="1">
        <f>Table1567[[#This Row],[Total_Cost_MUSD]]*Table1567[[#This Row],[prob10-failure_rating6]]/10</f>
        <v>6.8963057586000012E-6</v>
      </c>
      <c r="JM20" s="1">
        <f>Table1567[[#This Row],[Total_Cost_MUSD]]*Table1567[[#This Row],[prob10-failure_rating7]]/10</f>
        <v>6.8963057586000012E-6</v>
      </c>
      <c r="JN20" s="1">
        <f>Table1567[[#This Row],[Total_Cost_MUSD]]*Table1567[[#This Row],[prob10-failure_rating8]]/10</f>
        <v>1.5325123908000001E-7</v>
      </c>
      <c r="JO20" s="1">
        <f>Table1567[[#This Row],[Total_Cost_MUSD]]*Table1567[[#This Row],[prob10-failure_rating9]]/10</f>
        <v>9.5782024424999997E-8</v>
      </c>
      <c r="JP20" s="1">
        <f>Table1567[[#This Row],[FailureCost_Rating1]]</f>
        <v>6768.5963927000012</v>
      </c>
      <c r="JQ20" s="1">
        <f>Table1567[[#This Row],[FailureCost_Rating2]]</f>
        <v>6768.5963927000012</v>
      </c>
      <c r="JR20" s="1">
        <f>(Table1567[[#This Row],[failurecost500_rating2]]+Table1567[[#This Row],[failurecost100_rating2]]+Table1567[[#This Row],[failurecost50_rating2]]+Table1567[[#This Row],[failurecost10_rating2]])*1000000</f>
        <v>6768.5963927000012</v>
      </c>
      <c r="JS20" s="1">
        <f>(Table1567[[#This Row],[failurecost500_rating3]]+Table1567[[#This Row],[failurecost100_rating3]]+Table1567[[#This Row],[failurecost50_rating3]]+Table1567[[#This Row],[failurecost10_rating3]])*1000000</f>
        <v>1125.1195135790001</v>
      </c>
      <c r="JT20" s="1">
        <f>(Table1567[[#This Row],[failurecost500_rating4]]+Table1567[[#This Row],[failurecost100_rating4]]+Table1567[[#This Row],[failurecost50_rating4]]+Table1567[[#This Row],[failurecost10_rating4]])*1000000</f>
        <v>340.34546012350006</v>
      </c>
      <c r="JU20" s="1">
        <f>(Table1567[[#This Row],[failurecost500_rating5]]+Table1567[[#This Row],[failurecost100_rating5]]+Table1567[[#This Row],[failurecost50_rating5]]+Table1567[[#This Row],[failurecost10_rating5]])*1000000</f>
        <v>79.435225589799998</v>
      </c>
      <c r="JV20" s="1">
        <f>(Table1567[[#This Row],[failurecost500_rating6]]+Table1567[[#This Row],[failurecost100_rating6]]+Table1567[[#This Row],[failurecost50_rating6]]+Table1567[[#This Row],[failurecost10_rating6]])*1000000</f>
        <v>17.279077206269999</v>
      </c>
      <c r="JW20" s="1">
        <f>(Table1567[[#This Row],[failurecost500_rating7]]+Table1567[[#This Row],[failurecost100_rating7]]+Table1567[[#This Row],[failurecost50_rating7]]+Table1567[[#This Row],[failurecost10_rating7]])*1000000</f>
        <v>12.298411936170002</v>
      </c>
      <c r="JX20" s="1">
        <f>(Table1567[[#This Row],[failurecost500_rating8]]+Table1567[[#This Row],[failurecost100_rating8]]+Table1567[[#This Row],[failurecost50_rating8]]+Table1567[[#This Row],[failurecost10_rating8]])*1000000</f>
        <v>1.9590616729060004</v>
      </c>
      <c r="JY20" s="1">
        <f>(Table1567[[#This Row],[failurecost500_rating9]]+Table1567[[#This Row],[failurecost100_rating9]]+Table1567[[#This Row],[failurecost50_rating9]]+Table1567[[#This Row],[failurecost10_rating9]])*1000000</f>
        <v>0.185178580555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69B3-8409-4086-9A21-3ACE29C07DAD}">
  <dimension ref="A1:V19"/>
  <sheetViews>
    <sheetView workbookViewId="0">
      <selection activeCell="H29" sqref="H29"/>
    </sheetView>
  </sheetViews>
  <sheetFormatPr defaultRowHeight="14.4" x14ac:dyDescent="0.3"/>
  <sheetData>
    <row r="1" spans="1:22" x14ac:dyDescent="0.3">
      <c r="A1" s="4">
        <v>12884.794764444443</v>
      </c>
      <c r="B1" s="4">
        <v>7247.6970550000005</v>
      </c>
      <c r="C1" s="4">
        <v>4638.5261152000003</v>
      </c>
      <c r="D1" s="4">
        <v>3221.1986911111107</v>
      </c>
      <c r="E1" s="4">
        <v>2366.5949567346938</v>
      </c>
      <c r="F1" s="4">
        <v>1811.9242637500001</v>
      </c>
      <c r="G1" s="4">
        <v>1431.6438627160492</v>
      </c>
      <c r="H1" s="4">
        <v>0</v>
      </c>
      <c r="I1" s="4">
        <v>0</v>
      </c>
      <c r="J1" s="4">
        <v>0</v>
      </c>
      <c r="M1">
        <f>A1*2</f>
        <v>25769.589528888886</v>
      </c>
      <c r="N1">
        <f t="shared" ref="N1:V1" si="0">B1*2</f>
        <v>14495.394110000001</v>
      </c>
      <c r="O1">
        <f t="shared" si="0"/>
        <v>9277.0522304000006</v>
      </c>
      <c r="P1">
        <f t="shared" si="0"/>
        <v>6442.3973822222215</v>
      </c>
      <c r="Q1">
        <f t="shared" si="0"/>
        <v>4733.1899134693876</v>
      </c>
      <c r="R1">
        <f t="shared" si="0"/>
        <v>3623.8485275000003</v>
      </c>
      <c r="S1">
        <f t="shared" si="0"/>
        <v>2863.2877254320983</v>
      </c>
      <c r="T1">
        <f t="shared" si="0"/>
        <v>0</v>
      </c>
      <c r="U1">
        <f t="shared" si="0"/>
        <v>0</v>
      </c>
      <c r="V1">
        <f t="shared" si="0"/>
        <v>0</v>
      </c>
    </row>
    <row r="2" spans="1:22" x14ac:dyDescent="0.3">
      <c r="A2" s="5">
        <v>8423.5107866666658</v>
      </c>
      <c r="B2" s="5">
        <v>4738.2248175000004</v>
      </c>
      <c r="C2" s="5">
        <v>3032.4638832000001</v>
      </c>
      <c r="D2" s="5">
        <v>2105.8776966666665</v>
      </c>
      <c r="E2" s="5">
        <v>1547.1754506122447</v>
      </c>
      <c r="F2" s="5">
        <v>1184.5562043750001</v>
      </c>
      <c r="G2" s="5">
        <v>935.94564296296289</v>
      </c>
      <c r="H2" s="5">
        <v>0</v>
      </c>
      <c r="I2" s="5">
        <v>0</v>
      </c>
      <c r="J2" s="5">
        <v>0</v>
      </c>
      <c r="M2">
        <f t="shared" ref="M2:M19" si="1">A2*2</f>
        <v>16847.021573333332</v>
      </c>
      <c r="N2">
        <f t="shared" ref="N2:N19" si="2">B2*2</f>
        <v>9476.4496350000009</v>
      </c>
      <c r="O2">
        <f t="shared" ref="O2:O19" si="3">C2*2</f>
        <v>6064.9277664000001</v>
      </c>
      <c r="P2">
        <f t="shared" ref="P2:P19" si="4">D2*2</f>
        <v>4211.7553933333329</v>
      </c>
      <c r="Q2">
        <f t="shared" ref="Q2:Q19" si="5">E2*2</f>
        <v>3094.3509012244895</v>
      </c>
      <c r="R2">
        <f t="shared" ref="R2:R19" si="6">F2*2</f>
        <v>2369.1124087500002</v>
      </c>
      <c r="S2">
        <f t="shared" ref="S2:S19" si="7">G2*2</f>
        <v>1871.8912859259258</v>
      </c>
      <c r="T2">
        <f t="shared" ref="T2:T19" si="8">H2*2</f>
        <v>0</v>
      </c>
      <c r="U2">
        <f t="shared" ref="U2:U19" si="9">I2*2</f>
        <v>0</v>
      </c>
      <c r="V2">
        <f t="shared" ref="V2:V19" si="10">J2*2</f>
        <v>0</v>
      </c>
    </row>
    <row r="3" spans="1:22" x14ac:dyDescent="0.3">
      <c r="A3" s="4">
        <v>16165.742831111111</v>
      </c>
      <c r="B3" s="4">
        <v>9093.2303424999991</v>
      </c>
      <c r="C3" s="4">
        <v>5819.6674192000009</v>
      </c>
      <c r="D3" s="4">
        <v>4041.4357077777777</v>
      </c>
      <c r="E3" s="4">
        <v>2969.2180710204084</v>
      </c>
      <c r="F3" s="4">
        <v>2273.3075856249998</v>
      </c>
      <c r="G3" s="4">
        <v>1796.1936479012345</v>
      </c>
      <c r="H3" s="4">
        <v>0</v>
      </c>
      <c r="I3" s="4">
        <v>0</v>
      </c>
      <c r="J3" s="4">
        <v>0</v>
      </c>
      <c r="M3">
        <f t="shared" si="1"/>
        <v>32331.485662222221</v>
      </c>
      <c r="N3">
        <f t="shared" si="2"/>
        <v>18186.460684999998</v>
      </c>
      <c r="O3">
        <f t="shared" si="3"/>
        <v>11639.334838400002</v>
      </c>
      <c r="P3">
        <f t="shared" si="4"/>
        <v>8082.8714155555554</v>
      </c>
      <c r="Q3">
        <f t="shared" si="5"/>
        <v>5938.4361420408168</v>
      </c>
      <c r="R3">
        <f t="shared" si="6"/>
        <v>4546.6151712499995</v>
      </c>
      <c r="S3">
        <f t="shared" si="7"/>
        <v>3592.387295802469</v>
      </c>
      <c r="T3">
        <f t="shared" si="8"/>
        <v>0</v>
      </c>
      <c r="U3">
        <f t="shared" si="9"/>
        <v>0</v>
      </c>
      <c r="V3">
        <f t="shared" si="10"/>
        <v>0</v>
      </c>
    </row>
    <row r="4" spans="1:22" x14ac:dyDescent="0.3">
      <c r="A4" s="5">
        <v>7166.7621999999992</v>
      </c>
      <c r="B4" s="5">
        <v>4031.3037375000004</v>
      </c>
      <c r="C4" s="5">
        <v>2580.0343920000005</v>
      </c>
      <c r="D4" s="5">
        <v>1791.6905499999998</v>
      </c>
      <c r="E4" s="5">
        <v>1316.3440775510203</v>
      </c>
      <c r="F4" s="5">
        <v>1007.8259343750001</v>
      </c>
      <c r="G4" s="5">
        <v>796.30691111111105</v>
      </c>
      <c r="H4" s="5">
        <v>0</v>
      </c>
      <c r="I4" s="5">
        <v>0</v>
      </c>
      <c r="J4" s="5">
        <v>0</v>
      </c>
      <c r="M4">
        <f t="shared" si="1"/>
        <v>14333.524399999998</v>
      </c>
      <c r="N4">
        <f t="shared" si="2"/>
        <v>8062.6074750000007</v>
      </c>
      <c r="O4">
        <f t="shared" si="3"/>
        <v>5160.068784000001</v>
      </c>
      <c r="P4">
        <f t="shared" si="4"/>
        <v>3583.3810999999996</v>
      </c>
      <c r="Q4">
        <f t="shared" si="5"/>
        <v>2632.6881551020406</v>
      </c>
      <c r="R4">
        <f t="shared" si="6"/>
        <v>2015.6518687500002</v>
      </c>
      <c r="S4">
        <f t="shared" si="7"/>
        <v>1592.6138222222221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3">
      <c r="A5" s="4">
        <v>10923.751853333331</v>
      </c>
      <c r="B5" s="4">
        <v>6144.6104175</v>
      </c>
      <c r="C5" s="4">
        <v>3932.5506672000001</v>
      </c>
      <c r="D5" s="4">
        <v>2730.9379633333328</v>
      </c>
      <c r="E5" s="4">
        <v>2006.4034016326532</v>
      </c>
      <c r="F5" s="4">
        <v>1536.152604375</v>
      </c>
      <c r="G5" s="4">
        <v>1213.7502059259259</v>
      </c>
      <c r="H5" s="4">
        <v>0</v>
      </c>
      <c r="I5" s="4">
        <v>0</v>
      </c>
      <c r="J5" s="4">
        <v>0</v>
      </c>
      <c r="M5">
        <f t="shared" si="1"/>
        <v>21847.503706666663</v>
      </c>
      <c r="N5">
        <f t="shared" si="2"/>
        <v>12289.220835</v>
      </c>
      <c r="O5">
        <f t="shared" si="3"/>
        <v>7865.1013344000003</v>
      </c>
      <c r="P5">
        <f t="shared" si="4"/>
        <v>5461.8759266666657</v>
      </c>
      <c r="Q5">
        <f t="shared" si="5"/>
        <v>4012.8068032653064</v>
      </c>
      <c r="R5">
        <f t="shared" si="6"/>
        <v>3072.30520875</v>
      </c>
      <c r="S5">
        <f t="shared" si="7"/>
        <v>2427.5004118518518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x14ac:dyDescent="0.3">
      <c r="A6" s="5">
        <v>4107.4055275555556</v>
      </c>
      <c r="B6" s="5">
        <v>2310.4156092499998</v>
      </c>
      <c r="C6" s="5">
        <v>1478.6659899200001</v>
      </c>
      <c r="D6" s="5">
        <v>1026.8513818888889</v>
      </c>
      <c r="E6" s="5">
        <v>754.42142342857153</v>
      </c>
      <c r="F6" s="5">
        <v>577.60390231249994</v>
      </c>
      <c r="G6" s="5">
        <v>456.37839195061724</v>
      </c>
      <c r="H6" s="5">
        <v>0</v>
      </c>
      <c r="I6" s="5">
        <v>0</v>
      </c>
      <c r="J6" s="5">
        <v>0</v>
      </c>
      <c r="M6">
        <f t="shared" si="1"/>
        <v>8214.8110551111113</v>
      </c>
      <c r="N6">
        <f t="shared" si="2"/>
        <v>4620.8312184999995</v>
      </c>
      <c r="O6">
        <f t="shared" si="3"/>
        <v>2957.3319798400003</v>
      </c>
      <c r="P6">
        <f t="shared" si="4"/>
        <v>2053.7027637777778</v>
      </c>
      <c r="Q6">
        <f t="shared" si="5"/>
        <v>1508.8428468571431</v>
      </c>
      <c r="R6">
        <f t="shared" si="6"/>
        <v>1155.2078046249999</v>
      </c>
      <c r="S6">
        <f t="shared" si="7"/>
        <v>912.75678390123448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x14ac:dyDescent="0.3">
      <c r="A7" s="4">
        <v>21304.476208888886</v>
      </c>
      <c r="B7" s="4">
        <v>11983.767867500001</v>
      </c>
      <c r="C7" s="4">
        <v>7669.6114351999995</v>
      </c>
      <c r="D7" s="4">
        <v>5326.1190522222214</v>
      </c>
      <c r="E7" s="4">
        <v>3913.0670587755098</v>
      </c>
      <c r="F7" s="4">
        <v>2995.9419668750002</v>
      </c>
      <c r="G7" s="4">
        <v>2367.1640232098766</v>
      </c>
      <c r="H7" s="4">
        <v>0</v>
      </c>
      <c r="I7" s="4">
        <v>0</v>
      </c>
      <c r="J7" s="4">
        <v>0</v>
      </c>
      <c r="M7">
        <f t="shared" si="1"/>
        <v>42608.952417777771</v>
      </c>
      <c r="N7">
        <f t="shared" si="2"/>
        <v>23967.535735000001</v>
      </c>
      <c r="O7">
        <f t="shared" si="3"/>
        <v>15339.222870399999</v>
      </c>
      <c r="P7">
        <f t="shared" si="4"/>
        <v>10652.238104444443</v>
      </c>
      <c r="Q7">
        <f t="shared" si="5"/>
        <v>7826.1341175510197</v>
      </c>
      <c r="R7">
        <f t="shared" si="6"/>
        <v>5991.8839337500003</v>
      </c>
      <c r="S7">
        <f t="shared" si="7"/>
        <v>4734.3280464197533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x14ac:dyDescent="0.3">
      <c r="A8" s="5">
        <v>18992.276044444443</v>
      </c>
      <c r="B8" s="5">
        <v>10683.155275000001</v>
      </c>
      <c r="C8" s="5">
        <v>6837.2193760000018</v>
      </c>
      <c r="D8" s="5">
        <v>4748.0690111111107</v>
      </c>
      <c r="E8" s="5">
        <v>3488.3772326530611</v>
      </c>
      <c r="F8" s="5">
        <v>2670.7888187500002</v>
      </c>
      <c r="G8" s="5">
        <v>2110.2528938271607</v>
      </c>
      <c r="H8" s="5">
        <v>0</v>
      </c>
      <c r="I8" s="5">
        <v>0</v>
      </c>
      <c r="J8" s="5">
        <v>0</v>
      </c>
      <c r="M8">
        <f t="shared" si="1"/>
        <v>37984.552088888886</v>
      </c>
      <c r="N8">
        <f t="shared" si="2"/>
        <v>21366.310550000002</v>
      </c>
      <c r="O8">
        <f t="shared" si="3"/>
        <v>13674.438752000004</v>
      </c>
      <c r="P8">
        <f t="shared" si="4"/>
        <v>9496.1380222222215</v>
      </c>
      <c r="Q8">
        <f t="shared" si="5"/>
        <v>6976.7544653061223</v>
      </c>
      <c r="R8">
        <f t="shared" si="6"/>
        <v>5341.5776375000005</v>
      </c>
      <c r="S8">
        <f t="shared" si="7"/>
        <v>4220.5057876543215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x14ac:dyDescent="0.3">
      <c r="A9" s="4">
        <v>7948.717693333333</v>
      </c>
      <c r="B9" s="4">
        <v>4471.1537024999998</v>
      </c>
      <c r="C9" s="4">
        <v>2861.5383696000004</v>
      </c>
      <c r="D9" s="4">
        <v>1987.1794233333333</v>
      </c>
      <c r="E9" s="4">
        <v>1459.9685559183672</v>
      </c>
      <c r="F9" s="4">
        <v>1117.7884256249999</v>
      </c>
      <c r="G9" s="4">
        <v>883.19085481481466</v>
      </c>
      <c r="H9" s="4">
        <v>0</v>
      </c>
      <c r="I9" s="4">
        <v>0</v>
      </c>
      <c r="J9" s="4">
        <v>0</v>
      </c>
      <c r="M9">
        <f t="shared" si="1"/>
        <v>15897.435386666666</v>
      </c>
      <c r="N9">
        <f t="shared" si="2"/>
        <v>8942.3074049999996</v>
      </c>
      <c r="O9">
        <f t="shared" si="3"/>
        <v>5723.0767392000007</v>
      </c>
      <c r="P9">
        <f t="shared" si="4"/>
        <v>3974.3588466666665</v>
      </c>
      <c r="Q9">
        <f t="shared" si="5"/>
        <v>2919.9371118367344</v>
      </c>
      <c r="R9">
        <f t="shared" si="6"/>
        <v>2235.5768512499999</v>
      </c>
      <c r="S9">
        <f t="shared" si="7"/>
        <v>1766.3817096296293</v>
      </c>
      <c r="T9">
        <f t="shared" si="8"/>
        <v>0</v>
      </c>
      <c r="U9">
        <f t="shared" si="9"/>
        <v>0</v>
      </c>
      <c r="V9">
        <f t="shared" si="10"/>
        <v>0</v>
      </c>
    </row>
    <row r="10" spans="1:22" x14ac:dyDescent="0.3">
      <c r="A10" s="5">
        <v>27523.944955555551</v>
      </c>
      <c r="B10" s="5">
        <v>15482.219037499999</v>
      </c>
      <c r="C10" s="5">
        <v>9908.6201840000012</v>
      </c>
      <c r="D10" s="5">
        <v>6880.9862388888878</v>
      </c>
      <c r="E10" s="5">
        <v>5055.4184612244899</v>
      </c>
      <c r="F10" s="5">
        <v>3870.5547593749998</v>
      </c>
      <c r="G10" s="5">
        <v>3058.2161061728393</v>
      </c>
      <c r="H10" s="5">
        <v>0</v>
      </c>
      <c r="I10" s="5">
        <v>0</v>
      </c>
      <c r="J10" s="5">
        <v>0</v>
      </c>
      <c r="M10">
        <f t="shared" si="1"/>
        <v>55047.889911111102</v>
      </c>
      <c r="N10">
        <f t="shared" si="2"/>
        <v>30964.438074999998</v>
      </c>
      <c r="O10">
        <f t="shared" si="3"/>
        <v>19817.240368000002</v>
      </c>
      <c r="P10">
        <f t="shared" si="4"/>
        <v>13761.972477777776</v>
      </c>
      <c r="Q10">
        <f t="shared" si="5"/>
        <v>10110.83692244898</v>
      </c>
      <c r="R10">
        <f t="shared" si="6"/>
        <v>7741.1095187499996</v>
      </c>
      <c r="S10">
        <f t="shared" si="7"/>
        <v>6116.4322123456786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x14ac:dyDescent="0.3">
      <c r="A11" s="4">
        <v>5466.0877466666661</v>
      </c>
      <c r="B11" s="4">
        <v>3074.6743575000005</v>
      </c>
      <c r="C11" s="4">
        <v>1967.7915888</v>
      </c>
      <c r="D11" s="4">
        <v>1366.5219366666665</v>
      </c>
      <c r="E11" s="4">
        <v>1003.9753004081632</v>
      </c>
      <c r="F11" s="4">
        <v>768.66858937500012</v>
      </c>
      <c r="G11" s="4">
        <v>607.34308296296297</v>
      </c>
      <c r="H11" s="4">
        <v>0</v>
      </c>
      <c r="I11" s="4">
        <v>0</v>
      </c>
      <c r="J11" s="4">
        <v>0</v>
      </c>
      <c r="M11">
        <f t="shared" si="1"/>
        <v>10932.175493333332</v>
      </c>
      <c r="N11">
        <f t="shared" si="2"/>
        <v>6149.348715000001</v>
      </c>
      <c r="O11">
        <f t="shared" si="3"/>
        <v>3935.5831776</v>
      </c>
      <c r="P11">
        <f t="shared" si="4"/>
        <v>2733.0438733333331</v>
      </c>
      <c r="Q11">
        <f t="shared" si="5"/>
        <v>2007.9506008163264</v>
      </c>
      <c r="R11">
        <f t="shared" si="6"/>
        <v>1537.3371787500002</v>
      </c>
      <c r="S11">
        <f t="shared" si="7"/>
        <v>1214.6861659259259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x14ac:dyDescent="0.3">
      <c r="A12" s="5">
        <v>11441.468097777777</v>
      </c>
      <c r="B12" s="5">
        <v>6435.8258050000004</v>
      </c>
      <c r="C12" s="5">
        <v>4118.9285152000011</v>
      </c>
      <c r="D12" s="5">
        <v>2860.3670244444443</v>
      </c>
      <c r="E12" s="5">
        <v>2101.4941404081637</v>
      </c>
      <c r="F12" s="5">
        <v>1608.9564512500001</v>
      </c>
      <c r="G12" s="5">
        <v>1271.2742330864196</v>
      </c>
      <c r="H12" s="5">
        <v>0</v>
      </c>
      <c r="I12" s="5">
        <v>0</v>
      </c>
      <c r="J12" s="5">
        <v>0</v>
      </c>
      <c r="M12">
        <f t="shared" si="1"/>
        <v>22882.936195555554</v>
      </c>
      <c r="N12">
        <f t="shared" si="2"/>
        <v>12871.651610000001</v>
      </c>
      <c r="O12">
        <f t="shared" si="3"/>
        <v>8237.8570304000023</v>
      </c>
      <c r="P12">
        <f t="shared" si="4"/>
        <v>5720.7340488888885</v>
      </c>
      <c r="Q12">
        <f t="shared" si="5"/>
        <v>4202.9882808163275</v>
      </c>
      <c r="R12">
        <f t="shared" si="6"/>
        <v>3217.9129025000002</v>
      </c>
      <c r="S12">
        <f t="shared" si="7"/>
        <v>2542.5484661728392</v>
      </c>
      <c r="T12">
        <f t="shared" si="8"/>
        <v>0</v>
      </c>
      <c r="U12">
        <f t="shared" si="9"/>
        <v>0</v>
      </c>
      <c r="V12">
        <f t="shared" si="10"/>
        <v>0</v>
      </c>
    </row>
    <row r="13" spans="1:22" x14ac:dyDescent="0.3">
      <c r="A13" s="4">
        <v>37118.764382222216</v>
      </c>
      <c r="B13" s="4">
        <v>20879.304965000003</v>
      </c>
      <c r="C13" s="4">
        <v>13362.755177600002</v>
      </c>
      <c r="D13" s="4">
        <v>9279.6910955555541</v>
      </c>
      <c r="E13" s="4">
        <v>6817.7322334693881</v>
      </c>
      <c r="F13" s="4">
        <v>5219.8262412500007</v>
      </c>
      <c r="G13" s="4">
        <v>4124.3071535802464</v>
      </c>
      <c r="H13" s="4">
        <v>0</v>
      </c>
      <c r="I13" s="4">
        <v>0</v>
      </c>
      <c r="J13" s="4">
        <v>0</v>
      </c>
      <c r="M13">
        <f t="shared" si="1"/>
        <v>74237.528764444432</v>
      </c>
      <c r="N13">
        <f t="shared" si="2"/>
        <v>41758.609930000006</v>
      </c>
      <c r="O13">
        <f t="shared" si="3"/>
        <v>26725.510355200004</v>
      </c>
      <c r="P13">
        <f t="shared" si="4"/>
        <v>18559.382191111108</v>
      </c>
      <c r="Q13">
        <f t="shared" si="5"/>
        <v>13635.464466938776</v>
      </c>
      <c r="R13">
        <f t="shared" si="6"/>
        <v>10439.652482500001</v>
      </c>
      <c r="S13">
        <f t="shared" si="7"/>
        <v>8248.6143071604929</v>
      </c>
      <c r="T13">
        <f t="shared" si="8"/>
        <v>0</v>
      </c>
      <c r="U13">
        <f t="shared" si="9"/>
        <v>0</v>
      </c>
      <c r="V13">
        <f t="shared" si="10"/>
        <v>0</v>
      </c>
    </row>
    <row r="14" spans="1:22" x14ac:dyDescent="0.3">
      <c r="A14" s="5">
        <v>22764.362204444446</v>
      </c>
      <c r="B14" s="5">
        <v>12804.953739999999</v>
      </c>
      <c r="C14" s="5">
        <v>8195.1703936000013</v>
      </c>
      <c r="D14" s="5">
        <v>5691.0905511111114</v>
      </c>
      <c r="E14" s="5">
        <v>4181.2093844897963</v>
      </c>
      <c r="F14" s="5">
        <v>3201.2384349999998</v>
      </c>
      <c r="G14" s="5">
        <v>2529.3735782716049</v>
      </c>
      <c r="H14" s="5">
        <v>0</v>
      </c>
      <c r="I14" s="5">
        <v>0</v>
      </c>
      <c r="J14" s="5">
        <v>0</v>
      </c>
      <c r="M14">
        <f t="shared" si="1"/>
        <v>45528.724408888891</v>
      </c>
      <c r="N14">
        <f t="shared" si="2"/>
        <v>25609.907479999998</v>
      </c>
      <c r="O14">
        <f t="shared" si="3"/>
        <v>16390.340787200003</v>
      </c>
      <c r="P14">
        <f t="shared" si="4"/>
        <v>11382.181102222223</v>
      </c>
      <c r="Q14">
        <f t="shared" si="5"/>
        <v>8362.4187689795926</v>
      </c>
      <c r="R14">
        <f t="shared" si="6"/>
        <v>6402.4768699999995</v>
      </c>
      <c r="S14">
        <f t="shared" si="7"/>
        <v>5058.7471565432097</v>
      </c>
      <c r="T14">
        <f t="shared" si="8"/>
        <v>0</v>
      </c>
      <c r="U14">
        <f t="shared" si="9"/>
        <v>0</v>
      </c>
      <c r="V14">
        <f t="shared" si="10"/>
        <v>0</v>
      </c>
    </row>
    <row r="15" spans="1:22" x14ac:dyDescent="0.3">
      <c r="A15" s="4">
        <v>32875.378982222224</v>
      </c>
      <c r="B15" s="4">
        <v>18492.400677499998</v>
      </c>
      <c r="C15" s="4">
        <v>11835.136433600001</v>
      </c>
      <c r="D15" s="4">
        <v>8218.8447455555561</v>
      </c>
      <c r="E15" s="4">
        <v>6038.3349151020411</v>
      </c>
      <c r="F15" s="4">
        <v>4623.1001693749995</v>
      </c>
      <c r="G15" s="4">
        <v>3652.8198869135804</v>
      </c>
      <c r="H15" s="4">
        <v>0</v>
      </c>
      <c r="I15" s="4">
        <v>0</v>
      </c>
      <c r="J15" s="4">
        <v>0</v>
      </c>
      <c r="M15">
        <f t="shared" si="1"/>
        <v>65750.757964444449</v>
      </c>
      <c r="N15">
        <f t="shared" si="2"/>
        <v>36984.801354999996</v>
      </c>
      <c r="O15">
        <f t="shared" si="3"/>
        <v>23670.272867200001</v>
      </c>
      <c r="P15">
        <f t="shared" si="4"/>
        <v>16437.689491111112</v>
      </c>
      <c r="Q15">
        <f t="shared" si="5"/>
        <v>12076.669830204082</v>
      </c>
      <c r="R15">
        <f t="shared" si="6"/>
        <v>9246.200338749999</v>
      </c>
      <c r="S15">
        <f t="shared" si="7"/>
        <v>7305.6397738271608</v>
      </c>
      <c r="T15">
        <f t="shared" si="8"/>
        <v>0</v>
      </c>
      <c r="U15">
        <f t="shared" si="9"/>
        <v>0</v>
      </c>
      <c r="V15">
        <f t="shared" si="10"/>
        <v>0</v>
      </c>
    </row>
    <row r="16" spans="1:22" x14ac:dyDescent="0.3">
      <c r="A16" s="5">
        <v>3708.2068759999997</v>
      </c>
      <c r="B16" s="5">
        <v>2085.8663677500003</v>
      </c>
      <c r="C16" s="5">
        <v>1334.9544753600001</v>
      </c>
      <c r="D16" s="5">
        <v>927.05171899999993</v>
      </c>
      <c r="E16" s="5">
        <v>681.09922212244896</v>
      </c>
      <c r="F16" s="5">
        <v>521.46659193750008</v>
      </c>
      <c r="G16" s="5">
        <v>412.02298622222224</v>
      </c>
      <c r="H16" s="5">
        <v>0</v>
      </c>
      <c r="I16" s="5">
        <v>0</v>
      </c>
      <c r="J16" s="5">
        <v>0</v>
      </c>
      <c r="M16">
        <f t="shared" si="1"/>
        <v>7416.4137519999995</v>
      </c>
      <c r="N16">
        <f t="shared" si="2"/>
        <v>4171.7327355000007</v>
      </c>
      <c r="O16">
        <f t="shared" si="3"/>
        <v>2669.9089507200001</v>
      </c>
      <c r="P16">
        <f t="shared" si="4"/>
        <v>1854.1034379999999</v>
      </c>
      <c r="Q16">
        <f t="shared" si="5"/>
        <v>1362.1984442448979</v>
      </c>
      <c r="R16">
        <f t="shared" si="6"/>
        <v>1042.9331838750002</v>
      </c>
      <c r="S16">
        <f t="shared" si="7"/>
        <v>824.04597244444449</v>
      </c>
      <c r="T16">
        <f t="shared" si="8"/>
        <v>0</v>
      </c>
      <c r="U16">
        <f t="shared" si="9"/>
        <v>0</v>
      </c>
      <c r="V16">
        <f t="shared" si="10"/>
        <v>0</v>
      </c>
    </row>
    <row r="17" spans="1:22" x14ac:dyDescent="0.3">
      <c r="A17" s="4">
        <v>1264.429511111111</v>
      </c>
      <c r="B17" s="4">
        <v>711.24160000000006</v>
      </c>
      <c r="C17" s="4">
        <v>455.19462400000009</v>
      </c>
      <c r="D17" s="4">
        <v>316.10737777777774</v>
      </c>
      <c r="E17" s="4">
        <v>232.24215510204081</v>
      </c>
      <c r="F17" s="4">
        <v>177.81040000000002</v>
      </c>
      <c r="G17" s="4">
        <v>140.49216790123455</v>
      </c>
      <c r="H17" s="4">
        <v>0</v>
      </c>
      <c r="I17" s="4">
        <v>0</v>
      </c>
      <c r="J17" s="4">
        <v>0</v>
      </c>
      <c r="M17">
        <f t="shared" si="1"/>
        <v>2528.8590222222219</v>
      </c>
      <c r="N17">
        <f t="shared" si="2"/>
        <v>1422.4832000000001</v>
      </c>
      <c r="O17">
        <f t="shared" si="3"/>
        <v>910.38924800000018</v>
      </c>
      <c r="P17">
        <f t="shared" si="4"/>
        <v>632.21475555555548</v>
      </c>
      <c r="Q17">
        <f t="shared" si="5"/>
        <v>464.48431020408162</v>
      </c>
      <c r="R17">
        <f t="shared" si="6"/>
        <v>355.62080000000003</v>
      </c>
      <c r="S17">
        <f t="shared" si="7"/>
        <v>280.9843358024691</v>
      </c>
      <c r="T17">
        <f t="shared" si="8"/>
        <v>0</v>
      </c>
      <c r="U17">
        <f t="shared" si="9"/>
        <v>0</v>
      </c>
      <c r="V17">
        <f t="shared" si="10"/>
        <v>0</v>
      </c>
    </row>
    <row r="18" spans="1:22" x14ac:dyDescent="0.3">
      <c r="A18" s="5">
        <v>13137.759871111111</v>
      </c>
      <c r="B18" s="5">
        <v>7389.9899274999998</v>
      </c>
      <c r="C18" s="5">
        <v>4729.5935536000006</v>
      </c>
      <c r="D18" s="5">
        <v>3284.4399677777778</v>
      </c>
      <c r="E18" s="5">
        <v>2413.0579355102041</v>
      </c>
      <c r="F18" s="5">
        <v>1847.4974818749999</v>
      </c>
      <c r="G18" s="5">
        <v>1459.7510967901235</v>
      </c>
      <c r="H18" s="5">
        <v>0</v>
      </c>
      <c r="I18" s="5">
        <v>0</v>
      </c>
      <c r="J18" s="5">
        <v>0</v>
      </c>
      <c r="M18">
        <f t="shared" si="1"/>
        <v>26275.519742222223</v>
      </c>
      <c r="N18">
        <f t="shared" si="2"/>
        <v>14779.979855</v>
      </c>
      <c r="O18">
        <f t="shared" si="3"/>
        <v>9459.1871072000013</v>
      </c>
      <c r="P18">
        <f t="shared" si="4"/>
        <v>6568.8799355555557</v>
      </c>
      <c r="Q18">
        <f t="shared" si="5"/>
        <v>4826.1158710204081</v>
      </c>
      <c r="R18">
        <f t="shared" si="6"/>
        <v>3694.9949637499999</v>
      </c>
      <c r="S18">
        <f t="shared" si="7"/>
        <v>2919.502193580247</v>
      </c>
      <c r="T18">
        <f t="shared" si="8"/>
        <v>0</v>
      </c>
      <c r="U18">
        <f t="shared" si="9"/>
        <v>0</v>
      </c>
      <c r="V18">
        <f t="shared" si="10"/>
        <v>0</v>
      </c>
    </row>
    <row r="19" spans="1:22" x14ac:dyDescent="0.3">
      <c r="A19" s="4">
        <v>17027.915453333335</v>
      </c>
      <c r="B19" s="4">
        <v>9578.2024425000018</v>
      </c>
      <c r="C19" s="4">
        <v>6130.0495632000011</v>
      </c>
      <c r="D19" s="4">
        <v>4256.9788633333337</v>
      </c>
      <c r="E19" s="4">
        <v>3127.5763077551023</v>
      </c>
      <c r="F19" s="4">
        <v>2394.5506106250004</v>
      </c>
      <c r="G19" s="4">
        <v>1891.9906059259258</v>
      </c>
      <c r="H19" s="4">
        <v>0</v>
      </c>
      <c r="I19" s="4">
        <v>0</v>
      </c>
      <c r="J19" s="4">
        <v>0</v>
      </c>
      <c r="M19">
        <f t="shared" si="1"/>
        <v>34055.83090666667</v>
      </c>
      <c r="N19">
        <f t="shared" si="2"/>
        <v>19156.404885000004</v>
      </c>
      <c r="O19">
        <f t="shared" si="3"/>
        <v>12260.099126400002</v>
      </c>
      <c r="P19">
        <f t="shared" si="4"/>
        <v>8513.9577266666674</v>
      </c>
      <c r="Q19">
        <f t="shared" si="5"/>
        <v>6255.1526155102047</v>
      </c>
      <c r="R19">
        <f t="shared" si="6"/>
        <v>4789.1012212500009</v>
      </c>
      <c r="S19">
        <f t="shared" si="7"/>
        <v>3783.9812118518516</v>
      </c>
      <c r="T19">
        <f t="shared" si="8"/>
        <v>0</v>
      </c>
      <c r="U19">
        <f t="shared" si="9"/>
        <v>0</v>
      </c>
      <c r="V19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Ratings</vt:lpstr>
      <vt:lpstr>Ratings_HAZUS</vt:lpstr>
      <vt:lpstr>Ratings_2</vt:lpstr>
      <vt:lpstr>Sheet1</vt:lpstr>
      <vt:lpstr>Failure_prob</vt:lpstr>
      <vt:lpstr>Ratings_reasonable</vt:lpstr>
      <vt:lpstr>Ratings_Modified</vt:lpstr>
      <vt:lpstr>Ratings_Modified2</vt:lpstr>
      <vt:lpstr>Sheet7</vt:lpstr>
      <vt:lpstr>Ratings_Modified3</vt:lpstr>
      <vt:lpstr>Sheet4</vt:lpstr>
      <vt:lpstr>Ratings_Vulnerability</vt:lpstr>
      <vt:lpstr>Ratings_NoVulnerability</vt:lpstr>
      <vt:lpstr>Alpha0</vt:lpstr>
      <vt:lpstr>Alpha025</vt:lpstr>
      <vt:lpstr>Alpha05</vt:lpstr>
      <vt:lpstr>Alpha075</vt:lpstr>
      <vt:lpstr>Alpha1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Taherkhani</dc:creator>
  <cp:lastModifiedBy>Amir Taherkhani</cp:lastModifiedBy>
  <dcterms:created xsi:type="dcterms:W3CDTF">2023-01-03T21:18:53Z</dcterms:created>
  <dcterms:modified xsi:type="dcterms:W3CDTF">2024-02-09T03:01:05Z</dcterms:modified>
</cp:coreProperties>
</file>