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juni 2025/"/>
    </mc:Choice>
  </mc:AlternateContent>
  <xr:revisionPtr revIDLastSave="0" documentId="13_ncr:1_{4D90EB45-AFD1-DB4A-9A4A-889767DFFA3B}" xr6:coauthVersionLast="47" xr6:coauthVersionMax="47" xr10:uidLastSave="{00000000-0000-0000-0000-000000000000}"/>
  <bookViews>
    <workbookView xWindow="0" yWindow="500" windowWidth="28800" windowHeight="16140" activeTab="1" xr2:uid="{016DBADC-76D9-AE44-81C6-6D940A00045E}"/>
  </bookViews>
  <sheets>
    <sheet name="Portfolio Overview" sheetId="1" r:id="rId1"/>
    <sheet name="Summary" sheetId="3" r:id="rId2"/>
    <sheet name="Fixed Investment Plan" sheetId="4" r:id="rId3"/>
    <sheet name="Kurse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3" i="3"/>
  <c r="D4" i="3"/>
  <c r="D5" i="3"/>
  <c r="D6" i="3"/>
  <c r="D7" i="3"/>
  <c r="B3" i="3"/>
  <c r="B4" i="3"/>
  <c r="B5" i="3"/>
  <c r="B6" i="3"/>
  <c r="D2" i="3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N17" i="1"/>
  <c r="N18" i="1"/>
  <c r="N19" i="1"/>
  <c r="N20" i="1"/>
  <c r="N21" i="1"/>
  <c r="N22" i="1"/>
  <c r="N23" i="1"/>
  <c r="N24" i="1"/>
  <c r="N25" i="1"/>
  <c r="N26" i="1"/>
  <c r="N2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14" i="1"/>
  <c r="O14" i="1" s="1"/>
  <c r="Q14" i="1" s="1"/>
  <c r="I15" i="1"/>
  <c r="O15" i="1" s="1"/>
  <c r="Q15" i="1" s="1"/>
  <c r="I16" i="1"/>
  <c r="O16" i="1" s="1"/>
  <c r="Q16" i="1" s="1"/>
  <c r="I17" i="1"/>
  <c r="I18" i="1"/>
  <c r="I19" i="1"/>
  <c r="I20" i="1"/>
  <c r="I21" i="1"/>
  <c r="I22" i="1"/>
  <c r="I23" i="1"/>
  <c r="I24" i="1"/>
  <c r="I25" i="1"/>
  <c r="I26" i="1"/>
  <c r="I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M9" i="1"/>
  <c r="B2" i="3"/>
  <c r="D9" i="4" l="1"/>
  <c r="E4" i="4" s="1"/>
  <c r="D8" i="3"/>
  <c r="I2" i="1"/>
  <c r="O2" i="1" s="1"/>
  <c r="Q2" i="1" s="1"/>
  <c r="I3" i="1"/>
  <c r="O3" i="1" s="1"/>
  <c r="Q3" i="1" s="1"/>
  <c r="I4" i="1"/>
  <c r="O4" i="1" s="1"/>
  <c r="Q4" i="1" s="1"/>
  <c r="I5" i="1"/>
  <c r="O5" i="1" s="1"/>
  <c r="Q5" i="1" s="1"/>
  <c r="I6" i="1"/>
  <c r="O6" i="1" s="1"/>
  <c r="Q6" i="1" s="1"/>
  <c r="I7" i="1"/>
  <c r="O7" i="1" s="1"/>
  <c r="Q7" i="1" s="1"/>
  <c r="I8" i="1"/>
  <c r="O8" i="1" s="1"/>
  <c r="Q8" i="1" s="1"/>
  <c r="I9" i="1"/>
  <c r="O9" i="1" s="1"/>
  <c r="Q9" i="1" s="1"/>
  <c r="I10" i="1"/>
  <c r="O10" i="1" s="1"/>
  <c r="Q10" i="1" s="1"/>
  <c r="I11" i="1"/>
  <c r="O11" i="1" s="1"/>
  <c r="Q11" i="1" s="1"/>
  <c r="I12" i="1"/>
  <c r="O12" i="1" s="1"/>
  <c r="Q12" i="1" s="1"/>
  <c r="I13" i="1"/>
  <c r="O13" i="1" s="1"/>
  <c r="Q13" i="1" s="1"/>
  <c r="N9" i="1"/>
  <c r="M8" i="1"/>
  <c r="M10" i="1"/>
  <c r="N10" i="1" s="1"/>
  <c r="M11" i="1"/>
  <c r="N11" i="1" s="1"/>
  <c r="M12" i="1"/>
  <c r="M13" i="1"/>
  <c r="K8" i="1"/>
  <c r="K9" i="1"/>
  <c r="K10" i="1"/>
  <c r="K11" i="1"/>
  <c r="K12" i="1"/>
  <c r="K13" i="1"/>
  <c r="G8" i="1"/>
  <c r="G9" i="1"/>
  <c r="G10" i="1"/>
  <c r="G11" i="1"/>
  <c r="G12" i="1"/>
  <c r="G13" i="1"/>
  <c r="G2" i="1"/>
  <c r="G3" i="1"/>
  <c r="G4" i="1"/>
  <c r="G5" i="1"/>
  <c r="G6" i="1"/>
  <c r="G7" i="1"/>
  <c r="M7" i="1"/>
  <c r="K7" i="1"/>
  <c r="M6" i="1"/>
  <c r="K6" i="1"/>
  <c r="M5" i="1"/>
  <c r="N16" i="1" s="1"/>
  <c r="K5" i="1"/>
  <c r="M4" i="1"/>
  <c r="K4" i="1"/>
  <c r="M3" i="1"/>
  <c r="K3" i="1"/>
  <c r="M2" i="1"/>
  <c r="N2" i="1" s="1"/>
  <c r="K2" i="1"/>
  <c r="C6" i="3" l="1"/>
  <c r="N6" i="1"/>
  <c r="N15" i="1"/>
  <c r="N3" i="1"/>
  <c r="E4" i="3"/>
  <c r="N14" i="1"/>
  <c r="E7" i="3"/>
  <c r="E2" i="3"/>
  <c r="C3" i="3"/>
  <c r="N4" i="1"/>
  <c r="E5" i="3"/>
  <c r="N5" i="1"/>
  <c r="E3" i="3"/>
  <c r="N13" i="1"/>
  <c r="C4" i="3"/>
  <c r="G4" i="3" s="1"/>
  <c r="N12" i="1"/>
  <c r="C7" i="3"/>
  <c r="C5" i="3"/>
  <c r="E6" i="3"/>
  <c r="N8" i="1"/>
  <c r="E6" i="4"/>
  <c r="E3" i="4"/>
  <c r="E5" i="4"/>
  <c r="E8" i="4"/>
  <c r="E7" i="4"/>
  <c r="C2" i="3"/>
  <c r="N7" i="1"/>
  <c r="H6" i="3" l="1"/>
  <c r="H3" i="3"/>
  <c r="H7" i="3"/>
  <c r="E8" i="3"/>
  <c r="H5" i="3"/>
  <c r="G7" i="3"/>
  <c r="H4" i="3"/>
  <c r="G5" i="3"/>
  <c r="G3" i="3"/>
  <c r="G6" i="3"/>
  <c r="F4" i="3"/>
  <c r="F7" i="3"/>
  <c r="F6" i="3"/>
  <c r="F3" i="3"/>
  <c r="F5" i="3"/>
  <c r="C8" i="3"/>
  <c r="H8" i="3" s="1"/>
  <c r="H2" i="3"/>
  <c r="G2" i="3"/>
  <c r="G8" i="3" l="1"/>
  <c r="F2" i="3" l="1"/>
</calcChain>
</file>

<file path=xl/sharedStrings.xml><?xml version="1.0" encoding="utf-8"?>
<sst xmlns="http://schemas.openxmlformats.org/spreadsheetml/2006/main" count="217" uniqueCount="72">
  <si>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</si>
  <si>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</si>
  <si>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</si>
  <si>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</si>
  <si>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</si>
  <si>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</si>
  <si>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</si>
  <si>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</si>
  <si>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</si>
  <si>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</si>
  <si>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</si>
  <si>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</si>
  <si>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</si>
  <si>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</si>
  <si>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</si>
  <si>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</si>
  <si>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</si>
  <si>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</si>
  <si>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</si>
  <si>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</si>
  <si>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</si>
  <si>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</si>
  <si>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</si>
  <si>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ETF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</si>
  <si>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</si>
  <si>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</si>
  <si>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</si>
  <si>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</si>
  <si>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</si>
  <si>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</si>
  <si>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</si>
  <si>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</si>
  <si>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</si>
  <si>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</si>
  <si>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</si>
  <si>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</si>
  <si>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</si>
  <si>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</si>
  <si>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Rheinmetall AG</t>
  </si>
  <si>
    <t>DE0007030009</t>
  </si>
  <si>
    <t>Equity</t>
  </si>
  <si>
    <t>ASML Holding N. V.</t>
  </si>
  <si>
    <t>NL0010273215</t>
  </si>
  <si>
    <t>Long-term investment; Final-plan. €0.00 fee + €0,99 from prior sell.</t>
  </si>
  <si>
    <t>Long-term investment; Final-plan.</t>
  </si>
  <si>
    <t>Rebalancing</t>
  </si>
  <si>
    <t xml:space="preserve">Current Price </t>
  </si>
  <si>
    <t>Currency</t>
  </si>
  <si>
    <t>Date</t>
  </si>
  <si>
    <t>Time</t>
  </si>
  <si>
    <t>EUR</t>
  </si>
  <si>
    <t>Portfolio Allocation (%)</t>
  </si>
  <si>
    <t>Invested Amount (€)</t>
  </si>
  <si>
    <t>Result (€)</t>
  </si>
  <si>
    <t xml:space="preserve">Return (%) </t>
  </si>
  <si>
    <t>Cumulative Quantity</t>
  </si>
  <si>
    <t>Total Cost (€)</t>
  </si>
  <si>
    <t>Overall Total</t>
  </si>
  <si>
    <t>Fixed Investment Plan-Starting June 2025</t>
  </si>
  <si>
    <t>Asset</t>
  </si>
  <si>
    <t>ISIN</t>
  </si>
  <si>
    <t>Amount (€)</t>
  </si>
  <si>
    <t>Allocation %</t>
  </si>
  <si>
    <t>ETC</t>
  </si>
  <si>
    <t>ASML Holding N.V.</t>
  </si>
  <si>
    <t>Current Value (€)</t>
  </si>
  <si>
    <t>Amundi Nasdaq 100</t>
  </si>
  <si>
    <t>Scalable MSCI AC World</t>
  </si>
  <si>
    <t>Summary</t>
  </si>
  <si>
    <t>VanEck Defense</t>
  </si>
  <si>
    <t>iShares Physical Gold</t>
  </si>
  <si>
    <t>L&amp;G Artificial Intelligence (Acc)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</si>
</sst>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#,##0.0000000\ &quot;€&quot;"/>
    <numFmt numFmtId="166" formatCode="#,##0.000000000\ &quot;€&quot;"/>
    <numFmt numFmtId="167" formatCode="#,##0.00\ &quot;€&quot;"/>
    <numFmt numFmtId="168" formatCode="#,##0.0000\ &quot;€&quot;"/>
    <numFmt numFmtId="169" formatCode="0.000000"/>
    <numFmt numFmtId="170" formatCode="\+0.00000000\ &quot;€&quot;;\-0.00000000\ &quot;€&quot;;0.00000000\ &quot;€&quot;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ptos Narrow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4242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1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7" fontId="3" fillId="2" borderId="2" xfId="0" applyNumberFormat="1" applyFont="1" applyFill="1" applyBorder="1" applyAlignment="1">
      <alignment horizontal="center" vertical="center"/>
    </xf>
    <xf numFmtId="10" fontId="3" fillId="2" borderId="2" xfId="1" applyNumberFormat="1" applyFont="1" applyFill="1" applyBorder="1" applyAlignment="1">
      <alignment horizontal="center" vertical="center"/>
    </xf>
    <xf numFmtId="168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0" xfId="1" applyNumberFormat="1" applyFont="1" applyFill="1" applyAlignment="1">
      <alignment horizontal="center"/>
    </xf>
    <xf numFmtId="0" fontId="3" fillId="2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7" fontId="5" fillId="0" borderId="2" xfId="0" applyNumberFormat="1" applyFont="1" applyBorder="1"/>
    <xf numFmtId="10" fontId="5" fillId="0" borderId="2" xfId="1" applyNumberFormat="1" applyFont="1" applyFill="1" applyBorder="1"/>
    <xf numFmtId="168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1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69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/>
    <xf numFmtId="167" fontId="4" fillId="4" borderId="0" xfId="1" applyNumberFormat="1" applyFont="1" applyFill="1" applyAlignment="1">
      <alignment horizontal="right"/>
    </xf>
    <xf numFmtId="167" fontId="4" fillId="4" borderId="0" xfId="1" applyNumberFormat="1" applyFont="1" applyFill="1" applyAlignment="1">
      <alignment horizontal="center"/>
    </xf>
    <xf numFmtId="9" fontId="4" fillId="4" borderId="0" xfId="1" applyFont="1" applyFill="1" applyAlignment="1">
      <alignment horizontal="center"/>
    </xf>
    <xf numFmtId="170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167" fontId="10" fillId="5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5" borderId="4" xfId="0" applyFont="1" applyFill="1" applyBorder="1" applyAlignment="1">
      <alignment horizontal="left"/>
    </xf>
    <xf numFmtId="9" fontId="8" fillId="0" borderId="0" xfId="1" applyFont="1" applyAlignment="1">
      <alignment horizontal="center"/>
    </xf>
    <xf numFmtId="9" fontId="10" fillId="5" borderId="0" xfId="1" applyFont="1" applyFill="1" applyAlignment="1">
      <alignment horizontal="center"/>
    </xf>
    <xf numFmtId="9" fontId="10" fillId="0" borderId="0" xfId="1" applyFont="1" applyFill="1" applyAlignment="1">
      <alignment horizontal="center"/>
    </xf>
    <xf numFmtId="9" fontId="5" fillId="0" borderId="0" xfId="1" applyFont="1" applyFill="1" applyAlignment="1">
      <alignment horizontal="center"/>
    </xf>
    <xf numFmtId="9" fontId="5" fillId="0" borderId="0" xfId="1" applyFont="1" applyAlignment="1">
      <alignment horizontal="center"/>
    </xf>
    <xf numFmtId="20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169" fontId="6" fillId="0" borderId="0" xfId="0" applyNumberFormat="1" applyFont="1" applyAlignment="1">
      <alignment horizontal="right"/>
    </xf>
    <xf numFmtId="167" fontId="6" fillId="0" borderId="0" xfId="0" applyNumberFormat="1" applyFont="1"/>
    <xf numFmtId="167" fontId="6" fillId="0" borderId="0" xfId="1" applyNumberFormat="1" applyFont="1" applyFill="1" applyAlignment="1">
      <alignment horizontal="right"/>
    </xf>
    <xf numFmtId="9" fontId="6" fillId="0" borderId="0" xfId="1" applyFont="1" applyFill="1"/>
    <xf numFmtId="10" fontId="5" fillId="0" borderId="0" xfId="1" applyNumberFormat="1" applyFont="1"/>
    <xf numFmtId="10" fontId="0" fillId="0" borderId="0" xfId="1" applyNumberFormat="1" applyFont="1"/>
    <xf numFmtId="10" fontId="9" fillId="0" borderId="0" xfId="1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0" fontId="5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left"/>
    </xf>
    <xf numFmtId="169" fontId="12" fillId="6" borderId="0" xfId="0" applyNumberFormat="1" applyFont="1" applyFill="1" applyAlignment="1">
      <alignment horizontal="right"/>
    </xf>
    <xf numFmtId="167" fontId="12" fillId="6" borderId="0" xfId="0" applyNumberFormat="1" applyFont="1" applyFill="1"/>
    <xf numFmtId="167" fontId="12" fillId="6" borderId="0" xfId="1" applyNumberFormat="1" applyFont="1" applyFill="1" applyAlignment="1">
      <alignment horizontal="right"/>
    </xf>
    <xf numFmtId="9" fontId="12" fillId="6" borderId="0" xfId="1" applyFont="1" applyFill="1"/>
    <xf numFmtId="10" fontId="12" fillId="6" borderId="0" xfId="1" applyNumberFormat="1" applyFont="1" applyFill="1"/>
    <xf numFmtId="0" fontId="7" fillId="3" borderId="0" xfId="0" applyFont="1" applyFill="1" applyAlignment="1">
      <alignment horizontal="center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424242"/>
      <color rgb="FF5C5863"/>
      <color rgb="FF7A7783"/>
      <color rgb="FFFFFFFF"/>
      <color rgb="FFFDECEA"/>
      <color rgb="FFF0EA96"/>
      <color rgb="FF797979"/>
      <color rgb="FF6B7D92"/>
      <color rgb="FF7E98AD"/>
      <color rgb="FFD9C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2800" b="1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Asset Allocation (%)</a:t>
            </a:r>
          </a:p>
        </c:rich>
      </c:tx>
      <c:layout>
        <c:manualLayout>
          <c:xMode val="edge"/>
          <c:yMode val="edge"/>
          <c:x val="0.39080333962130404"/>
          <c:y val="3.583904407217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3CED9"/>
            </a:solidFill>
          </c:spPr>
          <c:dPt>
            <c:idx val="0"/>
            <c:bubble3D val="0"/>
            <c:spPr>
              <a:solidFill>
                <a:srgbClr val="C3CE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30-8D49-9039-35E6A338C39F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30-8D49-9039-35E6A338C39F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30-8D49-9039-35E6A338C39F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0-8D49-9039-35E6A338C39F}"/>
              </c:ext>
            </c:extLst>
          </c:dPt>
          <c:dPt>
            <c:idx val="4"/>
            <c:bubble3D val="0"/>
            <c:spPr>
              <a:solidFill>
                <a:srgbClr val="7A77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B8-8440-94FE-B97E5A1CAC74}"/>
              </c:ext>
            </c:extLst>
          </c:dPt>
          <c:dPt>
            <c:idx val="5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8-8440-94FE-B97E5A1CAC7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Summary!$A$2:$A$7</c:f>
              <c:strCache>
                <c:ptCount val="6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</c:strCache>
            </c:strRef>
          </c:cat>
          <c:val>
            <c:numRef>
              <c:f>Summary!$F$2:$F$7</c:f>
              <c:numCache>
                <c:formatCode>0%</c:formatCode>
                <c:ptCount val="6"/>
                <c:pt idx="0">
                  <c:v>0.19904815217202307</c:v>
                </c:pt>
                <c:pt idx="1">
                  <c:v>0.30998368095217321</c:v>
                </c:pt>
                <c:pt idx="2">
                  <c:v>0.21316906969854554</c:v>
                </c:pt>
                <c:pt idx="3">
                  <c:v>9.671833047064865E-2</c:v>
                </c:pt>
                <c:pt idx="4">
                  <c:v>9.5203323231101408E-2</c:v>
                </c:pt>
                <c:pt idx="5">
                  <c:v>8.5877443475508214E-2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8142-A3FD-49C993CAA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Investment vs. Current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</c:strCache>
            </c:strRef>
          </c:cat>
          <c:val>
            <c:numRef>
              <c:f>Summary!$C$2:$C$7</c:f>
              <c:numCache>
                <c:formatCode>#,##0.00\ "€"</c:formatCode>
                <c:ptCount val="6"/>
                <c:pt idx="0">
                  <c:v>102.11403888000001</c:v>
                </c:pt>
                <c:pt idx="1">
                  <c:v>159.02526752200001</c:v>
                </c:pt>
                <c:pt idx="2">
                  <c:v>109.35823535</c:v>
                </c:pt>
                <c:pt idx="3">
                  <c:v>49.617638999999997</c:v>
                </c:pt>
                <c:pt idx="4">
                  <c:v>48.840422499999995</c:v>
                </c:pt>
                <c:pt idx="5">
                  <c:v>44.056136699999996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4-AD41-9F0B-F92637BBB724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</c:strCache>
            </c:strRef>
          </c:cat>
          <c:val>
            <c:numRef>
              <c:f>Summary!$E$2:$E$7</c:f>
              <c:numCache>
                <c:formatCode>#,##0.00\ "€"</c:formatCode>
                <c:ptCount val="6"/>
                <c:pt idx="0">
                  <c:v>100</c:v>
                </c:pt>
                <c:pt idx="1">
                  <c:v>160.56</c:v>
                </c:pt>
                <c:pt idx="2">
                  <c:v>108.44</c:v>
                </c:pt>
                <c:pt idx="3">
                  <c:v>50</c:v>
                </c:pt>
                <c:pt idx="4">
                  <c:v>50</c:v>
                </c:pt>
                <c:pt idx="5">
                  <c:v>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4-AD41-9F0B-F92637BBB7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6664240"/>
        <c:axId val="1674325488"/>
      </c:barChart>
      <c:catAx>
        <c:axId val="306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74325488"/>
        <c:crosses val="autoZero"/>
        <c:auto val="1"/>
        <c:lblAlgn val="ctr"/>
        <c:lblOffset val="100"/>
        <c:noMultiLvlLbl val="0"/>
      </c:catAx>
      <c:valAx>
        <c:axId val="167432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066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Portfolio Allocation –</a:t>
            </a:r>
            <a:r>
              <a:rPr lang="de-DE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Fixed Plan Starting June 2025</a:t>
            </a:r>
            <a:endParaRPr lang="de-DE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8B7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A-1347-B503-100D00E163B5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A-1347-B503-100D00E163B5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A-1347-B503-100D00E163B5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A-1347-B503-100D00E163B5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A-1347-B503-100D00E163B5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A-1347-B503-100D00E163B5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BC23113-4FD5-4145-A973-91045E7F892D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00A-1347-B503-100D00E16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0.00%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A-1347-B503-100D00E163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33121</xdr:colOff>
      <xdr:row>7</xdr:row>
      <xdr:rowOff>190499</xdr:rowOff>
    </xdr:from>
    <xdr:to>
      <xdr:col>28</xdr:col>
      <xdr:colOff>127000</xdr:colOff>
      <xdr:row>76</xdr:row>
      <xdr:rowOff>68648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1CF2DD-AAB3-1C13-0817-E76E9314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48847</xdr:colOff>
      <xdr:row>12</xdr:row>
      <xdr:rowOff>162168</xdr:rowOff>
    </xdr:from>
    <xdr:to>
      <xdr:col>45</xdr:col>
      <xdr:colOff>730250</xdr:colOff>
      <xdr:row>54</xdr:row>
      <xdr:rowOff>126999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E14266-52EA-AFA5-6BE3-7B70F2B6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21605</xdr:colOff>
      <xdr:row>2</xdr:row>
      <xdr:rowOff>130822</xdr:rowOff>
    </xdr:from>
    <xdr:to>
      <xdr:col>17</xdr:col>
      <xdr:colOff>148271</xdr:colOff>
      <xdr:row>46</xdr:row>
      <xdr:rowOff>82022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CAC66F-B218-F739-166F-30A291F1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7DE-2B2C-AC42-87B5-C4EB1B316CC6}">
  <dimension ref="A1:W27"/>
  <sheetViews>
    <sheetView zoomScale="120" zoomScaleNormal="120" workbookViewId="0">
      <pane ySplit="1" topLeftCell="A2" activePane="bottomLeft" state="frozen"/>
      <selection pane="bottomLeft" activeCell="A16" sqref="A16"/>
    </sheetView>
  </sheetViews>
  <sheetFormatPr baseColWidth="10" defaultRowHeight="16" x14ac:dyDescent="0.2"/>
  <cols>
    <col min="1" max="1" width="17.6640625" style="27" bestFit="1" customWidth="1"/>
    <col min="2" max="2" width="17.83203125" style="28" bestFit="1" customWidth="1"/>
    <col min="3" max="3" width="16.33203125" style="24" bestFit="1" customWidth="1"/>
    <col min="4" max="4" width="39.33203125" style="24" bestFit="1" customWidth="1"/>
    <col min="5" max="5" width="20.33203125" style="28" bestFit="1" customWidth="1"/>
    <col min="6" max="6" width="10.5" style="30" bestFit="1" customWidth="1"/>
    <col min="7" max="7" width="19.5" style="30" bestFit="1" customWidth="1"/>
    <col min="8" max="8" width="15" style="63" bestFit="1" customWidth="1"/>
    <col min="9" max="9" width="15.6640625" style="24" bestFit="1" customWidth="1"/>
    <col min="10" max="10" width="17.5" style="63" bestFit="1" customWidth="1"/>
    <col min="11" max="11" width="28" style="24" bestFit="1" customWidth="1"/>
    <col min="12" max="12" width="16.6640625" style="63" bestFit="1" customWidth="1"/>
    <col min="13" max="13" width="10.83203125" style="24"/>
    <col min="14" max="14" width="22.5" style="24" bestFit="1" customWidth="1"/>
    <col min="15" max="15" width="15.5" style="24" bestFit="1" customWidth="1"/>
    <col min="16" max="16" width="14.6640625" style="69" bestFit="1" customWidth="1"/>
    <col min="17" max="17" width="19.83203125" style="24" bestFit="1" customWidth="1"/>
    <col min="18" max="18" width="15.83203125" style="28" bestFit="1" customWidth="1"/>
    <col min="19" max="19" width="20.6640625" style="28" bestFit="1" customWidth="1"/>
    <col min="20" max="20" width="63" style="24" bestFit="1" customWidth="1"/>
    <col min="21" max="21" width="12.83203125" style="28" bestFit="1" customWidth="1"/>
    <col min="22" max="22" width="7.33203125" style="28" bestFit="1" customWidth="1"/>
    <col min="23" max="23" width="114.1640625" style="24" bestFit="1" customWidth="1"/>
    <col min="24" max="16384" width="10.83203125" style="24"/>
  </cols>
  <sheetData>
    <row r="1" spans="1:2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7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5" t="s">
        <v>14</v>
      </c>
      <c r="P1" s="8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11" t="s">
        <v>21</v>
      </c>
      <c r="W1" s="12" t="s">
        <v>22</v>
      </c>
    </row>
    <row r="2" spans="1:23" x14ac:dyDescent="0.2">
      <c r="A2" s="13">
        <v>45789</v>
      </c>
      <c r="B2" s="14">
        <v>0.46250000000000002</v>
      </c>
      <c r="C2" s="15" t="s">
        <v>24</v>
      </c>
      <c r="D2" s="16" t="s">
        <v>25</v>
      </c>
      <c r="E2" s="15" t="s">
        <v>26</v>
      </c>
      <c r="F2" s="16">
        <v>9.3785999999999994E-2</v>
      </c>
      <c r="G2" s="16">
        <f>SUMIFS(F$2:F2, D$2:D2, D2, V$2:V2, "Yes")</f>
        <v>9.3785999999999994E-2</v>
      </c>
      <c r="H2" s="18">
        <v>213.25</v>
      </c>
      <c r="I2" s="18">
        <f>IFERROR(VLOOKUP(D2,Kurse!$A:$E,2,FALSE),0)</f>
        <v>220.08</v>
      </c>
      <c r="J2" s="18">
        <v>20</v>
      </c>
      <c r="K2" s="18">
        <f>SUMIFS($J$2:J2, $D$2:D2, D2, $V$2:V2, "Yes")</f>
        <v>20</v>
      </c>
      <c r="L2" s="18">
        <v>0</v>
      </c>
      <c r="M2" s="18">
        <f t="shared" ref="M2:M27" si="0">IF(V2="Yes",J2+L2,"")</f>
        <v>20</v>
      </c>
      <c r="N2" s="18">
        <f>SUMIFS($M$2:M2, $D$2:D2, D2, $V$2:V2, "Yes")</f>
        <v>20</v>
      </c>
      <c r="O2" s="17">
        <f t="shared" ref="O2:O27" si="1">IF(V2="Yes",F2*I2,"")</f>
        <v>20.640422879999999</v>
      </c>
      <c r="P2" s="19">
        <v>0</v>
      </c>
      <c r="Q2" s="20">
        <f t="shared" ref="Q2:Q27" si="2">IFERROR(O2*P2,0)</f>
        <v>0</v>
      </c>
      <c r="R2" s="15" t="s">
        <v>27</v>
      </c>
      <c r="S2" s="15" t="s">
        <v>28</v>
      </c>
      <c r="T2" s="21" t="s">
        <v>29</v>
      </c>
      <c r="U2" s="22" t="s">
        <v>23</v>
      </c>
      <c r="V2" s="23" t="s">
        <v>30</v>
      </c>
    </row>
    <row r="3" spans="1:23" x14ac:dyDescent="0.2">
      <c r="A3" s="13">
        <v>45789</v>
      </c>
      <c r="B3" s="14">
        <v>0.47916666666666669</v>
      </c>
      <c r="C3" s="15" t="s">
        <v>24</v>
      </c>
      <c r="D3" s="16" t="s">
        <v>31</v>
      </c>
      <c r="E3" s="15" t="s">
        <v>32</v>
      </c>
      <c r="F3" s="16">
        <v>3.254149</v>
      </c>
      <c r="G3" s="16">
        <f>SUMIFS(F$2:F3, D$2:D3, D3, V$2:V3, "Yes")</f>
        <v>3.254149</v>
      </c>
      <c r="H3" s="18">
        <v>9.2189999999999994</v>
      </c>
      <c r="I3" s="18">
        <f>IFERROR(VLOOKUP(D3,Kurse!$A:$E,2,FALSE),0)</f>
        <v>9.3140000000000001</v>
      </c>
      <c r="J3" s="18">
        <v>30</v>
      </c>
      <c r="K3" s="18">
        <f>SUMIFS($J$2:J3, $D$2:D3, D3, $V$2:V3, "Yes")</f>
        <v>30</v>
      </c>
      <c r="L3" s="18">
        <v>0</v>
      </c>
      <c r="M3" s="18">
        <f t="shared" si="0"/>
        <v>30</v>
      </c>
      <c r="N3" s="18">
        <f>SUMIFS($M$2:M3, $D$2:D3, D3, $V$2:V3, "Yes")</f>
        <v>30</v>
      </c>
      <c r="O3" s="17">
        <f t="shared" si="1"/>
        <v>30.309143786</v>
      </c>
      <c r="P3" s="19">
        <v>0</v>
      </c>
      <c r="Q3" s="20">
        <f t="shared" si="2"/>
        <v>0</v>
      </c>
      <c r="R3" s="15" t="s">
        <v>27</v>
      </c>
      <c r="S3" s="15" t="s">
        <v>28</v>
      </c>
      <c r="T3" s="21" t="s">
        <v>29</v>
      </c>
      <c r="U3" s="22" t="s">
        <v>23</v>
      </c>
      <c r="V3" s="23" t="s">
        <v>30</v>
      </c>
    </row>
    <row r="4" spans="1:23" x14ac:dyDescent="0.2">
      <c r="A4" s="13">
        <v>45789</v>
      </c>
      <c r="B4" s="14">
        <v>0.48402777777777778</v>
      </c>
      <c r="C4" s="15" t="s">
        <v>24</v>
      </c>
      <c r="D4" s="16" t="s">
        <v>33</v>
      </c>
      <c r="E4" s="15" t="s">
        <v>34</v>
      </c>
      <c r="F4" s="16">
        <v>0.88920500000000002</v>
      </c>
      <c r="G4" s="16">
        <f>SUMIFS(F$2:F4, D$2:D4, D4, V$2:V4, "Yes")</f>
        <v>0.88920500000000002</v>
      </c>
      <c r="H4" s="18">
        <v>56.23</v>
      </c>
      <c r="I4" s="18">
        <f>IFERROR(VLOOKUP(D4,Kurse!$A:$E,2,FALSE),0)</f>
        <v>55.8</v>
      </c>
      <c r="J4" s="18">
        <v>50</v>
      </c>
      <c r="K4" s="18">
        <f>SUMIFS($J$2:J4, $D$2:D4, D4, $V$2:V4, "Yes")</f>
        <v>50</v>
      </c>
      <c r="L4" s="18">
        <v>0</v>
      </c>
      <c r="M4" s="18">
        <f t="shared" si="0"/>
        <v>50</v>
      </c>
      <c r="N4" s="18">
        <f>SUMIFS($M$2:M4, $D$2:D4, D4, $V$2:V4, "Yes")</f>
        <v>50</v>
      </c>
      <c r="O4" s="17">
        <f t="shared" si="1"/>
        <v>49.617638999999997</v>
      </c>
      <c r="P4" s="19">
        <v>0</v>
      </c>
      <c r="Q4" s="20">
        <f t="shared" si="2"/>
        <v>0</v>
      </c>
      <c r="R4" s="15" t="s">
        <v>27</v>
      </c>
      <c r="S4" s="15" t="s">
        <v>28</v>
      </c>
      <c r="T4" s="21" t="s">
        <v>29</v>
      </c>
      <c r="U4" s="22" t="s">
        <v>35</v>
      </c>
      <c r="V4" s="23" t="s">
        <v>30</v>
      </c>
    </row>
    <row r="5" spans="1:23" x14ac:dyDescent="0.2">
      <c r="A5" s="13">
        <v>45789</v>
      </c>
      <c r="B5" s="14">
        <v>0.49652777777777779</v>
      </c>
      <c r="C5" s="15" t="s">
        <v>24</v>
      </c>
      <c r="D5" s="16" t="s">
        <v>36</v>
      </c>
      <c r="E5" s="15" t="s">
        <v>37</v>
      </c>
      <c r="F5" s="16">
        <v>0.65416399999999997</v>
      </c>
      <c r="G5" s="16">
        <f>SUMIFS(F$2:F5, D$2:D5, D5, V$2:V5, "Yes")</f>
        <v>0.65416399999999997</v>
      </c>
      <c r="H5" s="18">
        <v>45.86</v>
      </c>
      <c r="I5" s="18">
        <f>IFERROR(VLOOKUP(D5,Kurse!$A:$E,2,FALSE),0)</f>
        <v>46.838000000000001</v>
      </c>
      <c r="J5" s="18">
        <v>30</v>
      </c>
      <c r="K5" s="18">
        <f>SUMIFS($J$2:J5, $D$2:D5, D5, $V$2:V5, "Yes")</f>
        <v>30</v>
      </c>
      <c r="L5" s="18">
        <v>0</v>
      </c>
      <c r="M5" s="18">
        <f t="shared" si="0"/>
        <v>30</v>
      </c>
      <c r="N5" s="18">
        <f>SUMIFS($M$2:M5, $D$2:D5, D5, $V$2:V5, "Yes")</f>
        <v>30</v>
      </c>
      <c r="O5" s="17">
        <f t="shared" si="1"/>
        <v>30.639733432</v>
      </c>
      <c r="P5" s="19">
        <v>0</v>
      </c>
      <c r="Q5" s="20">
        <f t="shared" si="2"/>
        <v>0</v>
      </c>
      <c r="R5" s="15" t="s">
        <v>27</v>
      </c>
      <c r="S5" s="15" t="s">
        <v>28</v>
      </c>
      <c r="T5" s="21" t="s">
        <v>29</v>
      </c>
      <c r="U5" s="22" t="s">
        <v>23</v>
      </c>
      <c r="V5" s="23" t="s">
        <v>30</v>
      </c>
    </row>
    <row r="6" spans="1:23" x14ac:dyDescent="0.2">
      <c r="A6" s="13">
        <v>45799</v>
      </c>
      <c r="B6" s="14">
        <v>0.49583333333333335</v>
      </c>
      <c r="C6" s="15" t="s">
        <v>24</v>
      </c>
      <c r="D6" s="16" t="s">
        <v>25</v>
      </c>
      <c r="E6" s="15" t="s">
        <v>26</v>
      </c>
      <c r="F6" s="16">
        <v>0.14099999999999999</v>
      </c>
      <c r="G6" s="16">
        <f>SUMIFS(F$2:F6, D$2:D6, D6, V$2:V6, "Yes")</f>
        <v>0.23478599999999999</v>
      </c>
      <c r="H6" s="18">
        <v>213.5</v>
      </c>
      <c r="I6" s="18">
        <f>IFERROR(VLOOKUP(D6,Kurse!$A:$E,2,FALSE),0)</f>
        <v>220.08</v>
      </c>
      <c r="J6" s="18">
        <v>30</v>
      </c>
      <c r="K6" s="18">
        <f>SUMIFS($J$2:J6, $D$2:D6, D6, $V$2:V6, "Yes")</f>
        <v>50</v>
      </c>
      <c r="L6" s="18">
        <v>0</v>
      </c>
      <c r="M6" s="18">
        <f t="shared" si="0"/>
        <v>30</v>
      </c>
      <c r="N6" s="18">
        <f>SUMIFS($M$2:M6, $D$2:D6, D6, $V$2:V6, "Yes")</f>
        <v>50</v>
      </c>
      <c r="O6" s="17">
        <f t="shared" si="1"/>
        <v>31.031279999999999</v>
      </c>
      <c r="P6" s="19">
        <v>0</v>
      </c>
      <c r="Q6" s="20">
        <f t="shared" si="2"/>
        <v>0</v>
      </c>
      <c r="R6" s="15" t="s">
        <v>45</v>
      </c>
      <c r="S6" s="15" t="s">
        <v>28</v>
      </c>
      <c r="T6" s="21" t="s">
        <v>43</v>
      </c>
      <c r="U6" s="22" t="s">
        <v>23</v>
      </c>
      <c r="V6" s="23" t="s">
        <v>30</v>
      </c>
    </row>
    <row r="7" spans="1:23" x14ac:dyDescent="0.2">
      <c r="A7" s="13">
        <v>45799</v>
      </c>
      <c r="B7" s="25">
        <v>0.46597222222222223</v>
      </c>
      <c r="C7" s="15" t="s">
        <v>24</v>
      </c>
      <c r="D7" s="16" t="s">
        <v>31</v>
      </c>
      <c r="E7" s="15" t="s">
        <v>32</v>
      </c>
      <c r="F7" s="16">
        <v>0.92</v>
      </c>
      <c r="G7" s="16">
        <f>SUMIFS(F$2:F7, D$2:D7, D7, V$2:V7, "Yes")</f>
        <v>4.1741489999999999</v>
      </c>
      <c r="H7" s="18">
        <v>9.17</v>
      </c>
      <c r="I7" s="18">
        <f>IFERROR(VLOOKUP(D7,Kurse!$A:$E,2,FALSE),0)</f>
        <v>9.3140000000000001</v>
      </c>
      <c r="J7" s="18">
        <v>8.44</v>
      </c>
      <c r="K7" s="18">
        <f>SUMIFS($J$2:J7, $D$2:D7, D7, $V$2:V7, "Yes")</f>
        <v>38.44</v>
      </c>
      <c r="L7" s="18">
        <v>0</v>
      </c>
      <c r="M7" s="18">
        <f t="shared" si="0"/>
        <v>8.44</v>
      </c>
      <c r="N7" s="18">
        <f>SUMIFS($M$2:M7, $D$2:D7, D7, $V$2:V7, "Yes")</f>
        <v>38.44</v>
      </c>
      <c r="O7" s="17">
        <f t="shared" si="1"/>
        <v>8.5688800000000001</v>
      </c>
      <c r="P7" s="19">
        <v>0</v>
      </c>
      <c r="Q7" s="20">
        <f t="shared" si="2"/>
        <v>0</v>
      </c>
      <c r="R7" s="15" t="s">
        <v>45</v>
      </c>
      <c r="S7" s="15" t="s">
        <v>28</v>
      </c>
      <c r="T7" s="21" t="s">
        <v>44</v>
      </c>
      <c r="U7" s="22" t="s">
        <v>23</v>
      </c>
      <c r="V7" s="23" t="s">
        <v>30</v>
      </c>
    </row>
    <row r="8" spans="1:23" x14ac:dyDescent="0.2">
      <c r="A8" s="27">
        <v>45818</v>
      </c>
      <c r="B8" s="76">
        <v>0.50555555555555554</v>
      </c>
      <c r="C8" s="24" t="s">
        <v>24</v>
      </c>
      <c r="D8" s="24" t="s">
        <v>25</v>
      </c>
      <c r="E8" s="28" t="s">
        <v>26</v>
      </c>
      <c r="F8" s="30">
        <v>0.22919999999999999</v>
      </c>
      <c r="G8" s="16">
        <f>SUMIFS(F$2:F8, D$2:D8, D8, V$2:V8, "Yes")</f>
        <v>0.46398600000000001</v>
      </c>
      <c r="H8" s="63">
        <v>218.15</v>
      </c>
      <c r="I8" s="18">
        <f>IFERROR(VLOOKUP(D8,Kurse!$A:$E,2,FALSE),0)</f>
        <v>220.08</v>
      </c>
      <c r="J8" s="63">
        <v>50</v>
      </c>
      <c r="K8" s="18">
        <f>SUMIFS($J$2:J8, $D$2:D8, D8, $V$2:V8, "Yes")</f>
        <v>100</v>
      </c>
      <c r="L8" s="63">
        <v>0</v>
      </c>
      <c r="M8" s="18">
        <f t="shared" si="0"/>
        <v>50</v>
      </c>
      <c r="N8" s="18">
        <f>SUMIFS($M$2:M8, $D$2:D8, D8, $V$2:V8, "Yes")</f>
        <v>100</v>
      </c>
      <c r="O8" s="17">
        <f t="shared" si="1"/>
        <v>50.442335999999997</v>
      </c>
      <c r="P8" s="69">
        <v>0</v>
      </c>
      <c r="Q8" s="20">
        <f t="shared" si="2"/>
        <v>0</v>
      </c>
      <c r="R8" s="28" t="s">
        <v>27</v>
      </c>
      <c r="S8" s="28" t="s">
        <v>28</v>
      </c>
      <c r="T8" s="24" t="s">
        <v>44</v>
      </c>
      <c r="U8" s="28" t="s">
        <v>23</v>
      </c>
      <c r="V8" s="28" t="s">
        <v>30</v>
      </c>
    </row>
    <row r="9" spans="1:23" x14ac:dyDescent="0.2">
      <c r="A9" s="27">
        <v>45812</v>
      </c>
      <c r="B9" s="28">
        <v>11.52</v>
      </c>
      <c r="C9" s="24" t="s">
        <v>24</v>
      </c>
      <c r="D9" s="24" t="s">
        <v>41</v>
      </c>
      <c r="E9" s="28" t="s">
        <v>42</v>
      </c>
      <c r="F9" s="30">
        <v>3.7173999999999999E-2</v>
      </c>
      <c r="G9" s="16">
        <f>SUMIFS(F$2:F9, D$2:D9, D9, V$2:V9, "Yes")</f>
        <v>3.7173999999999999E-2</v>
      </c>
      <c r="H9" s="63">
        <v>664.7</v>
      </c>
      <c r="I9" s="18">
        <f>IFERROR(VLOOKUP(D9,Kurse!$A:$E,2,FALSE),0)</f>
        <v>660.7</v>
      </c>
      <c r="J9" s="63">
        <v>24.71</v>
      </c>
      <c r="K9" s="18">
        <f>SUMIFS($J$2:J9, $D$2:D9, D9, $V$2:V9, "Yes")</f>
        <v>24.71</v>
      </c>
      <c r="L9" s="63">
        <v>0</v>
      </c>
      <c r="M9" s="18">
        <f t="shared" si="0"/>
        <v>24.71</v>
      </c>
      <c r="N9" s="18">
        <f>SUMIFS($M$2:M9, $D$2:D9, D9, $V$2:V9, "Yes")</f>
        <v>24.71</v>
      </c>
      <c r="O9" s="17">
        <f t="shared" si="1"/>
        <v>24.560861800000001</v>
      </c>
      <c r="P9" s="69">
        <v>0</v>
      </c>
      <c r="Q9" s="20">
        <f t="shared" si="2"/>
        <v>0</v>
      </c>
      <c r="R9" s="28" t="s">
        <v>27</v>
      </c>
      <c r="S9" s="28" t="s">
        <v>28</v>
      </c>
      <c r="T9" s="24" t="s">
        <v>44</v>
      </c>
      <c r="U9" s="28" t="s">
        <v>40</v>
      </c>
      <c r="V9" s="28" t="s">
        <v>30</v>
      </c>
    </row>
    <row r="10" spans="1:23" x14ac:dyDescent="0.2">
      <c r="A10" s="27">
        <v>45818</v>
      </c>
      <c r="B10" s="76">
        <v>0.4826388888888889</v>
      </c>
      <c r="C10" s="24" t="s">
        <v>24</v>
      </c>
      <c r="D10" s="24" t="s">
        <v>41</v>
      </c>
      <c r="E10" s="28" t="s">
        <v>42</v>
      </c>
      <c r="F10" s="30">
        <v>2.9506999999999999E-2</v>
      </c>
      <c r="G10" s="16">
        <f>SUMIFS(F$2:F10, D$2:D10, D10, V$2:V10, "Yes")</f>
        <v>6.668099999999999E-2</v>
      </c>
      <c r="H10" s="63">
        <v>677.8</v>
      </c>
      <c r="I10" s="18">
        <f>IFERROR(VLOOKUP(D10,Kurse!$A:$E,2,FALSE),0)</f>
        <v>660.7</v>
      </c>
      <c r="J10" s="63">
        <v>20</v>
      </c>
      <c r="K10" s="18">
        <f>SUMIFS($J$2:J10, $D$2:D10, D10, $V$2:V10, "Yes")</f>
        <v>44.71</v>
      </c>
      <c r="L10" s="63">
        <v>0</v>
      </c>
      <c r="M10" s="18">
        <f t="shared" si="0"/>
        <v>20</v>
      </c>
      <c r="N10" s="18">
        <f>SUMIFS($M$2:M10, $D$2:D10, D10, $V$2:V10, "Yes")</f>
        <v>44.71</v>
      </c>
      <c r="O10" s="17">
        <f t="shared" si="1"/>
        <v>19.495274900000002</v>
      </c>
      <c r="P10" s="69">
        <v>0</v>
      </c>
      <c r="Q10" s="20">
        <f t="shared" si="2"/>
        <v>0</v>
      </c>
      <c r="R10" s="28" t="s">
        <v>27</v>
      </c>
      <c r="S10" s="28" t="s">
        <v>28</v>
      </c>
      <c r="T10" s="24" t="s">
        <v>44</v>
      </c>
      <c r="U10" s="28" t="s">
        <v>40</v>
      </c>
      <c r="V10" s="28" t="s">
        <v>30</v>
      </c>
    </row>
    <row r="11" spans="1:23" x14ac:dyDescent="0.2">
      <c r="A11" s="27">
        <v>45812</v>
      </c>
      <c r="B11" s="76">
        <v>0.48055555555555557</v>
      </c>
      <c r="C11" s="24" t="s">
        <v>24</v>
      </c>
      <c r="D11" s="24" t="s">
        <v>38</v>
      </c>
      <c r="E11" s="28" t="s">
        <v>39</v>
      </c>
      <c r="F11" s="30">
        <v>1.6295E-2</v>
      </c>
      <c r="G11" s="16">
        <f>SUMIFS(F$2:F11, D$2:D11, D11, V$2:V11, "Yes")</f>
        <v>1.6295E-2</v>
      </c>
      <c r="H11" s="63">
        <v>1841</v>
      </c>
      <c r="I11" s="18">
        <f>IFERROR(VLOOKUP(D11,Kurse!$A:$E,2,FALSE),0)</f>
        <v>1752.5</v>
      </c>
      <c r="J11" s="63">
        <v>30</v>
      </c>
      <c r="K11" s="18">
        <f>SUMIFS($J$2:J11, $D$2:D11, D11, $V$2:V11, "Yes")</f>
        <v>30</v>
      </c>
      <c r="L11" s="63">
        <v>0</v>
      </c>
      <c r="M11" s="18">
        <f t="shared" si="0"/>
        <v>30</v>
      </c>
      <c r="N11" s="18">
        <f>SUMIFS($M$2:M11, $D$2:D11, D11, $V$2:V11, "Yes")</f>
        <v>30</v>
      </c>
      <c r="O11" s="17">
        <f t="shared" si="1"/>
        <v>28.556987500000002</v>
      </c>
      <c r="P11" s="69">
        <v>0</v>
      </c>
      <c r="Q11" s="20">
        <f t="shared" si="2"/>
        <v>0</v>
      </c>
      <c r="R11" s="28" t="s">
        <v>27</v>
      </c>
      <c r="S11" s="28" t="s">
        <v>28</v>
      </c>
      <c r="T11" s="24" t="s">
        <v>44</v>
      </c>
      <c r="U11" s="28" t="s">
        <v>40</v>
      </c>
      <c r="V11" s="28" t="s">
        <v>30</v>
      </c>
    </row>
    <row r="12" spans="1:23" x14ac:dyDescent="0.2">
      <c r="A12" s="27">
        <v>45818</v>
      </c>
      <c r="B12" s="76">
        <v>0.51180555555555551</v>
      </c>
      <c r="C12" s="24" t="s">
        <v>24</v>
      </c>
      <c r="D12" s="24" t="s">
        <v>38</v>
      </c>
      <c r="E12" s="28" t="s">
        <v>39</v>
      </c>
      <c r="F12" s="30">
        <v>1.1573999999999999E-2</v>
      </c>
      <c r="G12" s="16">
        <f>SUMIFS(F$2:F12, D$2:D12, D12, V$2:V12, "Yes")</f>
        <v>2.7868999999999998E-2</v>
      </c>
      <c r="H12" s="63">
        <v>1728</v>
      </c>
      <c r="I12" s="18">
        <f>IFERROR(VLOOKUP(D12,Kurse!$A:$E,2,FALSE),0)</f>
        <v>1752.5</v>
      </c>
      <c r="J12" s="63">
        <v>20</v>
      </c>
      <c r="K12" s="18">
        <f>SUMIFS($J$2:J12, $D$2:D12, D12, $V$2:V12, "Yes")</f>
        <v>50</v>
      </c>
      <c r="L12" s="63">
        <v>0</v>
      </c>
      <c r="M12" s="18">
        <f t="shared" si="0"/>
        <v>20</v>
      </c>
      <c r="N12" s="18">
        <f>SUMIFS($M$2:M12, $D$2:D12, D12, $V$2:V12, "Yes")</f>
        <v>50</v>
      </c>
      <c r="O12" s="17">
        <f t="shared" si="1"/>
        <v>20.283434999999997</v>
      </c>
      <c r="P12" s="69">
        <v>0</v>
      </c>
      <c r="Q12" s="20">
        <f t="shared" si="2"/>
        <v>0</v>
      </c>
      <c r="R12" s="28" t="s">
        <v>27</v>
      </c>
      <c r="S12" s="28" t="s">
        <v>28</v>
      </c>
      <c r="T12" s="24" t="s">
        <v>44</v>
      </c>
      <c r="U12" s="28" t="s">
        <v>40</v>
      </c>
      <c r="V12" s="28" t="s">
        <v>30</v>
      </c>
    </row>
    <row r="13" spans="1:23" x14ac:dyDescent="0.2">
      <c r="A13" s="27">
        <v>45810</v>
      </c>
      <c r="B13" s="76">
        <v>0.47013888888888888</v>
      </c>
      <c r="C13" s="24" t="s">
        <v>24</v>
      </c>
      <c r="D13" s="24" t="s">
        <v>31</v>
      </c>
      <c r="E13" s="28" t="s">
        <v>32</v>
      </c>
      <c r="F13" s="30">
        <v>2.1971340000000001</v>
      </c>
      <c r="G13" s="16">
        <f>SUMIFS(F$2:F13, D$2:D13, D13, V$2:V13, "Yes")</f>
        <v>6.371283</v>
      </c>
      <c r="H13" s="63">
        <v>9.1028000000000002</v>
      </c>
      <c r="I13" s="18">
        <f>IFERROR(VLOOKUP(D13,Kurse!$A:$E,2,FALSE),0)</f>
        <v>9.3140000000000001</v>
      </c>
      <c r="J13" s="63">
        <v>20</v>
      </c>
      <c r="K13" s="18">
        <f>SUMIFS($J$2:J13, $D$2:D13, D13, $V$2:V13, "Yes")</f>
        <v>58.44</v>
      </c>
      <c r="L13" s="63">
        <v>0</v>
      </c>
      <c r="M13" s="18">
        <f t="shared" si="0"/>
        <v>20</v>
      </c>
      <c r="N13" s="18">
        <f>SUMIFS($M$2:M13, $D$2:D13, D13, $V$2:V13, "Yes")</f>
        <v>58.44</v>
      </c>
      <c r="O13" s="17">
        <f t="shared" si="1"/>
        <v>20.464106076</v>
      </c>
      <c r="P13" s="69">
        <v>0</v>
      </c>
      <c r="Q13" s="20">
        <f t="shared" si="2"/>
        <v>0</v>
      </c>
      <c r="R13" s="28" t="s">
        <v>27</v>
      </c>
      <c r="S13" s="28" t="s">
        <v>28</v>
      </c>
      <c r="T13" s="24" t="s">
        <v>44</v>
      </c>
      <c r="U13" s="28" t="s">
        <v>23</v>
      </c>
      <c r="V13" s="28" t="s">
        <v>30</v>
      </c>
    </row>
    <row r="14" spans="1:23" x14ac:dyDescent="0.2">
      <c r="A14" s="27">
        <v>45818</v>
      </c>
      <c r="B14" s="76">
        <v>0.5180555555555556</v>
      </c>
      <c r="C14" s="24" t="s">
        <v>24</v>
      </c>
      <c r="D14" s="24" t="s">
        <v>31</v>
      </c>
      <c r="E14" s="28" t="s">
        <v>32</v>
      </c>
      <c r="F14" s="30">
        <v>5.3699919999999999</v>
      </c>
      <c r="G14" s="16">
        <f>SUMIFS(F$2:F14, D$2:D14, D14, V$2:V14, "Yes")</f>
        <v>11.741275</v>
      </c>
      <c r="H14" s="63">
        <v>9.3109999999999999</v>
      </c>
      <c r="I14" s="18">
        <f>IFERROR(VLOOKUP(D14,Kurse!$A:$E,2,FALSE),0)</f>
        <v>9.3140000000000001</v>
      </c>
      <c r="J14" s="63">
        <v>50</v>
      </c>
      <c r="K14" s="18">
        <f>SUMIFS($J$2:J14, $D$2:D14, D14, $V$2:V14, "Yes")</f>
        <v>108.44</v>
      </c>
      <c r="L14" s="63">
        <v>0</v>
      </c>
      <c r="M14" s="18">
        <f t="shared" si="0"/>
        <v>50</v>
      </c>
      <c r="N14" s="18">
        <f>SUMIFS($M$2:M14, $D$2:D14, D14, $V$2:V14, "Yes")</f>
        <v>108.44</v>
      </c>
      <c r="O14" s="17">
        <f t="shared" si="1"/>
        <v>50.016105488000001</v>
      </c>
      <c r="P14" s="69">
        <v>0</v>
      </c>
      <c r="Q14" s="20">
        <f t="shared" si="2"/>
        <v>0</v>
      </c>
      <c r="R14" s="28" t="s">
        <v>27</v>
      </c>
      <c r="S14" s="28" t="s">
        <v>28</v>
      </c>
      <c r="T14" s="24" t="s">
        <v>44</v>
      </c>
      <c r="U14" s="28" t="s">
        <v>23</v>
      </c>
      <c r="V14" s="28" t="s">
        <v>30</v>
      </c>
    </row>
    <row r="15" spans="1:23" x14ac:dyDescent="0.2">
      <c r="A15" s="27">
        <v>45810</v>
      </c>
      <c r="B15" s="76">
        <v>0.49791666666666667</v>
      </c>
      <c r="C15" s="24" t="s">
        <v>24</v>
      </c>
      <c r="D15" s="24" t="s">
        <v>36</v>
      </c>
      <c r="E15" s="28" t="s">
        <v>37</v>
      </c>
      <c r="F15" s="30">
        <v>0.64329999999999998</v>
      </c>
      <c r="G15" s="16">
        <f>SUMIFS(F$2:F15, D$2:D15, D15, V$2:V15, "Yes")</f>
        <v>1.297464</v>
      </c>
      <c r="H15" s="63">
        <v>30.56</v>
      </c>
      <c r="I15" s="18">
        <f>IFERROR(VLOOKUP(D15,Kurse!$A:$E,2,FALSE),0)</f>
        <v>46.838000000000001</v>
      </c>
      <c r="J15" s="63">
        <v>30.56</v>
      </c>
      <c r="K15" s="18">
        <f>SUMIFS($J$2:J15, $D$2:D15, D15, $V$2:V15, "Yes")</f>
        <v>60.56</v>
      </c>
      <c r="L15" s="63">
        <v>0</v>
      </c>
      <c r="M15" s="18">
        <f t="shared" si="0"/>
        <v>30.56</v>
      </c>
      <c r="N15" s="18">
        <f>SUMIFS($M$2:M15, $D$2:D15, D15, $V$2:V15, "Yes")</f>
        <v>60.56</v>
      </c>
      <c r="O15" s="17">
        <f t="shared" si="1"/>
        <v>30.1308854</v>
      </c>
      <c r="P15" s="69">
        <v>0</v>
      </c>
      <c r="Q15" s="20">
        <f t="shared" si="2"/>
        <v>0</v>
      </c>
      <c r="R15" s="28" t="s">
        <v>27</v>
      </c>
      <c r="S15" s="28" t="s">
        <v>28</v>
      </c>
      <c r="T15" s="24" t="s">
        <v>44</v>
      </c>
      <c r="U15" s="28" t="s">
        <v>23</v>
      </c>
      <c r="V15" s="28" t="s">
        <v>30</v>
      </c>
    </row>
    <row r="16" spans="1:23" x14ac:dyDescent="0.2">
      <c r="A16" s="27">
        <v>45818</v>
      </c>
      <c r="B16" s="76">
        <v>0.50555555555555554</v>
      </c>
      <c r="C16" s="24" t="s">
        <v>24</v>
      </c>
      <c r="D16" s="24" t="s">
        <v>36</v>
      </c>
      <c r="E16" s="28" t="s">
        <v>37</v>
      </c>
      <c r="F16" s="30">
        <v>2.0977549999999998</v>
      </c>
      <c r="G16" s="16">
        <f>SUMIFS(F$2:F16, D$2:D16, D16, V$2:V16, "Yes")</f>
        <v>3.395219</v>
      </c>
      <c r="H16" s="63">
        <v>47.67</v>
      </c>
      <c r="I16" s="18">
        <f>IFERROR(VLOOKUP(D16,Kurse!$A:$E,2,FALSE),0)</f>
        <v>46.838000000000001</v>
      </c>
      <c r="J16" s="63">
        <v>100</v>
      </c>
      <c r="K16" s="18">
        <f>SUMIFS($J$2:J16, $D$2:D16, D16, $V$2:V16, "Yes")</f>
        <v>160.56</v>
      </c>
      <c r="L16" s="63">
        <v>0</v>
      </c>
      <c r="M16" s="18">
        <f t="shared" si="0"/>
        <v>100</v>
      </c>
      <c r="N16" s="18">
        <f>SUMIFS($M$2:M16, $D$2:D16, D16, $V$2:V16, "Yes")</f>
        <v>160.56</v>
      </c>
      <c r="O16" s="17">
        <f t="shared" si="1"/>
        <v>98.254648689999996</v>
      </c>
      <c r="P16" s="69">
        <v>0</v>
      </c>
      <c r="Q16" s="20">
        <f t="shared" si="2"/>
        <v>0</v>
      </c>
      <c r="R16" s="28" t="s">
        <v>27</v>
      </c>
      <c r="S16" s="28" t="s">
        <v>28</v>
      </c>
      <c r="T16" s="24" t="s">
        <v>44</v>
      </c>
      <c r="U16" s="28" t="s">
        <v>23</v>
      </c>
      <c r="V16" s="28" t="s">
        <v>30</v>
      </c>
    </row>
    <row r="17" spans="7:17" x14ac:dyDescent="0.2">
      <c r="G17" s="16">
        <f>SUMIFS(F$2:F17, D$2:D17, D17, V$2:V17, "Yes")</f>
        <v>0</v>
      </c>
      <c r="I17" s="18">
        <f>IFERROR(VLOOKUP(D17,Kurse!$A:$E,2,FALSE),0)</f>
        <v>0</v>
      </c>
      <c r="K17" s="18">
        <f>SUMIFS($J$2:J17, $D$2:D17, D17, $V$2:V17, "Yes")</f>
        <v>0</v>
      </c>
      <c r="M17" s="18" t="str">
        <f t="shared" si="0"/>
        <v/>
      </c>
      <c r="N17" s="18">
        <f>SUMIFS($M$2:M17, $D$2:D17, D17, $V$2:V17, "Yes")</f>
        <v>0</v>
      </c>
      <c r="O17" s="17" t="str">
        <f t="shared" si="1"/>
        <v/>
      </c>
      <c r="Q17" s="20">
        <f t="shared" si="2"/>
        <v>0</v>
      </c>
    </row>
    <row r="18" spans="7:17" x14ac:dyDescent="0.2">
      <c r="G18" s="16">
        <f>SUMIFS(F$2:F18, D$2:D18, D18, V$2:V18, "Yes")</f>
        <v>0</v>
      </c>
      <c r="I18" s="18">
        <f>IFERROR(VLOOKUP(D18,Kurse!$A:$E,2,FALSE),0)</f>
        <v>0</v>
      </c>
      <c r="K18" s="18">
        <f>SUMIFS($J$2:J18, $D$2:D18, D18, $V$2:V18, "Yes")</f>
        <v>0</v>
      </c>
      <c r="M18" s="18" t="str">
        <f t="shared" si="0"/>
        <v/>
      </c>
      <c r="N18" s="18">
        <f>SUMIFS($M$2:M18, $D$2:D18, D18, $V$2:V18, "Yes")</f>
        <v>0</v>
      </c>
      <c r="O18" s="17" t="str">
        <f t="shared" si="1"/>
        <v/>
      </c>
      <c r="Q18" s="20">
        <f t="shared" si="2"/>
        <v>0</v>
      </c>
    </row>
    <row r="19" spans="7:17" x14ac:dyDescent="0.2">
      <c r="G19" s="16">
        <f>SUMIFS(F$2:F19, D$2:D19, D19, V$2:V19, "Yes")</f>
        <v>0</v>
      </c>
      <c r="I19" s="18">
        <f>IFERROR(VLOOKUP(D19,Kurse!$A:$E,2,FALSE),0)</f>
        <v>0</v>
      </c>
      <c r="K19" s="18">
        <f>SUMIFS($J$2:J19, $D$2:D19, D19, $V$2:V19, "Yes")</f>
        <v>0</v>
      </c>
      <c r="M19" s="18" t="str">
        <f t="shared" si="0"/>
        <v/>
      </c>
      <c r="N19" s="18">
        <f>SUMIFS($M$2:M19, $D$2:D19, D19, $V$2:V19, "Yes")</f>
        <v>0</v>
      </c>
      <c r="O19" s="17" t="str">
        <f t="shared" si="1"/>
        <v/>
      </c>
      <c r="Q19" s="20">
        <f t="shared" si="2"/>
        <v>0</v>
      </c>
    </row>
    <row r="20" spans="7:17" x14ac:dyDescent="0.2">
      <c r="G20" s="16">
        <f>SUMIFS(F$2:F20, D$2:D20, D20, V$2:V20, "Yes")</f>
        <v>0</v>
      </c>
      <c r="I20" s="18">
        <f>IFERROR(VLOOKUP(D20,Kurse!$A:$E,2,FALSE),0)</f>
        <v>0</v>
      </c>
      <c r="K20" s="18">
        <f>SUMIFS($J$2:J20, $D$2:D20, D20, $V$2:V20, "Yes")</f>
        <v>0</v>
      </c>
      <c r="M20" s="18" t="str">
        <f t="shared" si="0"/>
        <v/>
      </c>
      <c r="N20" s="18">
        <f>SUMIFS($M$2:M20, $D$2:D20, D20, $V$2:V20, "Yes")</f>
        <v>0</v>
      </c>
      <c r="O20" s="17" t="str">
        <f t="shared" si="1"/>
        <v/>
      </c>
      <c r="Q20" s="20">
        <f t="shared" si="2"/>
        <v>0</v>
      </c>
    </row>
    <row r="21" spans="7:17" x14ac:dyDescent="0.2">
      <c r="G21" s="16">
        <f>SUMIFS(F$2:F21, D$2:D21, D21, V$2:V21, "Yes")</f>
        <v>0</v>
      </c>
      <c r="I21" s="18">
        <f>IFERROR(VLOOKUP(D21,Kurse!$A:$E,2,FALSE),0)</f>
        <v>0</v>
      </c>
      <c r="K21" s="18">
        <f>SUMIFS($J$2:J21, $D$2:D21, D21, $V$2:V21, "Yes")</f>
        <v>0</v>
      </c>
      <c r="M21" s="18" t="str">
        <f t="shared" si="0"/>
        <v/>
      </c>
      <c r="N21" s="18">
        <f>SUMIFS($M$2:M21, $D$2:D21, D21, $V$2:V21, "Yes")</f>
        <v>0</v>
      </c>
      <c r="O21" s="17" t="str">
        <f t="shared" si="1"/>
        <v/>
      </c>
      <c r="Q21" s="20">
        <f t="shared" si="2"/>
        <v>0</v>
      </c>
    </row>
    <row r="22" spans="7:17" x14ac:dyDescent="0.2">
      <c r="G22" s="16">
        <f>SUMIFS(F$2:F22, D$2:D22, D22, V$2:V22, "Yes")</f>
        <v>0</v>
      </c>
      <c r="I22" s="18">
        <f>IFERROR(VLOOKUP(D22,Kurse!$A:$E,2,FALSE),0)</f>
        <v>0</v>
      </c>
      <c r="K22" s="18">
        <f>SUMIFS($J$2:J22, $D$2:D22, D22, $V$2:V22, "Yes")</f>
        <v>0</v>
      </c>
      <c r="M22" s="18" t="str">
        <f t="shared" si="0"/>
        <v/>
      </c>
      <c r="N22" s="18">
        <f>SUMIFS($M$2:M22, $D$2:D22, D22, $V$2:V22, "Yes")</f>
        <v>0</v>
      </c>
      <c r="O22" s="17" t="str">
        <f t="shared" si="1"/>
        <v/>
      </c>
      <c r="Q22" s="20">
        <f t="shared" si="2"/>
        <v>0</v>
      </c>
    </row>
    <row r="23" spans="7:17" x14ac:dyDescent="0.2">
      <c r="G23" s="16">
        <f>SUMIFS(F$2:F23, D$2:D23, D23, V$2:V23, "Yes")</f>
        <v>0</v>
      </c>
      <c r="I23" s="18">
        <f>IFERROR(VLOOKUP(D23,Kurse!$A:$E,2,FALSE),0)</f>
        <v>0</v>
      </c>
      <c r="K23" s="18">
        <f>SUMIFS($J$2:J23, $D$2:D23, D23, $V$2:V23, "Yes")</f>
        <v>0</v>
      </c>
      <c r="M23" s="18" t="str">
        <f t="shared" si="0"/>
        <v/>
      </c>
      <c r="N23" s="18">
        <f>SUMIFS($M$2:M23, $D$2:D23, D23, $V$2:V23, "Yes")</f>
        <v>0</v>
      </c>
      <c r="O23" s="17" t="str">
        <f t="shared" si="1"/>
        <v/>
      </c>
      <c r="Q23" s="20">
        <f t="shared" si="2"/>
        <v>0</v>
      </c>
    </row>
    <row r="24" spans="7:17" x14ac:dyDescent="0.2">
      <c r="G24" s="16">
        <f>SUMIFS(F$2:F24, D$2:D24, D24, V$2:V24, "Yes")</f>
        <v>0</v>
      </c>
      <c r="I24" s="18">
        <f>IFERROR(VLOOKUP(D24,Kurse!$A:$E,2,FALSE),0)</f>
        <v>0</v>
      </c>
      <c r="K24" s="18">
        <f>SUMIFS($J$2:J24, $D$2:D24, D24, $V$2:V24, "Yes")</f>
        <v>0</v>
      </c>
      <c r="M24" s="18" t="str">
        <f t="shared" si="0"/>
        <v/>
      </c>
      <c r="N24" s="18">
        <f>SUMIFS($M$2:M24, $D$2:D24, D24, $V$2:V24, "Yes")</f>
        <v>0</v>
      </c>
      <c r="O24" s="17" t="str">
        <f t="shared" si="1"/>
        <v/>
      </c>
      <c r="Q24" s="20">
        <f t="shared" si="2"/>
        <v>0</v>
      </c>
    </row>
    <row r="25" spans="7:17" x14ac:dyDescent="0.2">
      <c r="G25" s="16">
        <f>SUMIFS(F$2:F25, D$2:D25, D25, V$2:V25, "Yes")</f>
        <v>0</v>
      </c>
      <c r="I25" s="18">
        <f>IFERROR(VLOOKUP(D25,Kurse!$A:$E,2,FALSE),0)</f>
        <v>0</v>
      </c>
      <c r="K25" s="18">
        <f>SUMIFS($J$2:J25, $D$2:D25, D25, $V$2:V25, "Yes")</f>
        <v>0</v>
      </c>
      <c r="M25" s="18" t="str">
        <f t="shared" si="0"/>
        <v/>
      </c>
      <c r="N25" s="18">
        <f>SUMIFS($M$2:M25, $D$2:D25, D25, $V$2:V25, "Yes")</f>
        <v>0</v>
      </c>
      <c r="O25" s="17" t="str">
        <f t="shared" si="1"/>
        <v/>
      </c>
      <c r="Q25" s="20">
        <f t="shared" si="2"/>
        <v>0</v>
      </c>
    </row>
    <row r="26" spans="7:17" x14ac:dyDescent="0.2">
      <c r="G26" s="16">
        <f>SUMIFS(F$2:F26, D$2:D26, D26, V$2:V26, "Yes")</f>
        <v>0</v>
      </c>
      <c r="I26" s="18">
        <f>IFERROR(VLOOKUP(D26,Kurse!$A:$E,2,FALSE),0)</f>
        <v>0</v>
      </c>
      <c r="K26" s="18">
        <f>SUMIFS($J$2:J26, $D$2:D26, D26, $V$2:V26, "Yes")</f>
        <v>0</v>
      </c>
      <c r="M26" s="18" t="str">
        <f t="shared" si="0"/>
        <v/>
      </c>
      <c r="N26" s="18">
        <f>SUMIFS($M$2:M26, $D$2:D26, D26, $V$2:V26, "Yes")</f>
        <v>0</v>
      </c>
      <c r="O26" s="17" t="str">
        <f t="shared" si="1"/>
        <v/>
      </c>
      <c r="Q26" s="20">
        <f t="shared" si="2"/>
        <v>0</v>
      </c>
    </row>
    <row r="27" spans="7:17" x14ac:dyDescent="0.2">
      <c r="G27" s="16">
        <f>SUMIFS(F$2:F27, D$2:D27, D27, V$2:V27, "Yes")</f>
        <v>0</v>
      </c>
      <c r="I27" s="18">
        <f>IFERROR(VLOOKUP(D27,Kurse!$A:$E,2,FALSE),0)</f>
        <v>0</v>
      </c>
      <c r="K27" s="18">
        <f>SUMIFS($J$2:J27, $D$2:D27, D27, $V$2:V27, "Yes")</f>
        <v>0</v>
      </c>
      <c r="M27" s="18" t="str">
        <f t="shared" si="0"/>
        <v/>
      </c>
      <c r="N27" s="18">
        <f>SUMIFS($M$2:M27, $D$2:D27, D27, $V$2:V27, "Yes")</f>
        <v>0</v>
      </c>
      <c r="O27" s="17" t="str">
        <f t="shared" si="1"/>
        <v/>
      </c>
      <c r="Q27" s="20">
        <f t="shared" si="2"/>
        <v>0</v>
      </c>
    </row>
  </sheetData>
  <dataValidations count="6">
    <dataValidation type="list" allowBlank="1" showInputMessage="1" showErrorMessage="1" sqref="U6:U7" xr:uid="{65440BA5-D637-CF4D-84DF-A68FC0DE34C3}">
      <formula1>"ETF,Stock,Cryptocurrency,Commodity,Cash,Other"</formula1>
    </dataValidation>
    <dataValidation type="list" allowBlank="1" showInputMessage="1" showErrorMessage="1" sqref="U2:U5" xr:uid="{2A68596A-EEF0-1C4A-AF1A-2E28968887BC}">
      <formula1>"ETF,Cryptocurrency,Commodity,Cash,Other,Equity"</formula1>
    </dataValidation>
    <dataValidation type="list" allowBlank="1" showInputMessage="1" showErrorMessage="1" sqref="V2:V7" xr:uid="{BDF36AFA-4FBD-A145-9BFD-44EB64ED536F}">
      <formula1>"Yes,No"</formula1>
    </dataValidation>
    <dataValidation type="list" allowBlank="1" showInputMessage="1" showErrorMessage="1" sqref="S2:S7" xr:uid="{4E00A8F3-90A6-C04F-8F87-81EEF981E917}">
      <formula1>"Core,Satellite,Speculative,Mini,Learning Only"</formula1>
    </dataValidation>
    <dataValidation type="list" allowBlank="1" showInputMessage="1" showErrorMessage="1" sqref="C2:C292" xr:uid="{9A067F87-1089-274D-9A53-36B8F1D1D2D3}">
      <formula1>"Scalable Capital,Trade Republic,Other"</formula1>
    </dataValidation>
    <dataValidation type="list" allowBlank="1" showInputMessage="1" showErrorMessage="1" sqref="R2:R41" xr:uid="{A2056B3B-EAAA-684D-BA5A-78CD5D7BBC07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CEA-8AF7-9B4B-A5F0-FAD6F1A09893}">
  <dimension ref="A1:H20"/>
  <sheetViews>
    <sheetView tabSelected="1" topLeftCell="G1" zoomScale="50" zoomScaleNormal="70" workbookViewId="0">
      <pane ySplit="1" topLeftCell="A2" activePane="bottomLeft" state="frozen"/>
      <selection pane="bottomLeft" activeCell="T5" sqref="T5"/>
    </sheetView>
  </sheetViews>
  <sheetFormatPr baseColWidth="10" defaultRowHeight="16" x14ac:dyDescent="0.2"/>
  <cols>
    <col min="1" max="1" width="39.33203125" bestFit="1" customWidth="1"/>
    <col min="2" max="2" width="21" style="32" bestFit="1" customWidth="1"/>
    <col min="3" max="3" width="17.5" style="26" bestFit="1" customWidth="1"/>
    <col min="4" max="4" width="20.5" style="34" bestFit="1" customWidth="1"/>
    <col min="5" max="5" width="14.33203125" style="35" bestFit="1" customWidth="1"/>
    <col min="6" max="6" width="23.83203125" style="33" bestFit="1" customWidth="1"/>
    <col min="7" max="7" width="10.5" bestFit="1" customWidth="1"/>
    <col min="8" max="8" width="12" style="33" bestFit="1" customWidth="1"/>
  </cols>
  <sheetData>
    <row r="1" spans="1:8" x14ac:dyDescent="0.2">
      <c r="A1" s="39" t="s">
        <v>3</v>
      </c>
      <c r="B1" s="40" t="s">
        <v>55</v>
      </c>
      <c r="C1" s="41" t="s">
        <v>65</v>
      </c>
      <c r="D1" s="42" t="s">
        <v>52</v>
      </c>
      <c r="E1" s="43" t="s">
        <v>56</v>
      </c>
      <c r="F1" s="44" t="s">
        <v>51</v>
      </c>
      <c r="G1" s="45" t="s">
        <v>53</v>
      </c>
      <c r="H1" s="44" t="s">
        <v>54</v>
      </c>
    </row>
    <row r="2" spans="1:8" x14ac:dyDescent="0.2">
      <c r="A2" s="29" t="s">
        <v>25</v>
      </c>
      <c r="B2" s="31">
        <f>SUMIF('Portfolio Overview'!D:D, A2, 'Portfolio Overview'!F:F)</f>
        <v>0.46398600000000001</v>
      </c>
      <c r="C2" s="26">
        <f>B2 * VLOOKUP(A2, 'Portfolio Overview'!D:I, 6, FALSE)</f>
        <v>102.11403888000001</v>
      </c>
      <c r="D2" s="34">
        <f>SUMIF('Portfolio Overview'!D:D, A2, 'Portfolio Overview'!J:J)</f>
        <v>100</v>
      </c>
      <c r="E2" s="36">
        <f>SUMIF('Portfolio Overview'!D:D, A2, 'Portfolio Overview'!M:M)</f>
        <v>100</v>
      </c>
      <c r="F2" s="33">
        <f t="shared" ref="F2:F7" si="0">IFERROR(C2/SUM($C$2:$C$7),0)</f>
        <v>0.19904815217202307</v>
      </c>
      <c r="G2" s="26">
        <f t="shared" ref="G2:G7" si="1">C2-E2</f>
        <v>2.1140388800000096</v>
      </c>
      <c r="H2" s="70">
        <f t="shared" ref="H2:H7" si="2">IF(E2=0, "", (C2 - E2)/E2)</f>
        <v>2.1140388800000097E-2</v>
      </c>
    </row>
    <row r="3" spans="1:8" x14ac:dyDescent="0.2">
      <c r="A3" s="29" t="s">
        <v>36</v>
      </c>
      <c r="B3" s="31">
        <f>SUMIF('Portfolio Overview'!D:D, A3, 'Portfolio Overview'!F:F)</f>
        <v>3.395219</v>
      </c>
      <c r="C3" s="26">
        <f>B3 * VLOOKUP(A3, 'Portfolio Overview'!D:I, 6, FALSE)</f>
        <v>159.02526752200001</v>
      </c>
      <c r="D3" s="34">
        <f>SUMIF('Portfolio Overview'!D:D, A3, 'Portfolio Overview'!J:J)</f>
        <v>160.56</v>
      </c>
      <c r="E3" s="36">
        <f>SUMIF('Portfolio Overview'!D:D, A3, 'Portfolio Overview'!M:M)</f>
        <v>160.56</v>
      </c>
      <c r="F3" s="33">
        <f t="shared" si="0"/>
        <v>0.30998368095217321</v>
      </c>
      <c r="G3" s="26">
        <f t="shared" si="1"/>
        <v>-1.5347324779999951</v>
      </c>
      <c r="H3" s="70">
        <f t="shared" si="2"/>
        <v>-9.5586228076731134E-3</v>
      </c>
    </row>
    <row r="4" spans="1:8" x14ac:dyDescent="0.2">
      <c r="A4" s="29" t="s">
        <v>31</v>
      </c>
      <c r="B4" s="31">
        <f>SUMIF('Portfolio Overview'!D:D, A4, 'Portfolio Overview'!F:F)</f>
        <v>11.741275</v>
      </c>
      <c r="C4" s="26">
        <f>B4 * VLOOKUP(A4, 'Portfolio Overview'!D:I, 6, FALSE)</f>
        <v>109.35823535</v>
      </c>
      <c r="D4" s="34">
        <f>SUMIF('Portfolio Overview'!D:D, A4, 'Portfolio Overview'!J:J)</f>
        <v>108.44</v>
      </c>
      <c r="E4" s="36">
        <f>SUMIF('Portfolio Overview'!D:D, A4, 'Portfolio Overview'!M:M)</f>
        <v>108.44</v>
      </c>
      <c r="F4" s="33">
        <f t="shared" si="0"/>
        <v>0.21316906969854554</v>
      </c>
      <c r="G4" s="26">
        <f t="shared" si="1"/>
        <v>0.91823535000000334</v>
      </c>
      <c r="H4" s="70">
        <f t="shared" si="2"/>
        <v>8.4676812061970069E-3</v>
      </c>
    </row>
    <row r="5" spans="1:8" x14ac:dyDescent="0.2">
      <c r="A5" s="29" t="s">
        <v>33</v>
      </c>
      <c r="B5" s="31">
        <f>SUMIF('Portfolio Overview'!D:D, A5, 'Portfolio Overview'!F:F)</f>
        <v>0.88920500000000002</v>
      </c>
      <c r="C5" s="26">
        <f>B5 * VLOOKUP(A5, 'Portfolio Overview'!D:I, 6, FALSE)</f>
        <v>49.617638999999997</v>
      </c>
      <c r="D5" s="34">
        <f>SUMIF('Portfolio Overview'!D:D, A5, 'Portfolio Overview'!J:J)</f>
        <v>50</v>
      </c>
      <c r="E5" s="36">
        <f>SUMIF('Portfolio Overview'!D:D, A5, 'Portfolio Overview'!M:M)</f>
        <v>50</v>
      </c>
      <c r="F5" s="33">
        <f t="shared" si="0"/>
        <v>9.671833047064865E-2</v>
      </c>
      <c r="G5" s="26">
        <f t="shared" si="1"/>
        <v>-0.38236100000000306</v>
      </c>
      <c r="H5" s="70">
        <f t="shared" si="2"/>
        <v>-7.6472200000000613E-3</v>
      </c>
    </row>
    <row r="6" spans="1:8" x14ac:dyDescent="0.2">
      <c r="A6" s="29" t="s">
        <v>38</v>
      </c>
      <c r="B6" s="31">
        <f>SUMIF('Portfolio Overview'!D:D, A6, 'Portfolio Overview'!F:F)</f>
        <v>2.7868999999999998E-2</v>
      </c>
      <c r="C6" s="26">
        <f>B6 * VLOOKUP(A6, 'Portfolio Overview'!D:I, 6, FALSE)</f>
        <v>48.840422499999995</v>
      </c>
      <c r="D6" s="34">
        <f>SUMIF('Portfolio Overview'!D:D, A6, 'Portfolio Overview'!J:J)</f>
        <v>50</v>
      </c>
      <c r="E6" s="36">
        <f>SUMIF('Portfolio Overview'!D:D, A6, 'Portfolio Overview'!M:M)</f>
        <v>50</v>
      </c>
      <c r="F6" s="33">
        <f t="shared" si="0"/>
        <v>9.5203323231101408E-2</v>
      </c>
      <c r="G6" s="26">
        <f t="shared" si="1"/>
        <v>-1.1595775000000046</v>
      </c>
      <c r="H6" s="70">
        <f t="shared" si="2"/>
        <v>-2.3191550000000092E-2</v>
      </c>
    </row>
    <row r="7" spans="1:8" x14ac:dyDescent="0.2">
      <c r="A7" s="29" t="s">
        <v>41</v>
      </c>
      <c r="B7" s="31">
        <f>SUMIF('Portfolio Overview'!D:D, A7, 'Portfolio Overview'!F:F)</f>
        <v>6.668099999999999E-2</v>
      </c>
      <c r="C7" s="26">
        <f>B7 * VLOOKUP(A7, 'Portfolio Overview'!D:I, 6, FALSE)</f>
        <v>44.056136699999996</v>
      </c>
      <c r="D7" s="34">
        <f>SUMIF('Portfolio Overview'!D:D, A7, 'Portfolio Overview'!J:J)</f>
        <v>44.71</v>
      </c>
      <c r="E7" s="36">
        <f>SUMIF('Portfolio Overview'!D:D, A7, 'Portfolio Overview'!M:M)</f>
        <v>44.71</v>
      </c>
      <c r="F7" s="33">
        <f t="shared" si="0"/>
        <v>8.5877443475508214E-2</v>
      </c>
      <c r="G7" s="26">
        <f t="shared" si="1"/>
        <v>-0.6538633000000047</v>
      </c>
      <c r="H7" s="70">
        <f t="shared" si="2"/>
        <v>-1.4624542607917797E-2</v>
      </c>
    </row>
    <row r="8" spans="1:8" x14ac:dyDescent="0.2">
      <c r="A8" s="77" t="s">
        <v>57</v>
      </c>
      <c r="B8" s="78"/>
      <c r="C8" s="79">
        <f>SUM(C2:C7)</f>
        <v>513.01173995199997</v>
      </c>
      <c r="D8" s="80">
        <f>SUM(D2:D7)</f>
        <v>513.71</v>
      </c>
      <c r="E8" s="80">
        <f>SUM(E2:E7)</f>
        <v>513.71</v>
      </c>
      <c r="F8" s="81"/>
      <c r="G8" s="79">
        <f>SUM(G2:G7)</f>
        <v>-0.69826004799999453</v>
      </c>
      <c r="H8" s="82">
        <f>(C8-E8)/E8</f>
        <v>-1.3592494753850723E-3</v>
      </c>
    </row>
    <row r="9" spans="1:8" x14ac:dyDescent="0.2">
      <c r="A9" s="64"/>
      <c r="B9" s="65"/>
      <c r="C9" s="66"/>
      <c r="D9" s="67"/>
      <c r="E9" s="67"/>
      <c r="F9" s="68"/>
      <c r="G9" s="66"/>
      <c r="H9" s="68"/>
    </row>
    <row r="19" spans="1:7" x14ac:dyDescent="0.2">
      <c r="B19" s="31"/>
      <c r="E19" s="36"/>
      <c r="G19" s="26"/>
    </row>
    <row r="20" spans="1:7" x14ac:dyDescent="0.2">
      <c r="A20" s="2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F9E-AB4F-9142-A454-1BC94A13C90C}">
  <dimension ref="A1:F12"/>
  <sheetViews>
    <sheetView zoomScale="250" zoomScaleNormal="50" workbookViewId="0">
      <selection activeCell="Z38" sqref="Z38"/>
    </sheetView>
  </sheetViews>
  <sheetFormatPr baseColWidth="10" defaultRowHeight="16" x14ac:dyDescent="0.2"/>
  <cols>
    <col min="1" max="1" width="39.6640625" style="28" bestFit="1" customWidth="1"/>
    <col min="2" max="3" width="16.33203125" style="28" bestFit="1" customWidth="1"/>
    <col min="4" max="4" width="11.83203125" style="53" bestFit="1" customWidth="1"/>
    <col min="5" max="5" width="13.33203125" style="61" bestFit="1" customWidth="1"/>
    <col min="6" max="6" width="12.83203125" style="28" bestFit="1" customWidth="1"/>
    <col min="7" max="16384" width="10.83203125" style="24"/>
  </cols>
  <sheetData>
    <row r="1" spans="1:6" ht="18" x14ac:dyDescent="0.2">
      <c r="A1" s="83" t="s">
        <v>58</v>
      </c>
      <c r="B1" s="83"/>
      <c r="C1" s="83"/>
      <c r="D1" s="83"/>
      <c r="E1" s="83"/>
      <c r="F1" s="83"/>
    </row>
    <row r="2" spans="1:6" x14ac:dyDescent="0.2">
      <c r="A2" s="54" t="s">
        <v>59</v>
      </c>
      <c r="B2" s="54" t="s">
        <v>60</v>
      </c>
      <c r="C2" s="54" t="s">
        <v>2</v>
      </c>
      <c r="D2" s="48" t="s">
        <v>61</v>
      </c>
      <c r="E2" s="57" t="s">
        <v>62</v>
      </c>
      <c r="F2" s="54" t="s">
        <v>20</v>
      </c>
    </row>
    <row r="3" spans="1:6" x14ac:dyDescent="0.2">
      <c r="A3" s="37" t="s">
        <v>66</v>
      </c>
      <c r="B3" s="38" t="s">
        <v>26</v>
      </c>
      <c r="C3" s="38" t="s">
        <v>24</v>
      </c>
      <c r="D3" s="49">
        <v>50</v>
      </c>
      <c r="E3" s="71">
        <f>D3/$D$9</f>
        <v>0.20833333333333334</v>
      </c>
      <c r="F3" s="38" t="s">
        <v>23</v>
      </c>
    </row>
    <row r="4" spans="1:6" x14ac:dyDescent="0.2">
      <c r="A4" s="37" t="s">
        <v>67</v>
      </c>
      <c r="B4" s="38" t="s">
        <v>32</v>
      </c>
      <c r="C4" s="38" t="s">
        <v>24</v>
      </c>
      <c r="D4" s="49">
        <v>50</v>
      </c>
      <c r="E4" s="71">
        <f t="shared" ref="E4:E8" si="0">D4/$D$9</f>
        <v>0.20833333333333334</v>
      </c>
      <c r="F4" s="38" t="s">
        <v>23</v>
      </c>
    </row>
    <row r="5" spans="1:6" x14ac:dyDescent="0.2">
      <c r="A5" s="37" t="s">
        <v>69</v>
      </c>
      <c r="B5" s="38" t="s">
        <v>37</v>
      </c>
      <c r="C5" s="38" t="s">
        <v>24</v>
      </c>
      <c r="D5" s="49">
        <v>80</v>
      </c>
      <c r="E5" s="71">
        <f t="shared" si="0"/>
        <v>0.33333333333333331</v>
      </c>
      <c r="F5" s="38" t="s">
        <v>23</v>
      </c>
    </row>
    <row r="6" spans="1:6" x14ac:dyDescent="0.2">
      <c r="A6" s="37" t="s">
        <v>70</v>
      </c>
      <c r="B6" s="38" t="s">
        <v>37</v>
      </c>
      <c r="C6" s="38" t="s">
        <v>24</v>
      </c>
      <c r="D6" s="49">
        <v>20</v>
      </c>
      <c r="E6" s="71">
        <f t="shared" si="0"/>
        <v>8.3333333333333329E-2</v>
      </c>
      <c r="F6" s="38" t="s">
        <v>63</v>
      </c>
    </row>
    <row r="7" spans="1:6" x14ac:dyDescent="0.2">
      <c r="A7" s="37" t="s">
        <v>64</v>
      </c>
      <c r="B7" s="38" t="s">
        <v>39</v>
      </c>
      <c r="C7" s="38" t="s">
        <v>24</v>
      </c>
      <c r="D7" s="49">
        <v>20</v>
      </c>
      <c r="E7" s="71">
        <f t="shared" si="0"/>
        <v>8.3333333333333329E-2</v>
      </c>
      <c r="F7" s="38" t="s">
        <v>40</v>
      </c>
    </row>
    <row r="8" spans="1:6" x14ac:dyDescent="0.2">
      <c r="A8" s="37" t="s">
        <v>38</v>
      </c>
      <c r="B8" s="38" t="s">
        <v>37</v>
      </c>
      <c r="C8" s="38" t="s">
        <v>24</v>
      </c>
      <c r="D8" s="49">
        <v>20</v>
      </c>
      <c r="E8" s="71">
        <f t="shared" si="0"/>
        <v>8.3333333333333329E-2</v>
      </c>
      <c r="F8" s="38" t="s">
        <v>40</v>
      </c>
    </row>
    <row r="9" spans="1:6" x14ac:dyDescent="0.2">
      <c r="A9" s="56" t="s">
        <v>68</v>
      </c>
      <c r="B9" s="51"/>
      <c r="C9" s="51"/>
      <c r="D9" s="52">
        <f>SUM(D3:D8)</f>
        <v>240</v>
      </c>
      <c r="E9" s="58"/>
      <c r="F9" s="51"/>
    </row>
    <row r="10" spans="1:6" x14ac:dyDescent="0.2">
      <c r="A10" s="55"/>
      <c r="B10" s="46"/>
      <c r="C10" s="47"/>
      <c r="D10" s="50"/>
      <c r="E10" s="59"/>
      <c r="F10" s="47"/>
    </row>
    <row r="11" spans="1:6" x14ac:dyDescent="0.2">
      <c r="A11" s="55"/>
      <c r="B11" s="46"/>
      <c r="C11" s="47"/>
      <c r="D11" s="50"/>
      <c r="E11" s="59"/>
      <c r="F11" s="47"/>
    </row>
    <row r="12" spans="1:6" x14ac:dyDescent="0.2">
      <c r="E12" s="60"/>
    </row>
  </sheetData>
  <dataConsolidate/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91D-E416-4E46-A392-C6F8A66D63DA}">
  <dimension ref="A1:F21"/>
  <sheetViews>
    <sheetView topLeftCell="A2" zoomScale="94" workbookViewId="0">
      <selection activeCell="B4" sqref="B4"/>
    </sheetView>
  </sheetViews>
  <sheetFormatPr baseColWidth="10" defaultRowHeight="16" x14ac:dyDescent="0.2"/>
  <cols>
    <col min="1" max="1" width="39.33203125" style="24" bestFit="1" customWidth="1"/>
    <col min="2" max="2" width="14.5" style="63" bestFit="1" customWidth="1"/>
    <col min="3" max="3" width="10.1640625" style="28" bestFit="1" customWidth="1"/>
    <col min="4" max="4" width="11.6640625" style="27" bestFit="1" customWidth="1"/>
    <col min="5" max="5" width="6.33203125" style="24" bestFit="1" customWidth="1"/>
    <col min="6" max="6" width="18.1640625" style="28" bestFit="1" customWidth="1"/>
    <col min="7" max="16384" width="10.83203125" style="24"/>
  </cols>
  <sheetData>
    <row r="1" spans="1:6" x14ac:dyDescent="0.2">
      <c r="A1" s="72" t="s">
        <v>3</v>
      </c>
      <c r="B1" s="73" t="s">
        <v>46</v>
      </c>
      <c r="C1" s="72" t="s">
        <v>47</v>
      </c>
      <c r="D1" s="74" t="s">
        <v>48</v>
      </c>
      <c r="E1" s="75" t="s">
        <v>49</v>
      </c>
      <c r="F1" s="72" t="s">
        <v>19</v>
      </c>
    </row>
    <row r="2" spans="1:6" x14ac:dyDescent="0.2">
      <c r="A2" s="29" t="s">
        <v>25</v>
      </c>
      <c r="B2" s="63">
        <v>220.08</v>
      </c>
      <c r="C2" s="28" t="s">
        <v>50</v>
      </c>
      <c r="D2" s="27">
        <v>45843</v>
      </c>
      <c r="E2" s="25">
        <v>0</v>
      </c>
      <c r="F2" s="28" t="s">
        <v>28</v>
      </c>
    </row>
    <row r="3" spans="1:6" x14ac:dyDescent="0.2">
      <c r="A3" s="29" t="s">
        <v>33</v>
      </c>
      <c r="B3" s="63">
        <v>55.8</v>
      </c>
      <c r="C3" s="28" t="s">
        <v>50</v>
      </c>
      <c r="D3" s="27">
        <v>45843</v>
      </c>
      <c r="E3" s="25">
        <v>0</v>
      </c>
      <c r="F3" s="28" t="s">
        <v>28</v>
      </c>
    </row>
    <row r="4" spans="1:6" x14ac:dyDescent="0.2">
      <c r="A4" s="29" t="s">
        <v>31</v>
      </c>
      <c r="B4" s="63">
        <v>9.3140000000000001</v>
      </c>
      <c r="C4" s="28" t="s">
        <v>50</v>
      </c>
      <c r="D4" s="27">
        <v>45843</v>
      </c>
      <c r="E4" s="25">
        <v>0</v>
      </c>
      <c r="F4" s="28" t="s">
        <v>28</v>
      </c>
    </row>
    <row r="5" spans="1:6" x14ac:dyDescent="0.2">
      <c r="A5" s="29" t="s">
        <v>36</v>
      </c>
      <c r="B5" s="63">
        <v>46.838000000000001</v>
      </c>
      <c r="C5" s="28" t="s">
        <v>50</v>
      </c>
      <c r="D5" s="27">
        <v>45843</v>
      </c>
      <c r="E5" s="25">
        <v>0</v>
      </c>
      <c r="F5" s="28" t="s">
        <v>28</v>
      </c>
    </row>
    <row r="6" spans="1:6" x14ac:dyDescent="0.2">
      <c r="A6" s="21" t="s">
        <v>41</v>
      </c>
      <c r="B6" s="63">
        <v>660.7</v>
      </c>
      <c r="C6" s="28" t="s">
        <v>50</v>
      </c>
      <c r="D6" s="27">
        <v>45843</v>
      </c>
      <c r="E6" s="25">
        <v>0</v>
      </c>
      <c r="F6" s="28" t="s">
        <v>28</v>
      </c>
    </row>
    <row r="7" spans="1:6" x14ac:dyDescent="0.2">
      <c r="A7" s="29" t="s">
        <v>38</v>
      </c>
      <c r="B7" s="63">
        <v>1752.5</v>
      </c>
      <c r="C7" s="28" t="s">
        <v>50</v>
      </c>
      <c r="D7" s="27">
        <v>45843</v>
      </c>
      <c r="E7" s="25">
        <v>0</v>
      </c>
      <c r="F7" s="28" t="s">
        <v>28</v>
      </c>
    </row>
    <row r="8" spans="1:6" x14ac:dyDescent="0.2">
      <c r="A8" s="16" t="s">
        <v>71</v>
      </c>
      <c r="B8" s="63">
        <v>20.488</v>
      </c>
      <c r="C8" s="28" t="s">
        <v>50</v>
      </c>
      <c r="D8" s="27">
        <v>45843</v>
      </c>
      <c r="E8" s="25">
        <v>0</v>
      </c>
      <c r="F8" s="28" t="s">
        <v>28</v>
      </c>
    </row>
    <row r="9" spans="1:6" x14ac:dyDescent="0.2">
      <c r="E9" s="62"/>
    </row>
    <row r="10" spans="1:6" x14ac:dyDescent="0.2">
      <c r="E10" s="62"/>
    </row>
    <row r="11" spans="1:6" x14ac:dyDescent="0.2">
      <c r="E11" s="62"/>
    </row>
    <row r="12" spans="1:6" x14ac:dyDescent="0.2">
      <c r="E12" s="62"/>
    </row>
    <row r="13" spans="1:6" x14ac:dyDescent="0.2">
      <c r="E13" s="62"/>
    </row>
    <row r="14" spans="1:6" x14ac:dyDescent="0.2">
      <c r="E14" s="62"/>
    </row>
    <row r="16" spans="1:6" x14ac:dyDescent="0.2">
      <c r="E16" s="62"/>
    </row>
    <row r="17" spans="5:5" x14ac:dyDescent="0.2">
      <c r="E17" s="62"/>
    </row>
    <row r="18" spans="5:5" x14ac:dyDescent="0.2">
      <c r="E18" s="62"/>
    </row>
    <row r="19" spans="5:5" x14ac:dyDescent="0.2">
      <c r="E19" s="62"/>
    </row>
    <row r="20" spans="5:5" x14ac:dyDescent="0.2">
      <c r="E20" s="62"/>
    </row>
    <row r="21" spans="5:5" x14ac:dyDescent="0.2">
      <c r="E21" s="62"/>
    </row>
  </sheetData>
  <dataValidations count="1">
    <dataValidation type="list" allowBlank="1" showInputMessage="1" showErrorMessage="1" sqref="C7:C8 C2:C5" xr:uid="{0F919F16-7133-BF4B-B90E-A504E8B68D67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Overview</vt:lpstr>
      <vt:lpstr>Summary</vt:lpstr>
      <vt:lpstr>Fixed Investment Plan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2025-07-04T22:44:14Z</dcterms:modified>
</cp:coreProperties>
</file>