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amirhoushang/Desktop/Python/"/>
    </mc:Choice>
  </mc:AlternateContent>
  <xr:revisionPtr revIDLastSave="0" documentId="13_ncr:1_{321AA1E0-23FF-3741-9D1C-714B0D6C33FA}" xr6:coauthVersionLast="47" xr6:coauthVersionMax="47" xr10:uidLastSave="{00000000-0000-0000-0000-000000000000}"/>
  <bookViews>
    <workbookView xWindow="0" yWindow="500" windowWidth="28800" windowHeight="15980" activeTab="2" xr2:uid="{00000000-000D-0000-FFFF-FFFF00000000}"/>
  </bookViews>
  <sheets>
    <sheet name="Portfolio Overview" sheetId="1" r:id="rId1"/>
    <sheet name="Summary" sheetId="2" r:id="rId2"/>
    <sheet name="Fixed Investment Plan" sheetId="3" r:id="rId3"/>
    <sheet name="Kurs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E8" i="3"/>
  <c r="E7" i="3"/>
  <c r="E6" i="3"/>
  <c r="E5" i="3"/>
  <c r="E4" i="3"/>
  <c r="E3" i="3"/>
  <c r="D8" i="2"/>
  <c r="B8" i="2"/>
  <c r="C8" i="2" s="1"/>
  <c r="D7" i="2"/>
  <c r="B7" i="2"/>
  <c r="D6" i="2"/>
  <c r="B6" i="2"/>
  <c r="C6" i="2" s="1"/>
  <c r="D5" i="2"/>
  <c r="B5" i="2"/>
  <c r="D4" i="2"/>
  <c r="B4" i="2"/>
  <c r="C4" i="2" s="1"/>
  <c r="D3" i="2"/>
  <c r="B3" i="2"/>
  <c r="C3" i="2" s="1"/>
  <c r="D2" i="2"/>
  <c r="D9" i="2" s="1"/>
  <c r="B2" i="2"/>
  <c r="C2" i="2" s="1"/>
  <c r="O52" i="1"/>
  <c r="Q52" i="1" s="1"/>
  <c r="N52" i="1"/>
  <c r="M52" i="1"/>
  <c r="K52" i="1"/>
  <c r="I52" i="1"/>
  <c r="G52" i="1"/>
  <c r="Q51" i="1"/>
  <c r="O51" i="1"/>
  <c r="N51" i="1"/>
  <c r="M51" i="1"/>
  <c r="K51" i="1"/>
  <c r="I51" i="1"/>
  <c r="G51" i="1"/>
  <c r="Q50" i="1"/>
  <c r="O50" i="1"/>
  <c r="N50" i="1"/>
  <c r="M50" i="1"/>
  <c r="K50" i="1"/>
  <c r="I50" i="1"/>
  <c r="G50" i="1"/>
  <c r="Q49" i="1"/>
  <c r="O49" i="1"/>
  <c r="N49" i="1"/>
  <c r="M49" i="1"/>
  <c r="K49" i="1"/>
  <c r="I49" i="1"/>
  <c r="G49" i="1"/>
  <c r="O48" i="1"/>
  <c r="Q48" i="1" s="1"/>
  <c r="N48" i="1"/>
  <c r="M48" i="1"/>
  <c r="K48" i="1"/>
  <c r="I48" i="1"/>
  <c r="G48" i="1"/>
  <c r="Q47" i="1"/>
  <c r="O47" i="1"/>
  <c r="N47" i="1"/>
  <c r="M47" i="1"/>
  <c r="K47" i="1"/>
  <c r="I47" i="1"/>
  <c r="G47" i="1"/>
  <c r="O46" i="1"/>
  <c r="Q46" i="1" s="1"/>
  <c r="N46" i="1"/>
  <c r="M46" i="1"/>
  <c r="K46" i="1"/>
  <c r="I46" i="1"/>
  <c r="G46" i="1"/>
  <c r="Q45" i="1"/>
  <c r="O45" i="1"/>
  <c r="N45" i="1"/>
  <c r="M45" i="1"/>
  <c r="K45" i="1"/>
  <c r="I45" i="1"/>
  <c r="G45" i="1"/>
  <c r="O44" i="1"/>
  <c r="Q44" i="1" s="1"/>
  <c r="N44" i="1"/>
  <c r="M44" i="1"/>
  <c r="K44" i="1"/>
  <c r="I44" i="1"/>
  <c r="G44" i="1"/>
  <c r="Q43" i="1"/>
  <c r="O43" i="1"/>
  <c r="N43" i="1"/>
  <c r="M43" i="1"/>
  <c r="K43" i="1"/>
  <c r="I43" i="1"/>
  <c r="G43" i="1"/>
  <c r="Q42" i="1"/>
  <c r="O42" i="1"/>
  <c r="N42" i="1"/>
  <c r="M42" i="1"/>
  <c r="K42" i="1"/>
  <c r="I42" i="1"/>
  <c r="G42" i="1"/>
  <c r="Q41" i="1"/>
  <c r="O41" i="1"/>
  <c r="N41" i="1"/>
  <c r="M41" i="1"/>
  <c r="K41" i="1"/>
  <c r="I41" i="1"/>
  <c r="G41" i="1"/>
  <c r="O40" i="1"/>
  <c r="Q40" i="1" s="1"/>
  <c r="N40" i="1"/>
  <c r="M40" i="1"/>
  <c r="K40" i="1"/>
  <c r="I40" i="1"/>
  <c r="G40" i="1"/>
  <c r="Q39" i="1"/>
  <c r="O39" i="1"/>
  <c r="M39" i="1"/>
  <c r="K39" i="1"/>
  <c r="I39" i="1"/>
  <c r="G39" i="1"/>
  <c r="O38" i="1"/>
  <c r="Q38" i="1" s="1"/>
  <c r="M38" i="1"/>
  <c r="K38" i="1"/>
  <c r="I38" i="1"/>
  <c r="G38" i="1"/>
  <c r="N37" i="1"/>
  <c r="M37" i="1"/>
  <c r="K37" i="1"/>
  <c r="I37" i="1"/>
  <c r="O37" i="1" s="1"/>
  <c r="Q37" i="1" s="1"/>
  <c r="G37" i="1"/>
  <c r="O36" i="1"/>
  <c r="Q36" i="1" s="1"/>
  <c r="M36" i="1"/>
  <c r="K36" i="1"/>
  <c r="I36" i="1"/>
  <c r="G36" i="1"/>
  <c r="M35" i="1"/>
  <c r="K35" i="1"/>
  <c r="I35" i="1"/>
  <c r="O35" i="1" s="1"/>
  <c r="Q35" i="1" s="1"/>
  <c r="G35" i="1"/>
  <c r="M34" i="1"/>
  <c r="K34" i="1"/>
  <c r="I34" i="1"/>
  <c r="O34" i="1" s="1"/>
  <c r="Q34" i="1" s="1"/>
  <c r="G34" i="1"/>
  <c r="M33" i="1"/>
  <c r="K33" i="1"/>
  <c r="I33" i="1"/>
  <c r="O33" i="1" s="1"/>
  <c r="Q33" i="1" s="1"/>
  <c r="G33" i="1"/>
  <c r="M32" i="1"/>
  <c r="K32" i="1"/>
  <c r="I32" i="1"/>
  <c r="O32" i="1" s="1"/>
  <c r="Q32" i="1" s="1"/>
  <c r="G32" i="1"/>
  <c r="Q31" i="1"/>
  <c r="O31" i="1"/>
  <c r="M31" i="1"/>
  <c r="K31" i="1"/>
  <c r="I31" i="1"/>
  <c r="G31" i="1"/>
  <c r="O30" i="1"/>
  <c r="Q30" i="1" s="1"/>
  <c r="M30" i="1"/>
  <c r="N38" i="1" s="1"/>
  <c r="K30" i="1"/>
  <c r="I30" i="1"/>
  <c r="G30" i="1"/>
  <c r="N29" i="1"/>
  <c r="M29" i="1"/>
  <c r="K29" i="1"/>
  <c r="I29" i="1"/>
  <c r="O29" i="1" s="1"/>
  <c r="Q29" i="1" s="1"/>
  <c r="G29" i="1"/>
  <c r="O28" i="1"/>
  <c r="Q28" i="1" s="1"/>
  <c r="M28" i="1"/>
  <c r="K28" i="1"/>
  <c r="I28" i="1"/>
  <c r="G28" i="1"/>
  <c r="M27" i="1"/>
  <c r="K27" i="1"/>
  <c r="I27" i="1"/>
  <c r="O27" i="1" s="1"/>
  <c r="Q27" i="1" s="1"/>
  <c r="G27" i="1"/>
  <c r="M26" i="1"/>
  <c r="K26" i="1"/>
  <c r="I26" i="1"/>
  <c r="O26" i="1" s="1"/>
  <c r="Q26" i="1" s="1"/>
  <c r="G26" i="1"/>
  <c r="M25" i="1"/>
  <c r="K25" i="1"/>
  <c r="I25" i="1"/>
  <c r="O25" i="1" s="1"/>
  <c r="Q25" i="1" s="1"/>
  <c r="G25" i="1"/>
  <c r="N24" i="1"/>
  <c r="M24" i="1"/>
  <c r="K24" i="1"/>
  <c r="I24" i="1"/>
  <c r="O24" i="1" s="1"/>
  <c r="Q24" i="1" s="1"/>
  <c r="G24" i="1"/>
  <c r="Q23" i="1"/>
  <c r="O23" i="1"/>
  <c r="M23" i="1"/>
  <c r="K23" i="1"/>
  <c r="I23" i="1"/>
  <c r="G23" i="1"/>
  <c r="O22" i="1"/>
  <c r="Q22" i="1" s="1"/>
  <c r="M22" i="1"/>
  <c r="K22" i="1"/>
  <c r="I22" i="1"/>
  <c r="G22" i="1"/>
  <c r="N21" i="1"/>
  <c r="M21" i="1"/>
  <c r="K21" i="1"/>
  <c r="I21" i="1"/>
  <c r="O21" i="1" s="1"/>
  <c r="Q21" i="1" s="1"/>
  <c r="G21" i="1"/>
  <c r="O20" i="1"/>
  <c r="Q20" i="1" s="1"/>
  <c r="M20" i="1"/>
  <c r="N32" i="1" s="1"/>
  <c r="K20" i="1"/>
  <c r="I20" i="1"/>
  <c r="G20" i="1"/>
  <c r="N19" i="1"/>
  <c r="M19" i="1"/>
  <c r="K19" i="1"/>
  <c r="I19" i="1"/>
  <c r="O19" i="1" s="1"/>
  <c r="Q19" i="1" s="1"/>
  <c r="G19" i="1"/>
  <c r="M18" i="1"/>
  <c r="N34" i="1" s="1"/>
  <c r="K18" i="1"/>
  <c r="I18" i="1"/>
  <c r="O18" i="1" s="1"/>
  <c r="Q18" i="1" s="1"/>
  <c r="G18" i="1"/>
  <c r="O17" i="1"/>
  <c r="Q17" i="1" s="1"/>
  <c r="M17" i="1"/>
  <c r="K17" i="1"/>
  <c r="I17" i="1"/>
  <c r="G17" i="1"/>
  <c r="O16" i="1"/>
  <c r="Q16" i="1" s="1"/>
  <c r="N16" i="1"/>
  <c r="M16" i="1"/>
  <c r="K16" i="1"/>
  <c r="I16" i="1"/>
  <c r="G16" i="1"/>
  <c r="Q15" i="1"/>
  <c r="O15" i="1"/>
  <c r="M15" i="1"/>
  <c r="K15" i="1"/>
  <c r="I15" i="1"/>
  <c r="G15" i="1"/>
  <c r="O14" i="1"/>
  <c r="Q14" i="1" s="1"/>
  <c r="M14" i="1"/>
  <c r="K14" i="1"/>
  <c r="I14" i="1"/>
  <c r="G14" i="1"/>
  <c r="Q13" i="1"/>
  <c r="O13" i="1"/>
  <c r="N13" i="1"/>
  <c r="M13" i="1"/>
  <c r="E7" i="2" s="1"/>
  <c r="H7" i="2" s="1"/>
  <c r="I13" i="1"/>
  <c r="C7" i="2" s="1"/>
  <c r="Q12" i="1"/>
  <c r="O12" i="1"/>
  <c r="N12" i="1"/>
  <c r="M12" i="1"/>
  <c r="E6" i="2" s="1"/>
  <c r="K12" i="1"/>
  <c r="I12" i="1"/>
  <c r="G12" i="1"/>
  <c r="O11" i="1"/>
  <c r="Q11" i="1" s="1"/>
  <c r="N11" i="1"/>
  <c r="M11" i="1"/>
  <c r="K11" i="1"/>
  <c r="I11" i="1"/>
  <c r="G11" i="1"/>
  <c r="O10" i="1"/>
  <c r="Q10" i="1" s="1"/>
  <c r="N10" i="1"/>
  <c r="M10" i="1"/>
  <c r="K10" i="1"/>
  <c r="I10" i="1"/>
  <c r="G10" i="1"/>
  <c r="Q9" i="1"/>
  <c r="O9" i="1"/>
  <c r="N9" i="1"/>
  <c r="M9" i="1"/>
  <c r="K9" i="1"/>
  <c r="I9" i="1"/>
  <c r="G9" i="1"/>
  <c r="O8" i="1"/>
  <c r="Q8" i="1" s="1"/>
  <c r="N8" i="1"/>
  <c r="M8" i="1"/>
  <c r="K8" i="1"/>
  <c r="I8" i="1"/>
  <c r="G8" i="1"/>
  <c r="N7" i="1"/>
  <c r="M7" i="1"/>
  <c r="E3" i="2" s="1"/>
  <c r="H3" i="2" s="1"/>
  <c r="K7" i="1"/>
  <c r="I7" i="1"/>
  <c r="O7" i="1" s="1"/>
  <c r="Q7" i="1" s="1"/>
  <c r="G7" i="1"/>
  <c r="O6" i="1"/>
  <c r="Q6" i="1" s="1"/>
  <c r="M6" i="1"/>
  <c r="N39" i="1" s="1"/>
  <c r="K6" i="1"/>
  <c r="I6" i="1"/>
  <c r="C5" i="2" s="1"/>
  <c r="G6" i="1"/>
  <c r="N5" i="1"/>
  <c r="M5" i="1"/>
  <c r="N22" i="1" s="1"/>
  <c r="K5" i="1"/>
  <c r="I5" i="1"/>
  <c r="O5" i="1" s="1"/>
  <c r="Q5" i="1" s="1"/>
  <c r="G5" i="1"/>
  <c r="Q4" i="1"/>
  <c r="O4" i="1"/>
  <c r="N4" i="1"/>
  <c r="M4" i="1"/>
  <c r="K4" i="1"/>
  <c r="I4" i="1"/>
  <c r="G4" i="1"/>
  <c r="N3" i="1"/>
  <c r="M3" i="1"/>
  <c r="E2" i="2" s="1"/>
  <c r="K3" i="1"/>
  <c r="I3" i="1"/>
  <c r="O3" i="1" s="1"/>
  <c r="Q3" i="1" s="1"/>
  <c r="G3" i="1"/>
  <c r="O2" i="1"/>
  <c r="Q2" i="1" s="1"/>
  <c r="N2" i="1"/>
  <c r="M2" i="1"/>
  <c r="K2" i="1"/>
  <c r="I2" i="1"/>
  <c r="G2" i="1"/>
  <c r="F2" i="2" l="1"/>
  <c r="C9" i="2"/>
  <c r="G2" i="2"/>
  <c r="F5" i="2"/>
  <c r="G6" i="2"/>
  <c r="F6" i="2"/>
  <c r="H2" i="2"/>
  <c r="G7" i="2"/>
  <c r="F7" i="2"/>
  <c r="G3" i="2"/>
  <c r="F3" i="2"/>
  <c r="H6" i="2"/>
  <c r="F4" i="2"/>
  <c r="F8" i="2"/>
  <c r="N6" i="1"/>
  <c r="N20" i="1"/>
  <c r="N28" i="1"/>
  <c r="N36" i="1"/>
  <c r="E8" i="2"/>
  <c r="H8" i="2" s="1"/>
  <c r="N35" i="1"/>
  <c r="N18" i="1"/>
  <c r="N26" i="1"/>
  <c r="N27" i="1"/>
  <c r="N17" i="1"/>
  <c r="N25" i="1"/>
  <c r="N33" i="1"/>
  <c r="E5" i="2"/>
  <c r="H5" i="2" s="1"/>
  <c r="E4" i="2"/>
  <c r="H4" i="2" s="1"/>
  <c r="N23" i="1"/>
  <c r="N31" i="1"/>
  <c r="N15" i="1"/>
  <c r="N14" i="1"/>
  <c r="N30" i="1"/>
  <c r="E9" i="2" l="1"/>
  <c r="H9" i="2"/>
  <c r="G4" i="2"/>
  <c r="G9" i="2" s="1"/>
  <c r="G5" i="2"/>
  <c r="G8" i="2"/>
</calcChain>
</file>

<file path=xl/sharedStrings.xml><?xml version="1.0" encoding="utf-8"?>
<sst xmlns="http://schemas.openxmlformats.org/spreadsheetml/2006/main" count="425" uniqueCount="100">
  <si>
    <t>Transaction Date</t>
  </si>
  <si>
    <t>Transaction Time</t>
  </si>
  <si>
    <t>Platform</t>
  </si>
  <si>
    <t>Asset Name</t>
  </si>
  <si>
    <t>ISIN / Ticker Symbol</t>
  </si>
  <si>
    <t>Quantity</t>
  </si>
  <si>
    <t>Cumulativ Quantity</t>
  </si>
  <si>
    <t xml:space="preserve">Unit Price </t>
  </si>
  <si>
    <t>Current Price</t>
  </si>
  <si>
    <t>Invested Amount</t>
  </si>
  <si>
    <t>Cumulativ Invested Amount</t>
  </si>
  <si>
    <t>Transaction Fee</t>
  </si>
  <si>
    <t>Total Cost</t>
  </si>
  <si>
    <t>Cumulative Total Cost</t>
  </si>
  <si>
    <t xml:space="preserve">Portfolio Value </t>
  </si>
  <si>
    <t>Dividend Yield</t>
  </si>
  <si>
    <t>Estimated Dividend</t>
  </si>
  <si>
    <t>Execution Type</t>
  </si>
  <si>
    <t>Investment Strategy</t>
  </si>
  <si>
    <t>Notes</t>
  </si>
  <si>
    <t>Asset Class</t>
  </si>
  <si>
    <t>Aktive</t>
  </si>
  <si>
    <t>Sell Notes</t>
  </si>
  <si>
    <t>Trade Republic</t>
  </si>
  <si>
    <t>Clean Energy USD (Acc)</t>
  </si>
  <si>
    <t>IE00BK5BCH80</t>
  </si>
  <si>
    <t>Sell</t>
  </si>
  <si>
    <t>Learning Only</t>
  </si>
  <si>
    <t>First  ETF - manual test before savings plan</t>
  </si>
  <si>
    <t>ETF</t>
  </si>
  <si>
    <t>No</t>
  </si>
  <si>
    <t>19/05/2025 – ETF sold. Not in final plan. Reinvested in ASML. See line 18 for price and fee (same ETF, sold together).</t>
  </si>
  <si>
    <t>Scalable Capital</t>
  </si>
  <si>
    <t>Amundi Nasdaq 100 EUR (Acc)</t>
  </si>
  <si>
    <t>LU1681038243</t>
  </si>
  <si>
    <t>Savings Plan</t>
  </si>
  <si>
    <t>Core</t>
  </si>
  <si>
    <t>Long-term investment</t>
  </si>
  <si>
    <t>Yes</t>
  </si>
  <si>
    <t>iShares Automation &amp; Robotics (Acc)</t>
  </si>
  <si>
    <t>IE00BYZK4552</t>
  </si>
  <si>
    <t>28/05/2025 – ETF sold (€39.43 – €0.99 fee = €29,55). Not in final plan. Reinvested in Defense.</t>
  </si>
  <si>
    <t>Scalable MSCI AC World Xtrackers (Acc)</t>
  </si>
  <si>
    <t>LU2903252349</t>
  </si>
  <si>
    <t>iShares Physical Gold ETC</t>
  </si>
  <si>
    <t>IE00B4ND3602</t>
  </si>
  <si>
    <t>Commodity</t>
  </si>
  <si>
    <t>VanEck Defense (Acc)</t>
  </si>
  <si>
    <t>IE000YYE6WK5</t>
  </si>
  <si>
    <t>Xtrackers MSCI Emerging Markets (Acc)</t>
  </si>
  <si>
    <t>IE00BTJRMP35</t>
  </si>
  <si>
    <t>19/05/2025 – ETF sold (€28,56 – €0.99 fee = €38.44). Not in final plan. Reinvested in Nasdaq 100 &amp; Defense.</t>
  </si>
  <si>
    <t>19/05/2025 – ETF sold (€20.25 – €1.00 fee = €19.25). Not in final plan. Reinvested in ASML.</t>
  </si>
  <si>
    <t>Xtrackers Artificial Intelligence &amp; Big Data</t>
  </si>
  <si>
    <t>IE00BGV5VN51</t>
  </si>
  <si>
    <t>19/05/2025 – ETF sold (€4.89 – €1.00 fee = €3.89). Not in final plan. Reinvested in ASML.</t>
  </si>
  <si>
    <t>Semiconductor USD (Acc)</t>
  </si>
  <si>
    <t>IE00BMC38736</t>
  </si>
  <si>
    <t>19/05/2025 – ETF sold (€9.63 – €1.00 fee = €8.63). Not in final plan. Reinvested in ASML (€2.86) &amp; XTZ via Bitvavo (€5.77).</t>
  </si>
  <si>
    <t>Rheinmetall AG</t>
  </si>
  <si>
    <t>DE0007030009</t>
  </si>
  <si>
    <t>Equity</t>
  </si>
  <si>
    <t>29/05/2025 – Sold due to broker change (€30.86 - €1 = 29.86) (0,005812)</t>
  </si>
  <si>
    <t>ASML Holding N. V.</t>
  </si>
  <si>
    <t>NL0010273215</t>
  </si>
  <si>
    <t>29/05/2025 – Sold due to broker change (€25.83 - €1 = 24.83)</t>
  </si>
  <si>
    <t>Rebalancing</t>
  </si>
  <si>
    <t>Long-term investment; Final-plan. €0.00 fee + €0,99 from prior sell.</t>
  </si>
  <si>
    <t>Long-term investment; Final-plan.</t>
  </si>
  <si>
    <t>29/05/2025 – Sold due to broker change (0,010435)</t>
  </si>
  <si>
    <t xml:space="preserve"> 10.06.25</t>
  </si>
  <si>
    <t>L&amp;G Artificial Intelligence (ACC)</t>
  </si>
  <si>
    <t>IE00BK5BCD43</t>
  </si>
  <si>
    <t>Cumulative Quantity</t>
  </si>
  <si>
    <t>Current Value (€)</t>
  </si>
  <si>
    <t>Invested Amount (€)</t>
  </si>
  <si>
    <t>Total Cost (€)</t>
  </si>
  <si>
    <t>Portfolio Allocation (%)</t>
  </si>
  <si>
    <t>Result (€)</t>
  </si>
  <si>
    <t xml:space="preserve">Return (%) </t>
  </si>
  <si>
    <t>Overall Total</t>
  </si>
  <si>
    <t>Asset</t>
  </si>
  <si>
    <t>ISIN</t>
  </si>
  <si>
    <t>Amount (€)</t>
  </si>
  <si>
    <t>Allocation %</t>
  </si>
  <si>
    <t>Amundi Nasdaq 100</t>
  </si>
  <si>
    <t>Scalable MSCI AC World</t>
  </si>
  <si>
    <t>VanEck Defense</t>
  </si>
  <si>
    <t>iShares Physical Gold</t>
  </si>
  <si>
    <t>ETC</t>
  </si>
  <si>
    <t>ASML Holding N.V.</t>
  </si>
  <si>
    <t>Summary</t>
  </si>
  <si>
    <t xml:space="preserve">Current Price </t>
  </si>
  <si>
    <t>Currency</t>
  </si>
  <si>
    <t>Date</t>
  </si>
  <si>
    <t>Time</t>
  </si>
  <si>
    <t>EUR</t>
  </si>
  <si>
    <t>02.09.2025</t>
  </si>
  <si>
    <t>20:29</t>
  </si>
  <si>
    <t>Fixed Investment Plan-Starting September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</si>
</sst>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164" formatCode="h:mm;@"/>
    <numFmt numFmtId="165" formatCode="#,##0.0000000\ &quot;€&quot;"/>
    <numFmt numFmtId="166" formatCode="#,##0.00\ &quot;€&quot;"/>
    <numFmt numFmtId="167" formatCode="#,##0.0000\ &quot;€&quot;"/>
    <numFmt numFmtId="168" formatCode="0.000000"/>
    <numFmt numFmtId="169" formatCode="#,##0.000000000\ &quot;€&quot;"/>
    <numFmt numFmtId="170" formatCode="\+0.00000000\ &quot;€&quot;;\-0.00000000\ &quot;€&quot;;0.00000000\ &quot;€&quot;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2"/>
      <color rgb="FF35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DEC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393939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A8A8AC"/>
      </top>
      <bottom/>
      <diagonal/>
    </border>
  </borders>
  <cellStyleXfs count="3">
    <xf numFmtId="0" fontId="0" fillId="0" borderId="0"/>
    <xf numFmtId="9" fontId="1" fillId="0" borderId="0"/>
    <xf numFmtId="0" fontId="2" fillId="0" borderId="0"/>
  </cellStyleXfs>
  <cellXfs count="105">
    <xf numFmtId="0" fontId="0" fillId="0" borderId="0" xfId="0"/>
    <xf numFmtId="1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165" fontId="5" fillId="2" borderId="2" xfId="0" applyNumberFormat="1" applyFont="1" applyFill="1" applyBorder="1"/>
    <xf numFmtId="166" fontId="5" fillId="2" borderId="2" xfId="0" applyNumberFormat="1" applyFont="1" applyFill="1" applyBorder="1"/>
    <xf numFmtId="10" fontId="5" fillId="2" borderId="2" xfId="1" applyNumberFormat="1" applyFont="1" applyFill="1" applyBorder="1"/>
    <xf numFmtId="167" fontId="5" fillId="2" borderId="2" xfId="0" applyNumberFormat="1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0" xfId="1" applyNumberFormat="1" applyFont="1" applyFill="1" applyAlignment="1">
      <alignment horizontal="center"/>
    </xf>
    <xf numFmtId="0" fontId="5" fillId="2" borderId="0" xfId="0" applyFont="1" applyFill="1"/>
    <xf numFmtId="168" fontId="5" fillId="2" borderId="2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9" fontId="3" fillId="3" borderId="2" xfId="0" applyNumberFormat="1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0" fontId="3" fillId="3" borderId="2" xfId="1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0" xfId="1" applyNumberFormat="1" applyFont="1" applyFill="1" applyAlignment="1">
      <alignment horizontal="center"/>
    </xf>
    <xf numFmtId="0" fontId="3" fillId="3" borderId="0" xfId="2" applyFont="1" applyFill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5" fontId="5" fillId="0" borderId="2" xfId="0" applyNumberFormat="1" applyFont="1" applyBorder="1"/>
    <xf numFmtId="166" fontId="5" fillId="0" borderId="2" xfId="0" applyNumberFormat="1" applyFont="1" applyBorder="1"/>
    <xf numFmtId="10" fontId="5" fillId="0" borderId="2" xfId="1" applyNumberFormat="1" applyFont="1" applyBorder="1"/>
    <xf numFmtId="167" fontId="5" fillId="0" borderId="2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6" fontId="0" fillId="0" borderId="0" xfId="0" applyNumberFormat="1"/>
    <xf numFmtId="14" fontId="5" fillId="0" borderId="0" xfId="0" applyNumberFormat="1" applyFont="1" applyAlignment="1">
      <alignment horizontal="center"/>
    </xf>
    <xf numFmtId="1" fontId="5" fillId="2" borderId="2" xfId="0" applyNumberFormat="1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168" fontId="5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9" fontId="0" fillId="0" borderId="0" xfId="1" applyFont="1"/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168" fontId="4" fillId="5" borderId="0" xfId="0" applyNumberFormat="1" applyFont="1" applyFill="1" applyAlignment="1">
      <alignment horizontal="right"/>
    </xf>
    <xf numFmtId="166" fontId="4" fillId="5" borderId="0" xfId="0" applyNumberFormat="1" applyFont="1" applyFill="1"/>
    <xf numFmtId="166" fontId="4" fillId="5" borderId="0" xfId="1" applyNumberFormat="1" applyFont="1" applyFill="1" applyAlignment="1">
      <alignment horizontal="right"/>
    </xf>
    <xf numFmtId="166" fontId="4" fillId="5" borderId="0" xfId="1" applyNumberFormat="1" applyFont="1" applyFill="1" applyAlignment="1">
      <alignment horizontal="center"/>
    </xf>
    <xf numFmtId="9" fontId="4" fillId="5" borderId="0" xfId="1" applyFont="1" applyFill="1" applyAlignment="1">
      <alignment horizontal="center"/>
    </xf>
    <xf numFmtId="170" fontId="4" fillId="5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6" borderId="0" xfId="0" applyFont="1" applyFill="1" applyAlignment="1">
      <alignment horizontal="center"/>
    </xf>
    <xf numFmtId="166" fontId="9" fillId="6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6" borderId="4" xfId="0" applyFont="1" applyFill="1" applyBorder="1" applyAlignment="1">
      <alignment horizontal="left"/>
    </xf>
    <xf numFmtId="9" fontId="7" fillId="0" borderId="0" xfId="1" applyFont="1" applyAlignment="1">
      <alignment horizontal="center"/>
    </xf>
    <xf numFmtId="9" fontId="9" fillId="6" borderId="0" xfId="1" applyFont="1" applyFill="1" applyAlignment="1">
      <alignment horizontal="center"/>
    </xf>
    <xf numFmtId="9" fontId="9" fillId="0" borderId="0" xfId="1" applyFont="1" applyAlignment="1">
      <alignment horizontal="center"/>
    </xf>
    <xf numFmtId="9" fontId="5" fillId="0" borderId="0" xfId="1" applyFont="1" applyAlignment="1">
      <alignment horizontal="center"/>
    </xf>
    <xf numFmtId="20" fontId="5" fillId="0" borderId="0" xfId="0" applyNumberFormat="1" applyFont="1"/>
    <xf numFmtId="166" fontId="5" fillId="0" borderId="0" xfId="0" applyNumberFormat="1" applyFont="1"/>
    <xf numFmtId="10" fontId="5" fillId="0" borderId="0" xfId="1" applyNumberFormat="1" applyFont="1"/>
    <xf numFmtId="10" fontId="0" fillId="0" borderId="0" xfId="1" applyNumberFormat="1" applyFont="1"/>
    <xf numFmtId="166" fontId="5" fillId="2" borderId="0" xfId="0" applyNumberFormat="1" applyFont="1" applyFill="1"/>
    <xf numFmtId="20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/>
    <xf numFmtId="10" fontId="5" fillId="2" borderId="0" xfId="1" applyNumberFormat="1" applyFont="1" applyFill="1"/>
    <xf numFmtId="10" fontId="8" fillId="0" borderId="0" xfId="1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20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7" borderId="0" xfId="0" applyFont="1" applyFill="1" applyAlignment="1">
      <alignment horizontal="left"/>
    </xf>
    <xf numFmtId="168" fontId="12" fillId="7" borderId="0" xfId="0" applyNumberFormat="1" applyFont="1" applyFill="1" applyAlignment="1">
      <alignment horizontal="right"/>
    </xf>
    <xf numFmtId="166" fontId="12" fillId="7" borderId="0" xfId="0" applyNumberFormat="1" applyFont="1" applyFill="1"/>
    <xf numFmtId="166" fontId="12" fillId="7" borderId="0" xfId="1" applyNumberFormat="1" applyFont="1" applyFill="1" applyAlignment="1">
      <alignment horizontal="right"/>
    </xf>
    <xf numFmtId="9" fontId="12" fillId="7" borderId="0" xfId="1" applyFont="1" applyFill="1"/>
    <xf numFmtId="10" fontId="12" fillId="7" borderId="0" xfId="1" applyNumberFormat="1" applyFont="1" applyFill="1"/>
    <xf numFmtId="0" fontId="15" fillId="0" borderId="0" xfId="0" applyFont="1"/>
    <xf numFmtId="8" fontId="5" fillId="0" borderId="0" xfId="0" applyNumberFormat="1" applyFont="1" applyAlignment="1">
      <alignment horizontal="left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</cellXfs>
  <cellStyles count="3"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de-DE" sz="280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Investment</a:t>
            </a:r>
            <a:r>
              <a:rPr lang="de-DE" sz="2800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vs. Current Value (€)</a:t>
            </a:r>
            <a:endParaRPr lang="de-DE" sz="280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Value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Summary!$A$2:$A$8</c:f>
              <c:strCache>
                <c:ptCount val="7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  <c:pt idx="6">
                  <c:v>L&amp;G Artificial Intelligence (ACC)</c:v>
                </c:pt>
              </c:strCache>
            </c:strRef>
          </c:cat>
          <c:val>
            <c:numRef>
              <c:f>Summary!$C$2:$C$8</c:f>
              <c:numCache>
                <c:formatCode>#,##0.00\ "€"</c:formatCode>
                <c:ptCount val="7"/>
                <c:pt idx="0">
                  <c:v>203.69920871099851</c:v>
                </c:pt>
                <c:pt idx="1">
                  <c:v>331.05369321857063</c:v>
                </c:pt>
                <c:pt idx="2">
                  <c:v>213.14615482404233</c:v>
                </c:pt>
                <c:pt idx="3">
                  <c:v>94.055677725700406</c:v>
                </c:pt>
                <c:pt idx="4">
                  <c:v>88.901669999999996</c:v>
                </c:pt>
                <c:pt idx="5">
                  <c:v>79.795320778198231</c:v>
                </c:pt>
                <c:pt idx="6">
                  <c:v>124.12561783323672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2-8C48-AFFA-6E1B2917DE3F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Summary!$A$2:$A$8</c:f>
              <c:strCache>
                <c:ptCount val="7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  <c:pt idx="6">
                  <c:v>L&amp;G Artificial Intelligence (ACC)</c:v>
                </c:pt>
              </c:strCache>
            </c:strRef>
          </c:cat>
          <c:val>
            <c:numRef>
              <c:f>Summary!$E$2:$E$8</c:f>
              <c:numCache>
                <c:formatCode>#,##0.00\ "€"</c:formatCode>
                <c:ptCount val="7"/>
                <c:pt idx="0">
                  <c:v>200</c:v>
                </c:pt>
                <c:pt idx="1">
                  <c:v>320.56</c:v>
                </c:pt>
                <c:pt idx="2">
                  <c:v>208.44</c:v>
                </c:pt>
                <c:pt idx="3">
                  <c:v>90</c:v>
                </c:pt>
                <c:pt idx="4">
                  <c:v>90</c:v>
                </c:pt>
                <c:pt idx="5">
                  <c:v>84.710000000000008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2-8C48-AFFA-6E1B2917DE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5121968"/>
        <c:axId val="1114511040"/>
      </c:barChart>
      <c:catAx>
        <c:axId val="10051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cap="all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de-DE"/>
          </a:p>
        </c:txPr>
        <c:crossAx val="1114511040"/>
        <c:crosses val="autoZero"/>
        <c:auto val="1"/>
        <c:lblAlgn val="ctr"/>
        <c:lblOffset val="100"/>
        <c:noMultiLvlLbl val="0"/>
      </c:catAx>
      <c:valAx>
        <c:axId val="1114511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#,##0.00\ &quot;€&quot;" sourceLinked="1"/>
        <c:majorTickMark val="none"/>
        <c:minorTickMark val="none"/>
        <c:tickLblPos val="nextTo"/>
        <c:crossAx val="1005121968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de-DE"/>
        </a:p>
      </c:txPr>
    </c:legend>
    <c:plotVisOnly val="1"/>
    <c:dispBlanksAs val="gap"/>
    <c:showDLblsOverMax val="1"/>
  </c:chart>
  <c: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Result (€)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Result (€)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Summary!$A$2:$A$9</c:f>
              <c:strCache>
                <c:ptCount val="8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  <c:pt idx="6">
                  <c:v>L&amp;G Artificial Intelligence (ACC)</c:v>
                </c:pt>
                <c:pt idx="7">
                  <c:v>Overall Total</c:v>
                </c:pt>
              </c:strCache>
            </c:strRef>
          </c:cat>
          <c:val>
            <c:numRef>
              <c:f>Summary!$G$2:$G$9</c:f>
              <c:numCache>
                <c:formatCode>#,##0.00\ "€"</c:formatCode>
                <c:ptCount val="8"/>
                <c:pt idx="0">
                  <c:v>3.699208710998505</c:v>
                </c:pt>
                <c:pt idx="1">
                  <c:v>10.493693218570627</c:v>
                </c:pt>
                <c:pt idx="2">
                  <c:v>4.7061548240423292</c:v>
                </c:pt>
                <c:pt idx="3">
                  <c:v>4.0556777257004057</c:v>
                </c:pt>
                <c:pt idx="4">
                  <c:v>-1.0983300000000042</c:v>
                </c:pt>
                <c:pt idx="5">
                  <c:v>-4.9146792218017765</c:v>
                </c:pt>
                <c:pt idx="6">
                  <c:v>4.125617833236717</c:v>
                </c:pt>
                <c:pt idx="7">
                  <c:v>21.067343090746803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1-5A47-8A3B-894AA4D6D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14023536"/>
        <c:axId val="53827007"/>
      </c:barChart>
      <c:catAx>
        <c:axId val="111402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cap="all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de-DE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Asset Name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lt1">
                    <a:lumMod val="8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de-DE"/>
          </a:p>
        </c:txPr>
        <c:crossAx val="53827007"/>
        <c:crosses val="autoZero"/>
        <c:auto val="1"/>
        <c:lblAlgn val="ctr"/>
        <c:lblOffset val="100"/>
        <c:noMultiLvlLbl val="0"/>
      </c:catAx>
      <c:valAx>
        <c:axId val="5382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Result (€)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023536"/>
        <c:crosses val="autoZero"/>
        <c:crossBetween val="between"/>
      </c:valAx>
    </c:plotArea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de-DE" sz="2800">
                <a:latin typeface="Calibri" panose="020F0502020204030204" pitchFamily="34" charset="0"/>
                <a:cs typeface="Calibri" panose="020F0502020204030204" pitchFamily="34" charset="0"/>
              </a:rPr>
              <a:t>Asset Allocation (%)</a:t>
            </a:r>
          </a:p>
        </c:rich>
      </c:tx>
      <c:layout>
        <c:manualLayout>
          <c:xMode val="edge"/>
          <c:yMode val="edge"/>
          <c:x val="0.40385466460204339"/>
          <c:y val="2.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ADB8CD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36-9147-9397-BE6B6C81F052}"/>
              </c:ext>
            </c:extLst>
          </c:dPt>
          <c:dPt>
            <c:idx val="1"/>
            <c:bubble3D val="0"/>
            <c:spPr>
              <a:solidFill>
                <a:srgbClr val="6B7D9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36-9147-9397-BE6B6C81F052}"/>
              </c:ext>
            </c:extLst>
          </c:dPt>
          <c:dPt>
            <c:idx val="2"/>
            <c:bubble3D val="0"/>
            <c:spPr>
              <a:solidFill>
                <a:srgbClr val="7E98AD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36-9147-9397-BE6B6C81F052}"/>
              </c:ext>
            </c:extLst>
          </c:dPt>
          <c:dPt>
            <c:idx val="3"/>
            <c:bubble3D val="0"/>
            <c:spPr>
              <a:solidFill>
                <a:srgbClr val="D9C89A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D36-9147-9397-BE6B6C81F052}"/>
              </c:ext>
            </c:extLst>
          </c:dPt>
          <c:dPt>
            <c:idx val="4"/>
            <c:bubble3D val="0"/>
            <c:spPr>
              <a:solidFill>
                <a:srgbClr val="7F7D8A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D36-9147-9397-BE6B6C81F052}"/>
              </c:ext>
            </c:extLst>
          </c:dPt>
          <c:dPt>
            <c:idx val="5"/>
            <c:bubble3D val="0"/>
            <c:spPr>
              <a:solidFill>
                <a:srgbClr val="615D6A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D36-9147-9397-BE6B6C81F052}"/>
              </c:ext>
            </c:extLst>
          </c:dPt>
          <c:dPt>
            <c:idx val="6"/>
            <c:bubble3D val="0"/>
            <c:spPr>
              <a:solidFill>
                <a:srgbClr val="C3CED9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D36-9147-9397-BE6B6C81F052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Summary!$A$2:$A$8</c:f>
              <c:strCache>
                <c:ptCount val="7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Rheinmetall AG</c:v>
                </c:pt>
                <c:pt idx="5">
                  <c:v>ASML Holding N. V.</c:v>
                </c:pt>
                <c:pt idx="6">
                  <c:v>L&amp;G Artificial Intelligence (ACC)</c:v>
                </c:pt>
              </c:strCache>
            </c:strRef>
          </c:cat>
          <c:val>
            <c:numRef>
              <c:f>Summary!$F$2:$F$8</c:f>
              <c:numCache>
                <c:formatCode>0%</c:formatCode>
                <c:ptCount val="7"/>
                <c:pt idx="0">
                  <c:v>0.20155232868087841</c:v>
                </c:pt>
                <c:pt idx="1">
                  <c:v>0.32756456546316132</c:v>
                </c:pt>
                <c:pt idx="2">
                  <c:v>0.21089970906618055</c:v>
                </c:pt>
                <c:pt idx="3">
                  <c:v>9.3064381502673807E-2</c:v>
                </c:pt>
                <c:pt idx="4">
                  <c:v>8.7964694244546199E-2</c:v>
                </c:pt>
                <c:pt idx="5">
                  <c:v>7.895432104255963E-2</c:v>
                </c:pt>
                <c:pt idx="6">
                  <c:v>0.12281740062493832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36-9147-9397-BE6B6C81F0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Portfolio Allocation –</a:t>
            </a:r>
            <a:r>
              <a:rPr lang="de-DE" sz="18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Fixed Plan Starting June 2025</a:t>
            </a:r>
            <a:endParaRPr lang="de-DE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A8B7C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6A-AC48-A343-13BA2E3B26A2}"/>
              </c:ext>
            </c:extLst>
          </c:dPt>
          <c:dPt>
            <c:idx val="1"/>
            <c:bubble3D val="0"/>
            <c:spPr>
              <a:solidFill>
                <a:srgbClr val="7E98AD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6A-AC48-A343-13BA2E3B26A2}"/>
              </c:ext>
            </c:extLst>
          </c:dPt>
          <c:dPt>
            <c:idx val="2"/>
            <c:bubble3D val="0"/>
            <c:spPr>
              <a:solidFill>
                <a:srgbClr val="6D819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6A-AC48-A343-13BA2E3B26A2}"/>
              </c:ext>
            </c:extLst>
          </c:dPt>
          <c:dPt>
            <c:idx val="3"/>
            <c:bubble3D val="0"/>
            <c:spPr>
              <a:solidFill>
                <a:srgbClr val="D8C9A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56A-AC48-A343-13BA2E3B26A2}"/>
              </c:ext>
            </c:extLst>
          </c:dPt>
          <c:dPt>
            <c:idx val="4"/>
            <c:bubble3D val="0"/>
            <c:spPr>
              <a:solidFill>
                <a:srgbClr val="5C586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56A-AC48-A343-13BA2E3B26A2}"/>
              </c:ext>
            </c:extLst>
          </c:dPt>
          <c:dPt>
            <c:idx val="5"/>
            <c:bubble3D val="0"/>
            <c:spPr>
              <a:solidFill>
                <a:srgbClr val="6D6A7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56A-AC48-A343-13BA2E3B26A2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('Fixed Investment Plan'!$A$3,'Fixed Investment Plan'!$A$4,'Fixed Investment Plan'!$A$5,'Fixed Investment Plan'!$A$6,'Fixed Investment Plan'!$A$7,'Fixed Investment Plan'!$A$8)</c:f>
              <c:strCache>
                <c:ptCount val="6"/>
                <c:pt idx="0">
                  <c:v>Amundi Nasdaq 100</c:v>
                </c:pt>
                <c:pt idx="1">
                  <c:v>Scalable MSCI AC World</c:v>
                </c:pt>
                <c:pt idx="2">
                  <c:v>VanEck Defense</c:v>
                </c:pt>
                <c:pt idx="3">
                  <c:v>iShares Physical Gold</c:v>
                </c:pt>
                <c:pt idx="4">
                  <c:v>ASML Holding N.V.</c:v>
                </c:pt>
                <c:pt idx="5">
                  <c:v>Rheinmetall AG</c:v>
                </c:pt>
              </c:strCache>
            </c:strRef>
          </c:cat>
          <c:val>
            <c:numRef>
              <c:f>('Fixed Investment Plan'!$E$3,'Fixed Investment Plan'!$E$4,'Fixed Investment Plan'!$E$5,'Fixed Investment Plan'!$E$6,'Fixed Investment Plan'!$E$7,'Fixed Investment Plan'!$E$8)</c:f>
              <c:numCache>
                <c:formatCode>0.00%</c:formatCode>
                <c:ptCount val="6"/>
                <c:pt idx="0">
                  <c:v>0.20833333333333334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6A-AC48-A343-13BA2E3B26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374486</xdr:colOff>
      <xdr:row>5</xdr:row>
      <xdr:rowOff>183660</xdr:rowOff>
    </xdr:from>
    <xdr:to>
      <xdr:col>46</xdr:col>
      <xdr:colOff>154679</xdr:colOff>
      <xdr:row>55</xdr:row>
      <xdr:rowOff>122115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351041</xdr:colOff>
      <xdr:row>57</xdr:row>
      <xdr:rowOff>179102</xdr:rowOff>
    </xdr:from>
    <xdr:to>
      <xdr:col>41</xdr:col>
      <xdr:colOff>516142</xdr:colOff>
      <xdr:row>84</xdr:row>
      <xdr:rowOff>179102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700129</xdr:colOff>
      <xdr:row>6</xdr:row>
      <xdr:rowOff>4789</xdr:rowOff>
    </xdr:from>
    <xdr:to>
      <xdr:col>23</xdr:col>
      <xdr:colOff>765257</xdr:colOff>
      <xdr:row>59</xdr:row>
      <xdr:rowOff>179102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21605</xdr:colOff>
      <xdr:row>2</xdr:row>
      <xdr:rowOff>130822</xdr:rowOff>
    </xdr:from>
    <xdr:to>
      <xdr:col>17</xdr:col>
      <xdr:colOff>148271</xdr:colOff>
      <xdr:row>46</xdr:row>
      <xdr:rowOff>82022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zoomScale="120" zoomScaleNormal="120" workbookViewId="0">
      <pane ySplit="1" topLeftCell="A16" activePane="bottomLeft" state="frozen"/>
      <selection pane="bottomLeft" activeCell="W39" sqref="W39"/>
    </sheetView>
  </sheetViews>
  <sheetFormatPr baseColWidth="10" defaultRowHeight="16" x14ac:dyDescent="0.2"/>
  <cols>
    <col min="1" max="1" width="17.6640625" style="40" bestFit="1" customWidth="1"/>
    <col min="2" max="2" width="17.83203125" style="42" bestFit="1" customWidth="1"/>
    <col min="3" max="3" width="16.33203125" style="37" bestFit="1" customWidth="1"/>
    <col min="4" max="4" width="39.33203125" style="37" bestFit="1" customWidth="1"/>
    <col min="5" max="5" width="20.33203125" style="42" bestFit="1" customWidth="1"/>
    <col min="6" max="6" width="10.5" style="44" bestFit="1" customWidth="1"/>
    <col min="7" max="7" width="19.5" style="44" bestFit="1" customWidth="1"/>
    <col min="8" max="8" width="15" style="78" bestFit="1" customWidth="1"/>
    <col min="9" max="9" width="15.6640625" style="37" bestFit="1" customWidth="1"/>
    <col min="10" max="10" width="17.5" style="78" bestFit="1" customWidth="1"/>
    <col min="11" max="11" width="28" style="37" bestFit="1" customWidth="1"/>
    <col min="12" max="12" width="16.6640625" style="78" bestFit="1" customWidth="1"/>
    <col min="13" max="13" width="10.83203125" style="37" customWidth="1"/>
    <col min="14" max="14" width="22.5" style="37" bestFit="1" customWidth="1"/>
    <col min="15" max="15" width="15.5" style="37" bestFit="1" customWidth="1"/>
    <col min="16" max="16" width="14.6640625" style="79" bestFit="1" customWidth="1"/>
    <col min="17" max="17" width="19.83203125" style="37" bestFit="1" customWidth="1"/>
    <col min="18" max="18" width="15.83203125" style="42" bestFit="1" customWidth="1"/>
    <col min="19" max="19" width="20.6640625" style="42" bestFit="1" customWidth="1"/>
    <col min="20" max="20" width="63" style="37" bestFit="1" customWidth="1"/>
    <col min="21" max="21" width="12.83203125" style="42" bestFit="1" customWidth="1"/>
    <col min="22" max="22" width="7.33203125" style="42" bestFit="1" customWidth="1"/>
    <col min="23" max="23" width="114.1640625" style="37" bestFit="1" customWidth="1"/>
    <col min="24" max="28" width="10.83203125" style="37" customWidth="1"/>
    <col min="29" max="16384" width="10.83203125" style="37"/>
  </cols>
  <sheetData>
    <row r="1" spans="1:23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20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21" t="s">
        <v>15</v>
      </c>
      <c r="Q1" s="22" t="s">
        <v>16</v>
      </c>
      <c r="R1" s="16" t="s">
        <v>17</v>
      </c>
      <c r="S1" s="16" t="s">
        <v>18</v>
      </c>
      <c r="T1" s="16" t="s">
        <v>19</v>
      </c>
      <c r="U1" s="23" t="s">
        <v>20</v>
      </c>
      <c r="V1" s="24" t="s">
        <v>21</v>
      </c>
      <c r="W1" s="25" t="s">
        <v>22</v>
      </c>
    </row>
    <row r="2" spans="1:23" x14ac:dyDescent="0.2">
      <c r="A2" s="1">
        <v>45786</v>
      </c>
      <c r="B2" s="2">
        <v>0.60763888888888884</v>
      </c>
      <c r="C2" s="3" t="s">
        <v>23</v>
      </c>
      <c r="D2" s="4" t="s">
        <v>24</v>
      </c>
      <c r="E2" s="3" t="s">
        <v>25</v>
      </c>
      <c r="F2" s="13">
        <v>1.155268</v>
      </c>
      <c r="G2" s="41">
        <f>SUMIFS(F$2:F2, D$2:D2, D2, V$2:V2, "Yes")</f>
        <v>0</v>
      </c>
      <c r="H2" s="6">
        <v>8.66</v>
      </c>
      <c r="I2" s="6">
        <f>IFERROR(VLOOKUP(D2,Kurse!$A:$E,2,FALSE),0)</f>
        <v>0</v>
      </c>
      <c r="J2" s="6">
        <v>10</v>
      </c>
      <c r="K2" s="6">
        <f>SUMIFS($J2:J$3, $D2:D$3, D2, $V2:V$3, "Yes")</f>
        <v>0</v>
      </c>
      <c r="L2" s="6">
        <v>1</v>
      </c>
      <c r="M2" s="6" t="str">
        <f t="shared" ref="M2:M33" si="0">IF(V2="Yes",J2+L2,"")</f>
        <v/>
      </c>
      <c r="N2" s="6">
        <f>SUMIFS($M2:M$3, $D2:D$3, D2, $V2:V$3, "Yes")</f>
        <v>0</v>
      </c>
      <c r="O2" s="5" t="str">
        <f t="shared" ref="O2:O33" si="1">IF(V2="Yes",F2*I2,"")</f>
        <v/>
      </c>
      <c r="P2" s="7">
        <v>0</v>
      </c>
      <c r="Q2" s="8">
        <f t="shared" ref="Q2:Q33" si="2">IFERROR(O2*P2,0)</f>
        <v>0</v>
      </c>
      <c r="R2" s="3" t="s">
        <v>26</v>
      </c>
      <c r="S2" s="3" t="s">
        <v>27</v>
      </c>
      <c r="T2" s="9" t="s">
        <v>28</v>
      </c>
      <c r="U2" s="10" t="s">
        <v>29</v>
      </c>
      <c r="V2" s="11" t="s">
        <v>30</v>
      </c>
      <c r="W2" s="12" t="s">
        <v>31</v>
      </c>
    </row>
    <row r="3" spans="1:23" x14ac:dyDescent="0.2">
      <c r="A3" s="26">
        <v>45789</v>
      </c>
      <c r="B3" s="27">
        <v>0.46250000000000002</v>
      </c>
      <c r="C3" s="28" t="s">
        <v>32</v>
      </c>
      <c r="D3" s="29" t="s">
        <v>33</v>
      </c>
      <c r="E3" s="28" t="s">
        <v>34</v>
      </c>
      <c r="F3" s="29">
        <v>9.3785999999999994E-2</v>
      </c>
      <c r="G3" s="29">
        <f>SUMIFS(F$3:F3, D$3:D3, D3, V$3:V3, "Yes")</f>
        <v>9.3785999999999994E-2</v>
      </c>
      <c r="H3" s="31">
        <v>213.25</v>
      </c>
      <c r="I3" s="31">
        <f>IFERROR(VLOOKUP(D3,Kurse!$A:$E,2,FALSE),0)</f>
        <v>225.6000061035156</v>
      </c>
      <c r="J3" s="31">
        <v>20</v>
      </c>
      <c r="K3" s="31">
        <f>SUMIFS($J$3:J3, $D$3:D3, D3, $V$3:V3, "Yes")</f>
        <v>20</v>
      </c>
      <c r="L3" s="31">
        <v>0</v>
      </c>
      <c r="M3" s="31">
        <f t="shared" si="0"/>
        <v>20</v>
      </c>
      <c r="N3" s="31">
        <f>SUMIFS($M$3:M3, $D$3:D3, D3, $V$3:V3, "Yes")</f>
        <v>20</v>
      </c>
      <c r="O3" s="30">
        <f t="shared" si="1"/>
        <v>21.158122172424314</v>
      </c>
      <c r="P3" s="32">
        <v>0</v>
      </c>
      <c r="Q3" s="33">
        <f t="shared" si="2"/>
        <v>0</v>
      </c>
      <c r="R3" s="28" t="s">
        <v>35</v>
      </c>
      <c r="S3" s="28" t="s">
        <v>36</v>
      </c>
      <c r="T3" s="34" t="s">
        <v>37</v>
      </c>
      <c r="U3" s="35" t="s">
        <v>29</v>
      </c>
      <c r="V3" s="36" t="s">
        <v>38</v>
      </c>
    </row>
    <row r="4" spans="1:23" x14ac:dyDescent="0.2">
      <c r="A4" s="1">
        <v>45789</v>
      </c>
      <c r="B4" s="2">
        <v>0.47291666666666671</v>
      </c>
      <c r="C4" s="3" t="s">
        <v>32</v>
      </c>
      <c r="D4" s="4" t="s">
        <v>39</v>
      </c>
      <c r="E4" s="3" t="s">
        <v>40</v>
      </c>
      <c r="F4" s="4">
        <v>2.3581189999999999</v>
      </c>
      <c r="G4" s="4">
        <f>SUMIFS(F$3:F4, D$3:D4, D4, V$3:V4, "Yes")</f>
        <v>0</v>
      </c>
      <c r="H4" s="6">
        <v>12.722</v>
      </c>
      <c r="I4" s="6">
        <f>IFERROR(VLOOKUP(D4,Kurse!$A:$E,2,FALSE),0)</f>
        <v>0</v>
      </c>
      <c r="J4" s="6">
        <v>30</v>
      </c>
      <c r="K4" s="6">
        <f>SUMIFS($J$3:J4, $D$3:D4, D4, $V$3:V4, "Yes")</f>
        <v>0</v>
      </c>
      <c r="L4" s="6">
        <v>0</v>
      </c>
      <c r="M4" s="6" t="str">
        <f t="shared" si="0"/>
        <v/>
      </c>
      <c r="N4" s="6">
        <f>SUMIFS($M$3:M4, $D$3:D4, D4, $V$3:V4, "Yes")</f>
        <v>0</v>
      </c>
      <c r="O4" s="5" t="str">
        <f t="shared" si="1"/>
        <v/>
      </c>
      <c r="P4" s="7">
        <v>0</v>
      </c>
      <c r="Q4" s="8">
        <f t="shared" si="2"/>
        <v>0</v>
      </c>
      <c r="R4" s="3" t="s">
        <v>35</v>
      </c>
      <c r="S4" s="3" t="s">
        <v>27</v>
      </c>
      <c r="T4" s="9" t="s">
        <v>26</v>
      </c>
      <c r="U4" s="10" t="s">
        <v>29</v>
      </c>
      <c r="V4" s="11" t="s">
        <v>30</v>
      </c>
      <c r="W4" s="12" t="s">
        <v>41</v>
      </c>
    </row>
    <row r="5" spans="1:23" x14ac:dyDescent="0.2">
      <c r="A5" s="26">
        <v>45789</v>
      </c>
      <c r="B5" s="27">
        <v>0.47916666666666669</v>
      </c>
      <c r="C5" s="28" t="s">
        <v>32</v>
      </c>
      <c r="D5" s="29" t="s">
        <v>42</v>
      </c>
      <c r="E5" s="28" t="s">
        <v>43</v>
      </c>
      <c r="F5" s="29">
        <v>3.254149</v>
      </c>
      <c r="G5" s="29">
        <f>SUMIFS(F$3:F5, D$3:D5, D5, V$3:V5, "Yes")</f>
        <v>3.254149</v>
      </c>
      <c r="H5" s="31">
        <v>9.2189999999999994</v>
      </c>
      <c r="I5" s="31">
        <f>IFERROR(VLOOKUP(D5,Kurse!$A:$E,2,FALSE),0)</f>
        <v>9.6029996871948242</v>
      </c>
      <c r="J5" s="31">
        <v>30</v>
      </c>
      <c r="K5" s="31">
        <f>SUMIFS($J$3:J5, $D$3:D5, D5, $V$3:V5, "Yes")</f>
        <v>30</v>
      </c>
      <c r="L5" s="31">
        <v>0</v>
      </c>
      <c r="M5" s="31">
        <f t="shared" si="0"/>
        <v>30</v>
      </c>
      <c r="N5" s="31">
        <f>SUMIFS($M$3:M5, $D$3:D5, D5, $V$3:V5, "Yes")</f>
        <v>30</v>
      </c>
      <c r="O5" s="30">
        <f t="shared" si="1"/>
        <v>31.24959182908535</v>
      </c>
      <c r="P5" s="32">
        <v>0</v>
      </c>
      <c r="Q5" s="33">
        <f t="shared" si="2"/>
        <v>0</v>
      </c>
      <c r="R5" s="28" t="s">
        <v>35</v>
      </c>
      <c r="S5" s="28" t="s">
        <v>36</v>
      </c>
      <c r="T5" s="34" t="s">
        <v>37</v>
      </c>
      <c r="U5" s="35" t="s">
        <v>29</v>
      </c>
      <c r="V5" s="36" t="s">
        <v>38</v>
      </c>
    </row>
    <row r="6" spans="1:23" x14ac:dyDescent="0.2">
      <c r="A6" s="26">
        <v>45789</v>
      </c>
      <c r="B6" s="27">
        <v>0.48402777777777778</v>
      </c>
      <c r="C6" s="28" t="s">
        <v>32</v>
      </c>
      <c r="D6" s="29" t="s">
        <v>44</v>
      </c>
      <c r="E6" s="28" t="s">
        <v>45</v>
      </c>
      <c r="F6" s="29">
        <v>0.88920500000000002</v>
      </c>
      <c r="G6" s="29">
        <f>SUMIFS(F$3:F6, D$3:D6, D6, V$3:V6, "Yes")</f>
        <v>0.88920500000000002</v>
      </c>
      <c r="H6" s="31">
        <v>56.23</v>
      </c>
      <c r="I6" s="31">
        <f>IFERROR(VLOOKUP(D6,Kurse!$A:$E,2,FALSE),0)</f>
        <v>58.560001373291023</v>
      </c>
      <c r="J6" s="31">
        <v>50</v>
      </c>
      <c r="K6" s="31">
        <f>SUMIFS($J$3:J6, $D$3:D6, D6, $V$3:V6, "Yes")</f>
        <v>50</v>
      </c>
      <c r="L6" s="31">
        <v>0</v>
      </c>
      <c r="M6" s="31">
        <f t="shared" si="0"/>
        <v>50</v>
      </c>
      <c r="N6" s="31">
        <f>SUMIFS($M$3:M6, $D$3:D6, D6, $V$3:V6, "Yes")</f>
        <v>50</v>
      </c>
      <c r="O6" s="30">
        <f t="shared" si="1"/>
        <v>52.071846021137247</v>
      </c>
      <c r="P6" s="32">
        <v>0</v>
      </c>
      <c r="Q6" s="33">
        <f t="shared" si="2"/>
        <v>0</v>
      </c>
      <c r="R6" s="28" t="s">
        <v>35</v>
      </c>
      <c r="S6" s="28" t="s">
        <v>36</v>
      </c>
      <c r="T6" s="34" t="s">
        <v>37</v>
      </c>
      <c r="U6" s="35" t="s">
        <v>46</v>
      </c>
      <c r="V6" s="36" t="s">
        <v>38</v>
      </c>
    </row>
    <row r="7" spans="1:23" x14ac:dyDescent="0.2">
      <c r="A7" s="26">
        <v>45789</v>
      </c>
      <c r="B7" s="27">
        <v>0.49652777777777779</v>
      </c>
      <c r="C7" s="28" t="s">
        <v>32</v>
      </c>
      <c r="D7" s="29" t="s">
        <v>47</v>
      </c>
      <c r="E7" s="28" t="s">
        <v>48</v>
      </c>
      <c r="F7" s="29">
        <v>0.65416399999999997</v>
      </c>
      <c r="G7" s="29">
        <f>SUMIFS(F$3:F7, D$3:D7, D7, V$3:V7, "Yes")</f>
        <v>0.65416399999999997</v>
      </c>
      <c r="H7" s="31">
        <v>45.86</v>
      </c>
      <c r="I7" s="31">
        <f>IFERROR(VLOOKUP(D7,Kurse!$A:$E,2,FALSE),0)</f>
        <v>49.814998626708977</v>
      </c>
      <c r="J7" s="31">
        <v>30</v>
      </c>
      <c r="K7" s="31">
        <f>SUMIFS($J$3:J7, $D$3:D7, D7, $V$3:V7, "Yes")</f>
        <v>30</v>
      </c>
      <c r="L7" s="31">
        <v>0</v>
      </c>
      <c r="M7" s="31">
        <f t="shared" si="0"/>
        <v>30</v>
      </c>
      <c r="N7" s="31">
        <f>SUMIFS($M$3:M7, $D$3:D7, D7, $V$3:V7, "Yes")</f>
        <v>30</v>
      </c>
      <c r="O7" s="30">
        <f t="shared" si="1"/>
        <v>32.587178761642448</v>
      </c>
      <c r="P7" s="32">
        <v>0</v>
      </c>
      <c r="Q7" s="33">
        <f t="shared" si="2"/>
        <v>0</v>
      </c>
      <c r="R7" s="28" t="s">
        <v>35</v>
      </c>
      <c r="S7" s="28" t="s">
        <v>36</v>
      </c>
      <c r="T7" s="34" t="s">
        <v>37</v>
      </c>
      <c r="U7" s="35" t="s">
        <v>29</v>
      </c>
      <c r="V7" s="36" t="s">
        <v>38</v>
      </c>
    </row>
    <row r="8" spans="1:23" x14ac:dyDescent="0.2">
      <c r="A8" s="1">
        <v>45789</v>
      </c>
      <c r="B8" s="2">
        <v>0.49722222222222218</v>
      </c>
      <c r="C8" s="3" t="s">
        <v>32</v>
      </c>
      <c r="D8" s="4" t="s">
        <v>49</v>
      </c>
      <c r="E8" s="3" t="s">
        <v>50</v>
      </c>
      <c r="F8" s="4">
        <v>0.71658900000000003</v>
      </c>
      <c r="G8" s="4">
        <f>SUMIFS(F$3:F8, D$3:D8, D8, V$3:V8, "Yes")</f>
        <v>0</v>
      </c>
      <c r="H8" s="6">
        <v>55.82</v>
      </c>
      <c r="I8" s="6">
        <f>IFERROR(VLOOKUP(D8,Kurse!$A:$E,2,FALSE),0)</f>
        <v>0</v>
      </c>
      <c r="J8" s="6">
        <v>40</v>
      </c>
      <c r="K8" s="6">
        <f>SUMIFS($J$3:J8, $D$3:D8, D8, $V$3:V8, "Yes")</f>
        <v>0</v>
      </c>
      <c r="L8" s="6">
        <v>0</v>
      </c>
      <c r="M8" s="6" t="str">
        <f t="shared" si="0"/>
        <v/>
      </c>
      <c r="N8" s="6">
        <f>SUMIFS($M$3:M8, $D$3:D8, D8, $V$3:V8, "Yes")</f>
        <v>0</v>
      </c>
      <c r="O8" s="5" t="str">
        <f t="shared" si="1"/>
        <v/>
      </c>
      <c r="P8" s="7">
        <v>0</v>
      </c>
      <c r="Q8" s="8">
        <f t="shared" si="2"/>
        <v>0</v>
      </c>
      <c r="R8" s="3" t="s">
        <v>26</v>
      </c>
      <c r="S8" s="3" t="s">
        <v>27</v>
      </c>
      <c r="T8" s="9" t="s">
        <v>26</v>
      </c>
      <c r="U8" s="10" t="s">
        <v>29</v>
      </c>
      <c r="V8" s="11" t="s">
        <v>30</v>
      </c>
      <c r="W8" s="12" t="s">
        <v>51</v>
      </c>
    </row>
    <row r="9" spans="1:23" x14ac:dyDescent="0.2">
      <c r="A9" s="1">
        <v>45793</v>
      </c>
      <c r="B9" s="2">
        <v>0.5805555555555556</v>
      </c>
      <c r="C9" s="3" t="s">
        <v>23</v>
      </c>
      <c r="D9" s="4" t="s">
        <v>24</v>
      </c>
      <c r="E9" s="3" t="s">
        <v>25</v>
      </c>
      <c r="F9" s="4">
        <v>1.0745750000000001</v>
      </c>
      <c r="G9" s="4">
        <f>SUMIFS(F$3:F9, D$3:D9, D9, V$3:V9, "Yes")</f>
        <v>0</v>
      </c>
      <c r="H9" s="6">
        <v>9.31</v>
      </c>
      <c r="I9" s="6">
        <f>IFERROR(VLOOKUP(D9,Kurse!$A:$E,2,FALSE),0)</f>
        <v>0</v>
      </c>
      <c r="J9" s="6">
        <v>10</v>
      </c>
      <c r="K9" s="6">
        <f>SUMIFS($J$3:J9, $D$3:D9, D9, $V$3:V9, "Yes")</f>
        <v>0</v>
      </c>
      <c r="L9" s="6">
        <v>0</v>
      </c>
      <c r="M9" s="6" t="str">
        <f t="shared" si="0"/>
        <v/>
      </c>
      <c r="N9" s="6">
        <f>SUMIFS($M$3:M9, $D$3:D9, D9, $V$3:V9, "Yes")</f>
        <v>0</v>
      </c>
      <c r="O9" s="5" t="str">
        <f t="shared" si="1"/>
        <v/>
      </c>
      <c r="P9" s="7">
        <v>0</v>
      </c>
      <c r="Q9" s="8">
        <f t="shared" si="2"/>
        <v>0</v>
      </c>
      <c r="R9" s="3" t="s">
        <v>26</v>
      </c>
      <c r="S9" s="3" t="s">
        <v>27</v>
      </c>
      <c r="T9" s="9" t="s">
        <v>26</v>
      </c>
      <c r="U9" s="10" t="s">
        <v>29</v>
      </c>
      <c r="V9" s="11" t="s">
        <v>30</v>
      </c>
      <c r="W9" s="12" t="s">
        <v>52</v>
      </c>
    </row>
    <row r="10" spans="1:23" x14ac:dyDescent="0.2">
      <c r="A10" s="1">
        <v>45793</v>
      </c>
      <c r="B10" s="2">
        <v>0.66736111111111107</v>
      </c>
      <c r="C10" s="3" t="s">
        <v>23</v>
      </c>
      <c r="D10" s="4" t="s">
        <v>53</v>
      </c>
      <c r="E10" s="3" t="s">
        <v>54</v>
      </c>
      <c r="F10" s="4">
        <v>3.7919000000000001E-2</v>
      </c>
      <c r="G10" s="4">
        <f>SUMIFS(F$3:F10, D$3:D10, D10, V$3:V10, "Yes")</f>
        <v>0</v>
      </c>
      <c r="H10" s="6">
        <v>131.86000000000001</v>
      </c>
      <c r="I10" s="6">
        <f>IFERROR(VLOOKUP(D10,Kurse!$A:$E,2,FALSE),0)</f>
        <v>0</v>
      </c>
      <c r="J10" s="6">
        <v>5</v>
      </c>
      <c r="K10" s="6">
        <f>SUMIFS($J$3:J10, $D$3:D10, D10, $V$3:V10, "Yes")</f>
        <v>0</v>
      </c>
      <c r="L10" s="6">
        <v>0</v>
      </c>
      <c r="M10" s="6" t="str">
        <f t="shared" si="0"/>
        <v/>
      </c>
      <c r="N10" s="6">
        <f>SUMIFS($M$3:M10, $D$3:D10, D10, $V$3:V10, "Yes")</f>
        <v>0</v>
      </c>
      <c r="O10" s="5" t="str">
        <f t="shared" si="1"/>
        <v/>
      </c>
      <c r="P10" s="7">
        <v>0</v>
      </c>
      <c r="Q10" s="8">
        <f t="shared" si="2"/>
        <v>0</v>
      </c>
      <c r="R10" s="3" t="s">
        <v>26</v>
      </c>
      <c r="S10" s="3" t="s">
        <v>27</v>
      </c>
      <c r="T10" s="9" t="s">
        <v>26</v>
      </c>
      <c r="U10" s="10" t="s">
        <v>29</v>
      </c>
      <c r="V10" s="11" t="s">
        <v>30</v>
      </c>
      <c r="W10" s="12" t="s">
        <v>55</v>
      </c>
    </row>
    <row r="11" spans="1:23" x14ac:dyDescent="0.2">
      <c r="A11" s="1">
        <v>45793</v>
      </c>
      <c r="B11" s="2">
        <v>0.56736111111111109</v>
      </c>
      <c r="C11" s="3" t="s">
        <v>23</v>
      </c>
      <c r="D11" s="4" t="s">
        <v>56</v>
      </c>
      <c r="E11" s="3" t="s">
        <v>57</v>
      </c>
      <c r="F11" s="4">
        <v>0.266347</v>
      </c>
      <c r="G11" s="4">
        <f>SUMIFS(F$3:F11, D$3:D11, D11, V$3:V11, "Yes")</f>
        <v>0</v>
      </c>
      <c r="H11" s="6">
        <v>37.549999999999997</v>
      </c>
      <c r="I11" s="6">
        <f>IFERROR(VLOOKUP(D11,Kurse!$A:$E,2,FALSE),0)</f>
        <v>0</v>
      </c>
      <c r="J11" s="6">
        <v>10</v>
      </c>
      <c r="K11" s="6">
        <f>SUMIFS($J$3:J11, $D$3:D11, D11, $V$3:V11, "Yes")</f>
        <v>0</v>
      </c>
      <c r="L11" s="6">
        <v>0</v>
      </c>
      <c r="M11" s="6" t="str">
        <f t="shared" si="0"/>
        <v/>
      </c>
      <c r="N11" s="6">
        <f>SUMIFS($M$3:M11, $D$3:D11, D11, $V$3:V11, "Yes")</f>
        <v>0</v>
      </c>
      <c r="O11" s="5" t="str">
        <f t="shared" si="1"/>
        <v/>
      </c>
      <c r="P11" s="7">
        <v>0</v>
      </c>
      <c r="Q11" s="8">
        <f t="shared" si="2"/>
        <v>0</v>
      </c>
      <c r="R11" s="3" t="s">
        <v>26</v>
      </c>
      <c r="S11" s="3" t="s">
        <v>27</v>
      </c>
      <c r="T11" s="9" t="s">
        <v>26</v>
      </c>
      <c r="U11" s="10" t="s">
        <v>29</v>
      </c>
      <c r="V11" s="11" t="s">
        <v>30</v>
      </c>
      <c r="W11" s="12" t="s">
        <v>58</v>
      </c>
    </row>
    <row r="12" spans="1:23" x14ac:dyDescent="0.2">
      <c r="A12" s="1">
        <v>45793</v>
      </c>
      <c r="B12" s="2">
        <v>0.47916666666666669</v>
      </c>
      <c r="C12" s="3" t="s">
        <v>23</v>
      </c>
      <c r="D12" s="4" t="s">
        <v>59</v>
      </c>
      <c r="E12" s="3" t="s">
        <v>60</v>
      </c>
      <c r="F12" s="4">
        <v>0</v>
      </c>
      <c r="G12" s="4">
        <f>SUMIFS(F$3:F12, D$3:D12, D12, V$3:V12, "Yes")</f>
        <v>0</v>
      </c>
      <c r="H12" s="6">
        <v>1720.5</v>
      </c>
      <c r="I12" s="6">
        <f>IFERROR(VLOOKUP(D12,Kurse!$A:$E,2,FALSE),0)</f>
        <v>1749</v>
      </c>
      <c r="J12" s="6">
        <v>0</v>
      </c>
      <c r="K12" s="6">
        <f>SUMIFS($J$3:J12, $D$3:D12, D12, $V$3:V12, "Yes")</f>
        <v>0</v>
      </c>
      <c r="L12" s="6">
        <v>0</v>
      </c>
      <c r="M12" s="6" t="str">
        <f t="shared" si="0"/>
        <v/>
      </c>
      <c r="N12" s="6">
        <f>SUMIFS($M$3:M12, $D$3:D12, D12, $V$3:V12, "Yes")</f>
        <v>0</v>
      </c>
      <c r="O12" s="5" t="str">
        <f t="shared" si="1"/>
        <v/>
      </c>
      <c r="P12" s="7">
        <v>0</v>
      </c>
      <c r="Q12" s="8">
        <f t="shared" si="2"/>
        <v>0</v>
      </c>
      <c r="R12" s="3" t="s">
        <v>26</v>
      </c>
      <c r="S12" s="3" t="s">
        <v>36</v>
      </c>
      <c r="T12" s="9" t="s">
        <v>26</v>
      </c>
      <c r="U12" s="10" t="s">
        <v>61</v>
      </c>
      <c r="V12" s="11" t="s">
        <v>30</v>
      </c>
      <c r="W12" s="12" t="s">
        <v>62</v>
      </c>
    </row>
    <row r="13" spans="1:23" x14ac:dyDescent="0.2">
      <c r="A13" s="1">
        <v>45796</v>
      </c>
      <c r="B13" s="2">
        <v>0.46875</v>
      </c>
      <c r="C13" s="3" t="s">
        <v>23</v>
      </c>
      <c r="D13" s="4" t="s">
        <v>63</v>
      </c>
      <c r="E13" s="3" t="s">
        <v>64</v>
      </c>
      <c r="F13" s="4">
        <v>0</v>
      </c>
      <c r="G13" s="4">
        <v>3.8137999999999998E-2</v>
      </c>
      <c r="H13" s="6">
        <v>681.72</v>
      </c>
      <c r="I13" s="6">
        <f>IFERROR(VLOOKUP(D13,Kurse!$A:$E,2,FALSE),0)</f>
        <v>617.20001220703125</v>
      </c>
      <c r="J13" s="6">
        <v>0</v>
      </c>
      <c r="K13" s="6">
        <v>25</v>
      </c>
      <c r="L13" s="6">
        <v>1</v>
      </c>
      <c r="M13" s="6" t="str">
        <f t="shared" si="0"/>
        <v/>
      </c>
      <c r="N13" s="6">
        <f>SUMIFS($M$3:M13, $D$3:D13, D13, $V$3:V13, "Yes")</f>
        <v>0</v>
      </c>
      <c r="O13" s="5" t="str">
        <f t="shared" si="1"/>
        <v/>
      </c>
      <c r="P13" s="7">
        <v>9.7000000000000003E-3</v>
      </c>
      <c r="Q13" s="8">
        <f t="shared" si="2"/>
        <v>0</v>
      </c>
      <c r="R13" s="3" t="s">
        <v>26</v>
      </c>
      <c r="S13" s="3" t="s">
        <v>36</v>
      </c>
      <c r="T13" s="9" t="s">
        <v>26</v>
      </c>
      <c r="U13" s="10" t="s">
        <v>61</v>
      </c>
      <c r="V13" s="11" t="s">
        <v>30</v>
      </c>
      <c r="W13" s="12" t="s">
        <v>65</v>
      </c>
    </row>
    <row r="14" spans="1:23" x14ac:dyDescent="0.2">
      <c r="A14" s="26">
        <v>45799</v>
      </c>
      <c r="B14" s="27">
        <v>0.49583333333333329</v>
      </c>
      <c r="C14" s="28" t="s">
        <v>32</v>
      </c>
      <c r="D14" s="29" t="s">
        <v>33</v>
      </c>
      <c r="E14" s="28" t="s">
        <v>34</v>
      </c>
      <c r="F14" s="29">
        <v>0.14099999999999999</v>
      </c>
      <c r="G14" s="29">
        <f>SUMIFS(F$3:F14, D$3:D14, D14, V$3:V14, "Yes")</f>
        <v>0.23478599999999999</v>
      </c>
      <c r="H14" s="31">
        <v>213.5</v>
      </c>
      <c r="I14" s="31">
        <f>IFERROR(VLOOKUP(D14,Kurse!$A:$E,2,FALSE),0)</f>
        <v>225.6000061035156</v>
      </c>
      <c r="J14" s="31">
        <v>30</v>
      </c>
      <c r="K14" s="31">
        <f>SUMIFS($J$3:J14, $D$3:D14, D14, $V$3:V14, "Yes")</f>
        <v>50</v>
      </c>
      <c r="L14" s="31">
        <v>0</v>
      </c>
      <c r="M14" s="31">
        <f t="shared" si="0"/>
        <v>30</v>
      </c>
      <c r="N14" s="31">
        <f>SUMIFS($M$3:M14, $D$3:D14, D14, $V$3:V14, "Yes")</f>
        <v>50</v>
      </c>
      <c r="O14" s="30">
        <f t="shared" si="1"/>
        <v>31.809600860595697</v>
      </c>
      <c r="P14" s="32">
        <v>0</v>
      </c>
      <c r="Q14" s="33">
        <f t="shared" si="2"/>
        <v>0</v>
      </c>
      <c r="R14" s="28" t="s">
        <v>66</v>
      </c>
      <c r="S14" s="28" t="s">
        <v>36</v>
      </c>
      <c r="T14" s="34" t="s">
        <v>67</v>
      </c>
      <c r="U14" s="35" t="s">
        <v>29</v>
      </c>
      <c r="V14" s="36" t="s">
        <v>38</v>
      </c>
    </row>
    <row r="15" spans="1:23" x14ac:dyDescent="0.2">
      <c r="A15" s="26">
        <v>45799</v>
      </c>
      <c r="B15" s="38">
        <v>0.46597222222222218</v>
      </c>
      <c r="C15" s="28" t="s">
        <v>32</v>
      </c>
      <c r="D15" s="29" t="s">
        <v>42</v>
      </c>
      <c r="E15" s="28" t="s">
        <v>43</v>
      </c>
      <c r="F15" s="29">
        <v>0.92</v>
      </c>
      <c r="G15" s="29">
        <f>SUMIFS(F$3:F15, D$3:D15, D15, V$3:V15, "Yes")</f>
        <v>4.1741489999999999</v>
      </c>
      <c r="H15" s="31">
        <v>9.17</v>
      </c>
      <c r="I15" s="31">
        <f>IFERROR(VLOOKUP(D15,Kurse!$A:$E,2,FALSE),0)</f>
        <v>9.6029996871948242</v>
      </c>
      <c r="J15" s="31">
        <v>8.44</v>
      </c>
      <c r="K15" s="31">
        <f>SUMIFS($J$3:J15, $D$3:D15, D15, $V$3:V15, "Yes")</f>
        <v>38.44</v>
      </c>
      <c r="L15" s="31">
        <v>0</v>
      </c>
      <c r="M15" s="31">
        <f t="shared" si="0"/>
        <v>8.44</v>
      </c>
      <c r="N15" s="31">
        <f>SUMIFS($M$3:M15, $D$3:D15, D15, $V$3:V15, "Yes")</f>
        <v>38.44</v>
      </c>
      <c r="O15" s="30">
        <f t="shared" si="1"/>
        <v>8.8347597122192383</v>
      </c>
      <c r="P15" s="32">
        <v>0</v>
      </c>
      <c r="Q15" s="33">
        <f t="shared" si="2"/>
        <v>0</v>
      </c>
      <c r="R15" s="28" t="s">
        <v>66</v>
      </c>
      <c r="S15" s="28" t="s">
        <v>36</v>
      </c>
      <c r="T15" s="34" t="s">
        <v>68</v>
      </c>
      <c r="U15" s="35" t="s">
        <v>29</v>
      </c>
      <c r="V15" s="36" t="s">
        <v>38</v>
      </c>
    </row>
    <row r="16" spans="1:23" x14ac:dyDescent="0.2">
      <c r="A16" s="52">
        <v>45805</v>
      </c>
      <c r="B16" s="82"/>
      <c r="C16" s="51"/>
      <c r="D16" s="12" t="s">
        <v>59</v>
      </c>
      <c r="E16" s="51" t="s">
        <v>60</v>
      </c>
      <c r="F16" s="83">
        <v>0</v>
      </c>
      <c r="G16" s="4">
        <f>SUMIFS(F$3:F16, D$3:D16, D16, V$3:V16, "Yes")</f>
        <v>0</v>
      </c>
      <c r="H16" s="81">
        <v>1916.5</v>
      </c>
      <c r="I16" s="6">
        <f>IFERROR(VLOOKUP(D16,Kurse!$A:$E,2,FALSE),0)</f>
        <v>1749</v>
      </c>
      <c r="J16" s="81">
        <v>0</v>
      </c>
      <c r="K16" s="6">
        <f>SUMIFS($J$3:J16, $D$3:D16, D16, $V$3:V16, "Yes")</f>
        <v>0</v>
      </c>
      <c r="L16" s="81">
        <v>1</v>
      </c>
      <c r="M16" s="6" t="str">
        <f t="shared" si="0"/>
        <v/>
      </c>
      <c r="N16" s="6">
        <f>SUMIFS($M$3:M16, $D$3:D16, D16, $V$3:V16, "Yes")</f>
        <v>0</v>
      </c>
      <c r="O16" s="5" t="str">
        <f t="shared" si="1"/>
        <v/>
      </c>
      <c r="P16" s="84">
        <v>0</v>
      </c>
      <c r="Q16" s="8">
        <f t="shared" si="2"/>
        <v>0</v>
      </c>
      <c r="R16" s="51" t="s">
        <v>26</v>
      </c>
      <c r="S16" s="51" t="s">
        <v>36</v>
      </c>
      <c r="T16" s="12" t="s">
        <v>26</v>
      </c>
      <c r="U16" s="51" t="s">
        <v>61</v>
      </c>
      <c r="V16" s="51" t="s">
        <v>30</v>
      </c>
      <c r="W16" s="12" t="s">
        <v>69</v>
      </c>
    </row>
    <row r="17" spans="1:22" x14ac:dyDescent="0.2">
      <c r="A17" s="40" t="s">
        <v>70</v>
      </c>
      <c r="B17" s="90">
        <v>0.50555555555555554</v>
      </c>
      <c r="C17" s="37" t="s">
        <v>32</v>
      </c>
      <c r="D17" s="37" t="s">
        <v>33</v>
      </c>
      <c r="E17" s="42" t="s">
        <v>34</v>
      </c>
      <c r="F17" s="44">
        <v>0.22919999999999999</v>
      </c>
      <c r="G17" s="29">
        <f>SUMIFS(F$3:F17, D$3:D17, D17, V$3:V17, "Yes")</f>
        <v>0.46398600000000001</v>
      </c>
      <c r="H17" s="78">
        <v>218.15</v>
      </c>
      <c r="I17" s="31">
        <f>IFERROR(VLOOKUP(D17,Kurse!$A:$E,2,FALSE),0)</f>
        <v>225.6000061035156</v>
      </c>
      <c r="J17" s="78">
        <v>50</v>
      </c>
      <c r="K17" s="31">
        <f>SUMIFS($J$3:J17, $D$3:D17, D17, $V$3:V17, "Yes")</f>
        <v>100</v>
      </c>
      <c r="L17" s="78">
        <v>0</v>
      </c>
      <c r="M17" s="31">
        <f t="shared" si="0"/>
        <v>50</v>
      </c>
      <c r="N17" s="31">
        <f>SUMIFS($M$3:M17, $D$3:D17, D17, $V$3:V17, "Yes")</f>
        <v>100</v>
      </c>
      <c r="O17" s="30">
        <f t="shared" si="1"/>
        <v>51.70752139892577</v>
      </c>
      <c r="P17" s="79">
        <v>0</v>
      </c>
      <c r="Q17" s="33">
        <f t="shared" si="2"/>
        <v>0</v>
      </c>
      <c r="R17" s="42" t="s">
        <v>35</v>
      </c>
      <c r="S17" s="42" t="s">
        <v>36</v>
      </c>
      <c r="T17" s="37" t="s">
        <v>68</v>
      </c>
      <c r="U17" s="42" t="s">
        <v>29</v>
      </c>
      <c r="V17" s="42" t="s">
        <v>38</v>
      </c>
    </row>
    <row r="18" spans="1:22" x14ac:dyDescent="0.2">
      <c r="A18" s="40">
        <v>45812</v>
      </c>
      <c r="B18" s="42">
        <v>11.52</v>
      </c>
      <c r="C18" s="37" t="s">
        <v>32</v>
      </c>
      <c r="D18" s="37" t="s">
        <v>63</v>
      </c>
      <c r="E18" s="42" t="s">
        <v>64</v>
      </c>
      <c r="F18" s="44">
        <v>3.7173999999999999E-2</v>
      </c>
      <c r="G18" s="29">
        <f>SUMIFS(F$3:F18, D$3:D18, D18, V$3:V18, "Yes")</f>
        <v>3.7173999999999999E-2</v>
      </c>
      <c r="H18" s="78">
        <v>664.7</v>
      </c>
      <c r="I18" s="31">
        <f>IFERROR(VLOOKUP(D18,Kurse!$A:$E,2,FALSE),0)</f>
        <v>617.20001220703125</v>
      </c>
      <c r="J18" s="78">
        <v>24.71</v>
      </c>
      <c r="K18" s="31">
        <f>SUMIFS($J$3:J18, $D$3:D18, D18, $V$3:V18, "Yes")</f>
        <v>24.71</v>
      </c>
      <c r="L18" s="78">
        <v>0</v>
      </c>
      <c r="M18" s="31">
        <f t="shared" si="0"/>
        <v>24.71</v>
      </c>
      <c r="N18" s="31">
        <f>SUMIFS($M$3:M18, $D$3:D18, D18, $V$3:V18, "Yes")</f>
        <v>24.71</v>
      </c>
      <c r="O18" s="30">
        <f t="shared" si="1"/>
        <v>22.943793253784179</v>
      </c>
      <c r="P18" s="79">
        <v>0</v>
      </c>
      <c r="Q18" s="33">
        <f t="shared" si="2"/>
        <v>0</v>
      </c>
      <c r="R18" s="42" t="s">
        <v>35</v>
      </c>
      <c r="S18" s="42" t="s">
        <v>36</v>
      </c>
      <c r="T18" s="37" t="s">
        <v>68</v>
      </c>
      <c r="U18" s="42" t="s">
        <v>61</v>
      </c>
      <c r="V18" s="42" t="s">
        <v>38</v>
      </c>
    </row>
    <row r="19" spans="1:22" x14ac:dyDescent="0.2">
      <c r="A19" s="40">
        <v>45818</v>
      </c>
      <c r="B19" s="90">
        <v>0.4826388888888889</v>
      </c>
      <c r="C19" s="37" t="s">
        <v>32</v>
      </c>
      <c r="D19" s="37" t="s">
        <v>63</v>
      </c>
      <c r="E19" s="42" t="s">
        <v>64</v>
      </c>
      <c r="F19" s="44">
        <v>2.9506999999999999E-2</v>
      </c>
      <c r="G19" s="29">
        <f>SUMIFS(F$3:F19, D$3:D19, D19, V$3:V19, "Yes")</f>
        <v>6.668099999999999E-2</v>
      </c>
      <c r="H19" s="78">
        <v>677.8</v>
      </c>
      <c r="I19" s="31">
        <f>IFERROR(VLOOKUP(D19,Kurse!$A:$E,2,FALSE),0)</f>
        <v>617.20001220703125</v>
      </c>
      <c r="J19" s="78">
        <v>20</v>
      </c>
      <c r="K19" s="31">
        <f>SUMIFS($J$3:J19, $D$3:D19, D19, $V$3:V19, "Yes")</f>
        <v>44.71</v>
      </c>
      <c r="L19" s="78">
        <v>0</v>
      </c>
      <c r="M19" s="31">
        <f t="shared" si="0"/>
        <v>20</v>
      </c>
      <c r="N19" s="31">
        <f>SUMIFS($M$3:M19, $D$3:D19, D19, $V$3:V19, "Yes")</f>
        <v>44.71</v>
      </c>
      <c r="O19" s="30">
        <f t="shared" si="1"/>
        <v>18.211720760192872</v>
      </c>
      <c r="P19" s="79">
        <v>0</v>
      </c>
      <c r="Q19" s="33">
        <f t="shared" si="2"/>
        <v>0</v>
      </c>
      <c r="R19" s="42" t="s">
        <v>35</v>
      </c>
      <c r="S19" s="42" t="s">
        <v>36</v>
      </c>
      <c r="T19" s="37" t="s">
        <v>68</v>
      </c>
      <c r="U19" s="42" t="s">
        <v>61</v>
      </c>
      <c r="V19" s="42" t="s">
        <v>38</v>
      </c>
    </row>
    <row r="20" spans="1:22" x14ac:dyDescent="0.2">
      <c r="A20" s="40">
        <v>45812</v>
      </c>
      <c r="B20" s="90">
        <v>0.48055555555555562</v>
      </c>
      <c r="C20" s="37" t="s">
        <v>32</v>
      </c>
      <c r="D20" s="37" t="s">
        <v>59</v>
      </c>
      <c r="E20" s="42" t="s">
        <v>60</v>
      </c>
      <c r="F20" s="44">
        <v>1.6295E-2</v>
      </c>
      <c r="G20" s="29">
        <f>SUMIFS(F$3:F20, D$3:D20, D20, V$3:V20, "Yes")</f>
        <v>1.6295E-2</v>
      </c>
      <c r="H20" s="78">
        <v>1841</v>
      </c>
      <c r="I20" s="31">
        <f>IFERROR(VLOOKUP(D20,Kurse!$A:$E,2,FALSE),0)</f>
        <v>1749</v>
      </c>
      <c r="J20" s="78">
        <v>30</v>
      </c>
      <c r="K20" s="31">
        <f>SUMIFS($J$3:J20, $D$3:D20, D20, $V$3:V20, "Yes")</f>
        <v>30</v>
      </c>
      <c r="L20" s="78">
        <v>0</v>
      </c>
      <c r="M20" s="31">
        <f t="shared" si="0"/>
        <v>30</v>
      </c>
      <c r="N20" s="31">
        <f>SUMIFS($M$3:M20, $D$3:D20, D20, $V$3:V20, "Yes")</f>
        <v>30</v>
      </c>
      <c r="O20" s="30">
        <f t="shared" si="1"/>
        <v>28.499955</v>
      </c>
      <c r="P20" s="79">
        <v>0</v>
      </c>
      <c r="Q20" s="33">
        <f t="shared" si="2"/>
        <v>0</v>
      </c>
      <c r="R20" s="42" t="s">
        <v>35</v>
      </c>
      <c r="S20" s="42" t="s">
        <v>36</v>
      </c>
      <c r="T20" s="37" t="s">
        <v>68</v>
      </c>
      <c r="U20" s="42" t="s">
        <v>61</v>
      </c>
      <c r="V20" s="42" t="s">
        <v>38</v>
      </c>
    </row>
    <row r="21" spans="1:22" x14ac:dyDescent="0.2">
      <c r="A21" s="40">
        <v>45818</v>
      </c>
      <c r="B21" s="90">
        <v>0.51180555555555551</v>
      </c>
      <c r="C21" s="37" t="s">
        <v>32</v>
      </c>
      <c r="D21" s="37" t="s">
        <v>59</v>
      </c>
      <c r="E21" s="42" t="s">
        <v>60</v>
      </c>
      <c r="F21" s="44">
        <v>1.1573999999999999E-2</v>
      </c>
      <c r="G21" s="29">
        <f>SUMIFS(F$3:F21, D$3:D21, D21, V$3:V21, "Yes")</f>
        <v>2.7868999999999998E-2</v>
      </c>
      <c r="H21" s="78">
        <v>1728</v>
      </c>
      <c r="I21" s="31">
        <f>IFERROR(VLOOKUP(D21,Kurse!$A:$E,2,FALSE),0)</f>
        <v>1749</v>
      </c>
      <c r="J21" s="78">
        <v>20</v>
      </c>
      <c r="K21" s="31">
        <f>SUMIFS($J$3:J21, $D$3:D21, D21, $V$3:V21, "Yes")</f>
        <v>50</v>
      </c>
      <c r="L21" s="78">
        <v>0</v>
      </c>
      <c r="M21" s="31">
        <f t="shared" si="0"/>
        <v>20</v>
      </c>
      <c r="N21" s="31">
        <f>SUMIFS($M$3:M21, $D$3:D21, D21, $V$3:V21, "Yes")</f>
        <v>50</v>
      </c>
      <c r="O21" s="30">
        <f t="shared" si="1"/>
        <v>20.242925999999997</v>
      </c>
      <c r="P21" s="79">
        <v>0</v>
      </c>
      <c r="Q21" s="33">
        <f t="shared" si="2"/>
        <v>0</v>
      </c>
      <c r="R21" s="42" t="s">
        <v>35</v>
      </c>
      <c r="S21" s="42" t="s">
        <v>36</v>
      </c>
      <c r="T21" s="37" t="s">
        <v>68</v>
      </c>
      <c r="U21" s="42" t="s">
        <v>61</v>
      </c>
      <c r="V21" s="42" t="s">
        <v>38</v>
      </c>
    </row>
    <row r="22" spans="1:22" x14ac:dyDescent="0.2">
      <c r="A22" s="40">
        <v>45810</v>
      </c>
      <c r="B22" s="90">
        <v>0.47013888888888888</v>
      </c>
      <c r="C22" s="37" t="s">
        <v>32</v>
      </c>
      <c r="D22" s="37" t="s">
        <v>42</v>
      </c>
      <c r="E22" s="42" t="s">
        <v>43</v>
      </c>
      <c r="F22" s="44">
        <v>2.1971340000000001</v>
      </c>
      <c r="G22" s="29">
        <f>SUMIFS(F$3:F22, D$3:D22, D22, V$3:V22, "Yes")</f>
        <v>6.371283</v>
      </c>
      <c r="H22" s="78">
        <v>9.1028000000000002</v>
      </c>
      <c r="I22" s="31">
        <f>IFERROR(VLOOKUP(D22,Kurse!$A:$E,2,FALSE),0)</f>
        <v>9.6029996871948242</v>
      </c>
      <c r="J22" s="78">
        <v>20</v>
      </c>
      <c r="K22" s="31">
        <f>SUMIFS($J$3:J22, $D$3:D22, D22, $V$3:V22, "Yes")</f>
        <v>58.44</v>
      </c>
      <c r="L22" s="78">
        <v>0</v>
      </c>
      <c r="M22" s="31">
        <f t="shared" si="0"/>
        <v>20</v>
      </c>
      <c r="N22" s="31">
        <f>SUMIFS($M$3:M22, $D$3:D22, D22, $V$3:V22, "Yes")</f>
        <v>58.44</v>
      </c>
      <c r="O22" s="30">
        <f t="shared" si="1"/>
        <v>21.099077114725116</v>
      </c>
      <c r="P22" s="79">
        <v>0</v>
      </c>
      <c r="Q22" s="33">
        <f t="shared" si="2"/>
        <v>0</v>
      </c>
      <c r="R22" s="42" t="s">
        <v>35</v>
      </c>
      <c r="S22" s="42" t="s">
        <v>36</v>
      </c>
      <c r="T22" s="37" t="s">
        <v>68</v>
      </c>
      <c r="U22" s="42" t="s">
        <v>29</v>
      </c>
      <c r="V22" s="42" t="s">
        <v>38</v>
      </c>
    </row>
    <row r="23" spans="1:22" x14ac:dyDescent="0.2">
      <c r="A23" s="40">
        <v>45818</v>
      </c>
      <c r="B23" s="90">
        <v>0.5180555555555556</v>
      </c>
      <c r="C23" s="37" t="s">
        <v>32</v>
      </c>
      <c r="D23" s="37" t="s">
        <v>42</v>
      </c>
      <c r="E23" s="42" t="s">
        <v>43</v>
      </c>
      <c r="F23" s="44">
        <v>5.3699919999999999</v>
      </c>
      <c r="G23" s="29">
        <f>SUMIFS(F$3:F23, D$3:D23, D23, V$3:V23, "Yes")</f>
        <v>11.741275</v>
      </c>
      <c r="H23" s="78">
        <v>9.3109999999999999</v>
      </c>
      <c r="I23" s="31">
        <f>IFERROR(VLOOKUP(D23,Kurse!$A:$E,2,FALSE),0)</f>
        <v>9.6029996871948242</v>
      </c>
      <c r="J23" s="78">
        <v>50</v>
      </c>
      <c r="K23" s="31">
        <f>SUMIFS($J$3:J23, $D$3:D23, D23, $V$3:V23, "Yes")</f>
        <v>108.44</v>
      </c>
      <c r="L23" s="78">
        <v>0</v>
      </c>
      <c r="M23" s="31">
        <f t="shared" si="0"/>
        <v>50</v>
      </c>
      <c r="N23" s="31">
        <f>SUMIFS($M$3:M23, $D$3:D23, D23, $V$3:V23, "Yes")</f>
        <v>108.44</v>
      </c>
      <c r="O23" s="30">
        <f t="shared" si="1"/>
        <v>51.56803149623871</v>
      </c>
      <c r="P23" s="79">
        <v>0</v>
      </c>
      <c r="Q23" s="33">
        <f t="shared" si="2"/>
        <v>0</v>
      </c>
      <c r="R23" s="42" t="s">
        <v>35</v>
      </c>
      <c r="S23" s="42" t="s">
        <v>36</v>
      </c>
      <c r="T23" s="37" t="s">
        <v>68</v>
      </c>
      <c r="U23" s="42" t="s">
        <v>29</v>
      </c>
      <c r="V23" s="42" t="s">
        <v>38</v>
      </c>
    </row>
    <row r="24" spans="1:22" x14ac:dyDescent="0.2">
      <c r="A24" s="40">
        <v>45810</v>
      </c>
      <c r="B24" s="90">
        <v>0.49791666666666667</v>
      </c>
      <c r="C24" s="37" t="s">
        <v>32</v>
      </c>
      <c r="D24" s="37" t="s">
        <v>47</v>
      </c>
      <c r="E24" s="42" t="s">
        <v>48</v>
      </c>
      <c r="F24" s="44">
        <v>0.64329999999999998</v>
      </c>
      <c r="G24" s="29">
        <f>SUMIFS(F$3:F24, D$3:D24, D24, V$3:V24, "Yes")</f>
        <v>1.297464</v>
      </c>
      <c r="H24" s="78">
        <v>30.56</v>
      </c>
      <c r="I24" s="31">
        <f>IFERROR(VLOOKUP(D24,Kurse!$A:$E,2,FALSE),0)</f>
        <v>49.814998626708977</v>
      </c>
      <c r="J24" s="78">
        <v>30.56</v>
      </c>
      <c r="K24" s="31">
        <f>SUMIFS($J$3:J24, $D$3:D24, D24, $V$3:V24, "Yes")</f>
        <v>60.56</v>
      </c>
      <c r="L24" s="78">
        <v>0</v>
      </c>
      <c r="M24" s="31">
        <f t="shared" si="0"/>
        <v>30.56</v>
      </c>
      <c r="N24" s="31">
        <f>SUMIFS($M$3:M24, $D$3:D24, D24, $V$3:V24, "Yes")</f>
        <v>60.56</v>
      </c>
      <c r="O24" s="30">
        <f t="shared" si="1"/>
        <v>32.045988616561885</v>
      </c>
      <c r="P24" s="79">
        <v>0</v>
      </c>
      <c r="Q24" s="33">
        <f t="shared" si="2"/>
        <v>0</v>
      </c>
      <c r="R24" s="42" t="s">
        <v>35</v>
      </c>
      <c r="S24" s="42" t="s">
        <v>36</v>
      </c>
      <c r="T24" s="37" t="s">
        <v>68</v>
      </c>
      <c r="U24" s="42" t="s">
        <v>29</v>
      </c>
      <c r="V24" s="42" t="s">
        <v>38</v>
      </c>
    </row>
    <row r="25" spans="1:22" x14ac:dyDescent="0.2">
      <c r="A25" s="40">
        <v>45818</v>
      </c>
      <c r="B25" s="90">
        <v>0.50555555555555554</v>
      </c>
      <c r="C25" s="37" t="s">
        <v>32</v>
      </c>
      <c r="D25" s="37" t="s">
        <v>47</v>
      </c>
      <c r="E25" s="42" t="s">
        <v>48</v>
      </c>
      <c r="F25" s="44">
        <v>2.0977549999999998</v>
      </c>
      <c r="G25" s="29">
        <f>SUMIFS(F$3:F25, D$3:D25, D25, V$3:V25, "Yes")</f>
        <v>3.395219</v>
      </c>
      <c r="H25" s="78">
        <v>47.67</v>
      </c>
      <c r="I25" s="31">
        <f>IFERROR(VLOOKUP(D25,Kurse!$A:$E,2,FALSE),0)</f>
        <v>49.814998626708977</v>
      </c>
      <c r="J25" s="78">
        <v>100</v>
      </c>
      <c r="K25" s="31">
        <f>SUMIFS($J$3:J25, $D$3:D25, D25, $V$3:V25, "Yes")</f>
        <v>160.56</v>
      </c>
      <c r="L25" s="78">
        <v>0</v>
      </c>
      <c r="M25" s="31">
        <f t="shared" si="0"/>
        <v>100</v>
      </c>
      <c r="N25" s="31">
        <f>SUMIFS($M$3:M25, $D$3:D25, D25, $V$3:V25, "Yes")</f>
        <v>160.56</v>
      </c>
      <c r="O25" s="30">
        <f t="shared" si="1"/>
        <v>104.49966244417188</v>
      </c>
      <c r="P25" s="79">
        <v>0</v>
      </c>
      <c r="Q25" s="33">
        <f t="shared" si="2"/>
        <v>0</v>
      </c>
      <c r="R25" s="42" t="s">
        <v>35</v>
      </c>
      <c r="S25" s="42" t="s">
        <v>36</v>
      </c>
      <c r="T25" s="37" t="s">
        <v>68</v>
      </c>
      <c r="U25" s="42" t="s">
        <v>29</v>
      </c>
      <c r="V25" s="42" t="s">
        <v>38</v>
      </c>
    </row>
    <row r="26" spans="1:22" x14ac:dyDescent="0.2">
      <c r="A26" s="40">
        <v>45854</v>
      </c>
      <c r="B26" s="90">
        <v>0.47013888888888888</v>
      </c>
      <c r="C26" s="37" t="s">
        <v>32</v>
      </c>
      <c r="D26" s="37" t="s">
        <v>63</v>
      </c>
      <c r="E26" s="42" t="s">
        <v>64</v>
      </c>
      <c r="F26" s="44">
        <v>3.1E-2</v>
      </c>
      <c r="G26" s="29">
        <f>SUMIFS(F$3:F26, D$3:D26, D26, V$3:V26, "Yes")</f>
        <v>9.768099999999999E-2</v>
      </c>
      <c r="H26" s="78">
        <v>648.5</v>
      </c>
      <c r="I26" s="31">
        <f>IFERROR(VLOOKUP(D26,Kurse!$A:$E,2,FALSE),0)</f>
        <v>617.20001220703125</v>
      </c>
      <c r="J26" s="78">
        <v>20</v>
      </c>
      <c r="K26" s="31">
        <f>SUMIFS($J$3:J26, $D$3:D26, D26, $V$3:V26, "Yes")</f>
        <v>64.710000000000008</v>
      </c>
      <c r="L26" s="78">
        <v>0</v>
      </c>
      <c r="M26" s="31">
        <f t="shared" si="0"/>
        <v>20</v>
      </c>
      <c r="N26" s="31">
        <f>SUMIFS($M$3:M26, $D$3:D26, D26, $V$3:V26, "Yes")</f>
        <v>64.710000000000008</v>
      </c>
      <c r="O26" s="30">
        <f t="shared" si="1"/>
        <v>19.133200378417968</v>
      </c>
      <c r="P26" s="79">
        <v>0</v>
      </c>
      <c r="Q26" s="33">
        <f t="shared" si="2"/>
        <v>0</v>
      </c>
      <c r="R26" s="42" t="s">
        <v>35</v>
      </c>
      <c r="S26" s="42" t="s">
        <v>36</v>
      </c>
      <c r="T26" s="37" t="s">
        <v>68</v>
      </c>
      <c r="U26" s="42" t="s">
        <v>61</v>
      </c>
      <c r="V26" s="42" t="s">
        <v>38</v>
      </c>
    </row>
    <row r="27" spans="1:22" x14ac:dyDescent="0.2">
      <c r="A27" s="40">
        <v>45854</v>
      </c>
      <c r="B27" s="90">
        <v>0.47222222222222221</v>
      </c>
      <c r="C27" s="37" t="s">
        <v>32</v>
      </c>
      <c r="D27" s="37" t="s">
        <v>44</v>
      </c>
      <c r="E27" s="42" t="s">
        <v>45</v>
      </c>
      <c r="F27" s="44">
        <v>0.35799999999999998</v>
      </c>
      <c r="G27" s="29">
        <f>SUMIFS(F$3:F27, D$3:D27, D27, V$3:V27, "Yes")</f>
        <v>1.2472050000000001</v>
      </c>
      <c r="H27" s="78">
        <v>55.844900000000003</v>
      </c>
      <c r="I27" s="31">
        <f>IFERROR(VLOOKUP(D27,Kurse!$A:$E,2,FALSE),0)</f>
        <v>58.560001373291023</v>
      </c>
      <c r="J27" s="78">
        <v>20</v>
      </c>
      <c r="K27" s="31">
        <f>SUMIFS($J$3:J27, $D$3:D27, D27, $V$3:V27, "Yes")</f>
        <v>70</v>
      </c>
      <c r="L27" s="78">
        <v>0</v>
      </c>
      <c r="M27" s="31">
        <f t="shared" si="0"/>
        <v>20</v>
      </c>
      <c r="N27" s="31">
        <f>SUMIFS($M$3:M27, $D$3:D27, D27, $V$3:V27, "Yes")</f>
        <v>70</v>
      </c>
      <c r="O27" s="30">
        <f t="shared" si="1"/>
        <v>20.964480491638184</v>
      </c>
      <c r="P27" s="79">
        <v>0</v>
      </c>
      <c r="Q27" s="33">
        <f t="shared" si="2"/>
        <v>0</v>
      </c>
      <c r="R27" s="42" t="s">
        <v>35</v>
      </c>
      <c r="S27" s="42" t="s">
        <v>36</v>
      </c>
      <c r="T27" s="37" t="s">
        <v>68</v>
      </c>
      <c r="U27" s="42" t="s">
        <v>46</v>
      </c>
      <c r="V27" s="42" t="s">
        <v>38</v>
      </c>
    </row>
    <row r="28" spans="1:22" x14ac:dyDescent="0.2">
      <c r="A28" s="40">
        <v>45854</v>
      </c>
      <c r="B28" s="90">
        <v>0.48402777777777778</v>
      </c>
      <c r="C28" s="37" t="s">
        <v>32</v>
      </c>
      <c r="D28" s="37" t="s">
        <v>42</v>
      </c>
      <c r="E28" s="42" t="s">
        <v>43</v>
      </c>
      <c r="F28" s="44">
        <v>5.3019999999999996</v>
      </c>
      <c r="G28" s="29">
        <f>SUMIFS(F$3:F28, D$3:D28, D28, V$3:V28, "Yes")</f>
        <v>17.043275000000001</v>
      </c>
      <c r="H28" s="78">
        <v>9.43</v>
      </c>
      <c r="I28" s="31">
        <f>IFERROR(VLOOKUP(D28,Kurse!$A:$E,2,FALSE),0)</f>
        <v>9.6029996871948242</v>
      </c>
      <c r="J28" s="78">
        <v>50</v>
      </c>
      <c r="K28" s="31">
        <f>SUMIFS($J$3:J28, $D$3:D28, D28, $V$3:V28, "Yes")</f>
        <v>158.44</v>
      </c>
      <c r="L28" s="78">
        <v>0</v>
      </c>
      <c r="M28" s="31">
        <f t="shared" si="0"/>
        <v>50</v>
      </c>
      <c r="N28" s="31">
        <f>SUMIFS($M$3:M28, $D$3:D28, D28, $V$3:V28, "Yes")</f>
        <v>158.44</v>
      </c>
      <c r="O28" s="30">
        <f t="shared" si="1"/>
        <v>50.915104341506954</v>
      </c>
      <c r="P28" s="79">
        <v>0</v>
      </c>
      <c r="Q28" s="33">
        <f t="shared" si="2"/>
        <v>0</v>
      </c>
      <c r="R28" s="42" t="s">
        <v>35</v>
      </c>
      <c r="S28" s="42" t="s">
        <v>36</v>
      </c>
      <c r="T28" s="37" t="s">
        <v>68</v>
      </c>
      <c r="U28" s="42" t="s">
        <v>29</v>
      </c>
      <c r="V28" s="42" t="s">
        <v>38</v>
      </c>
    </row>
    <row r="29" spans="1:22" x14ac:dyDescent="0.2">
      <c r="A29" s="40">
        <v>45854</v>
      </c>
      <c r="B29" s="90">
        <v>0.48819444444444438</v>
      </c>
      <c r="C29" s="37" t="s">
        <v>32</v>
      </c>
      <c r="D29" s="37" t="s">
        <v>33</v>
      </c>
      <c r="E29" s="42" t="s">
        <v>34</v>
      </c>
      <c r="F29" s="44">
        <v>0.223</v>
      </c>
      <c r="G29" s="29">
        <f>SUMIFS(F$3:F29, D$3:D29, D29, V$3:V29, "Yes")</f>
        <v>0.68698599999999999</v>
      </c>
      <c r="H29" s="78">
        <v>224.3</v>
      </c>
      <c r="I29" s="31">
        <f>IFERROR(VLOOKUP(D29,Kurse!$A:$E,2,FALSE),0)</f>
        <v>225.6000061035156</v>
      </c>
      <c r="J29" s="78">
        <v>50</v>
      </c>
      <c r="K29" s="31">
        <f>SUMIFS($J$3:J29, $D$3:D29, D29, $V$3:V29, "Yes")</f>
        <v>150</v>
      </c>
      <c r="L29" s="78">
        <v>0</v>
      </c>
      <c r="M29" s="31">
        <f t="shared" si="0"/>
        <v>50</v>
      </c>
      <c r="N29" s="31">
        <f>SUMIFS($M$3:M29, $D$3:D29, D29, $V$3:V29, "Yes")</f>
        <v>150</v>
      </c>
      <c r="O29" s="30">
        <f t="shared" si="1"/>
        <v>50.308801361083979</v>
      </c>
      <c r="P29" s="79">
        <v>0</v>
      </c>
      <c r="Q29" s="33">
        <f t="shared" si="2"/>
        <v>0</v>
      </c>
      <c r="R29" s="42" t="s">
        <v>35</v>
      </c>
      <c r="S29" s="42" t="s">
        <v>36</v>
      </c>
      <c r="T29" s="37" t="s">
        <v>68</v>
      </c>
      <c r="U29" s="42" t="s">
        <v>29</v>
      </c>
      <c r="V29" s="42" t="s">
        <v>38</v>
      </c>
    </row>
    <row r="30" spans="1:22" x14ac:dyDescent="0.2">
      <c r="A30" s="40">
        <v>45854</v>
      </c>
      <c r="B30" s="90">
        <v>0.49583333333333329</v>
      </c>
      <c r="C30" s="37" t="s">
        <v>32</v>
      </c>
      <c r="D30" s="37" t="s">
        <v>71</v>
      </c>
      <c r="E30" s="42" t="s">
        <v>72</v>
      </c>
      <c r="F30" s="44">
        <v>2.92</v>
      </c>
      <c r="G30" s="29">
        <f>SUMIFS(F$3:F30, D$3:D30, D30, V$3:V30, "Yes")</f>
        <v>2.92</v>
      </c>
      <c r="H30" s="78">
        <v>20.545000000000002</v>
      </c>
      <c r="I30" s="31">
        <f>IFERROR(VLOOKUP(D30,Kurse!$A:$E,2,FALSE),0)</f>
        <v>21.780000686645511</v>
      </c>
      <c r="J30" s="78">
        <v>60</v>
      </c>
      <c r="K30" s="31">
        <f>SUMIFS($J$3:J30, $D$3:D30, D30, $V$3:V30, "Yes")</f>
        <v>60</v>
      </c>
      <c r="L30" s="78">
        <v>0</v>
      </c>
      <c r="M30" s="31">
        <f t="shared" si="0"/>
        <v>60</v>
      </c>
      <c r="N30" s="31">
        <f>SUMIFS($M$3:M30, $D$3:D30, D30, $V$3:V30, "Yes")</f>
        <v>60</v>
      </c>
      <c r="O30" s="30">
        <f t="shared" si="1"/>
        <v>63.597602005004894</v>
      </c>
      <c r="P30" s="79">
        <v>0</v>
      </c>
      <c r="Q30" s="33">
        <f t="shared" si="2"/>
        <v>0</v>
      </c>
      <c r="R30" s="42" t="s">
        <v>35</v>
      </c>
      <c r="S30" s="42" t="s">
        <v>36</v>
      </c>
      <c r="T30" s="37" t="s">
        <v>68</v>
      </c>
      <c r="U30" s="42" t="s">
        <v>29</v>
      </c>
      <c r="V30" s="42" t="s">
        <v>38</v>
      </c>
    </row>
    <row r="31" spans="1:22" x14ac:dyDescent="0.2">
      <c r="A31" s="40">
        <v>45854</v>
      </c>
      <c r="B31" s="90">
        <v>0.50069444444444444</v>
      </c>
      <c r="C31" s="37" t="s">
        <v>32</v>
      </c>
      <c r="D31" s="37" t="s">
        <v>47</v>
      </c>
      <c r="E31" s="42" t="s">
        <v>48</v>
      </c>
      <c r="F31" s="44">
        <v>1.653</v>
      </c>
      <c r="G31" s="29">
        <f>SUMIFS(F$3:F31, D$3:D31, D31, V$3:V31, "Yes")</f>
        <v>5.0482189999999996</v>
      </c>
      <c r="H31" s="78">
        <v>48.405000000000001</v>
      </c>
      <c r="I31" s="31">
        <f>IFERROR(VLOOKUP(D31,Kurse!$A:$E,2,FALSE),0)</f>
        <v>49.814998626708977</v>
      </c>
      <c r="J31" s="78">
        <v>80</v>
      </c>
      <c r="K31" s="31">
        <f>SUMIFS($J$3:J31, $D$3:D31, D31, $V$3:V31, "Yes")</f>
        <v>240.56</v>
      </c>
      <c r="L31" s="78">
        <v>0</v>
      </c>
      <c r="M31" s="31">
        <f t="shared" si="0"/>
        <v>80</v>
      </c>
      <c r="N31" s="31">
        <f>SUMIFS($M$3:M31, $D$3:D31, D31, $V$3:V31, "Yes")</f>
        <v>240.56</v>
      </c>
      <c r="O31" s="30">
        <f t="shared" si="1"/>
        <v>82.344192729949938</v>
      </c>
      <c r="P31" s="79">
        <v>0</v>
      </c>
      <c r="Q31" s="33">
        <f t="shared" si="2"/>
        <v>0</v>
      </c>
      <c r="R31" s="42" t="s">
        <v>35</v>
      </c>
      <c r="S31" s="42" t="s">
        <v>36</v>
      </c>
      <c r="T31" s="37" t="s">
        <v>68</v>
      </c>
      <c r="U31" s="42" t="s">
        <v>29</v>
      </c>
      <c r="V31" s="42" t="s">
        <v>38</v>
      </c>
    </row>
    <row r="32" spans="1:22" x14ac:dyDescent="0.2">
      <c r="A32" s="40">
        <v>45854</v>
      </c>
      <c r="B32" s="90">
        <v>0.50972222222222219</v>
      </c>
      <c r="C32" s="37" t="s">
        <v>32</v>
      </c>
      <c r="D32" s="37" t="s">
        <v>59</v>
      </c>
      <c r="E32" s="42" t="s">
        <v>60</v>
      </c>
      <c r="F32" s="44">
        <v>1.0999999999999999E-2</v>
      </c>
      <c r="G32" s="29">
        <f>SUMIFS(F$3:F32, D$3:D32, D32, V$3:V32, "Yes")</f>
        <v>3.8869000000000001E-2</v>
      </c>
      <c r="H32" s="78">
        <v>1823</v>
      </c>
      <c r="I32" s="31">
        <f>IFERROR(VLOOKUP(D32,Kurse!$A:$E,2,FALSE),0)</f>
        <v>1749</v>
      </c>
      <c r="J32" s="78">
        <v>20</v>
      </c>
      <c r="K32" s="31">
        <f>SUMIFS($J$3:J32, $D$3:D32, D32, $V$3:V32, "Yes")</f>
        <v>70</v>
      </c>
      <c r="L32" s="78">
        <v>0</v>
      </c>
      <c r="M32" s="31">
        <f t="shared" si="0"/>
        <v>20</v>
      </c>
      <c r="N32" s="31">
        <f>SUMIFS($M$3:M32, $D$3:D32, D32, $V$3:V32, "Yes")</f>
        <v>70</v>
      </c>
      <c r="O32" s="30">
        <f t="shared" si="1"/>
        <v>19.238999999999997</v>
      </c>
      <c r="P32" s="79">
        <v>0</v>
      </c>
      <c r="Q32" s="33">
        <f t="shared" si="2"/>
        <v>0</v>
      </c>
      <c r="R32" s="42" t="s">
        <v>35</v>
      </c>
      <c r="S32" s="42" t="s">
        <v>36</v>
      </c>
      <c r="T32" s="37" t="s">
        <v>68</v>
      </c>
      <c r="U32" s="42" t="s">
        <v>61</v>
      </c>
      <c r="V32" s="42" t="s">
        <v>38</v>
      </c>
    </row>
    <row r="33" spans="1:22" x14ac:dyDescent="0.2">
      <c r="A33" s="40">
        <v>45887</v>
      </c>
      <c r="B33" s="90">
        <v>0.47638888888888892</v>
      </c>
      <c r="C33" s="37" t="s">
        <v>32</v>
      </c>
      <c r="D33" s="37" t="s">
        <v>59</v>
      </c>
      <c r="E33" s="42" t="s">
        <v>60</v>
      </c>
      <c r="F33" s="99">
        <v>1.1960999999999999E-2</v>
      </c>
      <c r="G33" s="29">
        <f>SUMIFS(F$3:F33, D$3:D33, D33, V$3:V33, "Yes")</f>
        <v>5.083E-2</v>
      </c>
      <c r="H33" s="78">
        <v>1672</v>
      </c>
      <c r="I33" s="31">
        <f>IFERROR(VLOOKUP(D33,Kurse!$A:$E,2,FALSE),0)</f>
        <v>1749</v>
      </c>
      <c r="J33" s="78">
        <v>20</v>
      </c>
      <c r="K33" s="31">
        <f>SUMIFS($J$3:J33, $D$3:D33, D33, $V$3:V33, "Yes")</f>
        <v>90</v>
      </c>
      <c r="L33" s="78">
        <v>0</v>
      </c>
      <c r="M33" s="31">
        <f t="shared" si="0"/>
        <v>20</v>
      </c>
      <c r="N33" s="31">
        <f>SUMIFS($M$3:M33, $D$3:D33, D33, $V$3:V33, "Yes")</f>
        <v>90</v>
      </c>
      <c r="O33" s="30">
        <f t="shared" si="1"/>
        <v>20.919788999999998</v>
      </c>
      <c r="P33" s="79">
        <v>0</v>
      </c>
      <c r="Q33" s="33">
        <f t="shared" si="2"/>
        <v>0</v>
      </c>
      <c r="R33" s="42" t="s">
        <v>35</v>
      </c>
      <c r="S33" s="42" t="s">
        <v>36</v>
      </c>
      <c r="T33" s="37" t="s">
        <v>68</v>
      </c>
      <c r="U33" s="42" t="s">
        <v>61</v>
      </c>
      <c r="V33" s="42" t="s">
        <v>38</v>
      </c>
    </row>
    <row r="34" spans="1:22" x14ac:dyDescent="0.2">
      <c r="A34" s="40">
        <v>45887</v>
      </c>
      <c r="B34" s="90">
        <v>0.47916666666666669</v>
      </c>
      <c r="C34" s="37" t="s">
        <v>32</v>
      </c>
      <c r="D34" s="37" t="s">
        <v>63</v>
      </c>
      <c r="E34" s="42" t="s">
        <v>64</v>
      </c>
      <c r="F34" s="44">
        <v>3.1605000000000001E-2</v>
      </c>
      <c r="G34" s="29">
        <f>SUMIFS(F$3:F34, D$3:D34, D34, V$3:V34, "Yes")</f>
        <v>0.12928599999999998</v>
      </c>
      <c r="H34" s="78">
        <v>632.79999999999995</v>
      </c>
      <c r="I34" s="31">
        <f>IFERROR(VLOOKUP(D34,Kurse!$A:$E,2,FALSE),0)</f>
        <v>617.20001220703125</v>
      </c>
      <c r="J34" s="78">
        <v>20</v>
      </c>
      <c r="K34" s="31">
        <f>SUMIFS($J$3:J34, $D$3:D34, D34, $V$3:V34, "Yes")</f>
        <v>84.710000000000008</v>
      </c>
      <c r="L34" s="78">
        <v>0</v>
      </c>
      <c r="M34" s="31">
        <f t="shared" ref="M34:M65" si="3">IF(V34="Yes",J34+L34,"")</f>
        <v>20</v>
      </c>
      <c r="N34" s="31">
        <f>SUMIFS($M$3:M34, $D$3:D34, D34, $V$3:V34, "Yes")</f>
        <v>84.710000000000008</v>
      </c>
      <c r="O34" s="30">
        <f t="shared" ref="O34:O52" si="4">IF(V34="Yes",F34*I34,"")</f>
        <v>19.506606385803224</v>
      </c>
      <c r="P34" s="79">
        <v>0</v>
      </c>
      <c r="Q34" s="33">
        <f t="shared" ref="Q34:Q65" si="5">IFERROR(O34*P34,0)</f>
        <v>0</v>
      </c>
      <c r="R34" s="42" t="s">
        <v>35</v>
      </c>
      <c r="S34" s="42" t="s">
        <v>36</v>
      </c>
      <c r="T34" s="37" t="s">
        <v>68</v>
      </c>
      <c r="U34" s="42" t="s">
        <v>61</v>
      </c>
      <c r="V34" s="42" t="s">
        <v>38</v>
      </c>
    </row>
    <row r="35" spans="1:22" x14ac:dyDescent="0.2">
      <c r="A35" s="40">
        <v>45887</v>
      </c>
      <c r="B35" s="90">
        <v>0.49236111111111108</v>
      </c>
      <c r="C35" s="37" t="s">
        <v>32</v>
      </c>
      <c r="D35" s="37" t="s">
        <v>42</v>
      </c>
      <c r="E35" s="42" t="s">
        <v>43</v>
      </c>
      <c r="F35" s="44">
        <v>5.152514</v>
      </c>
      <c r="G35" s="29">
        <f>SUMIFS(F$3:F35, D$3:D35, D35, V$3:V35, "Yes")</f>
        <v>22.195789000000001</v>
      </c>
      <c r="H35" s="78">
        <v>9.7040000000000006</v>
      </c>
      <c r="I35" s="31">
        <f>IFERROR(VLOOKUP(D35,Kurse!$A:$E,2,FALSE),0)</f>
        <v>9.6029996871948242</v>
      </c>
      <c r="J35" s="78">
        <v>50</v>
      </c>
      <c r="K35" s="31">
        <f>SUMIFS($J$3:J35, $D$3:D35, D35, $V$3:V35, "Yes")</f>
        <v>208.44</v>
      </c>
      <c r="L35" s="78">
        <v>0</v>
      </c>
      <c r="M35" s="31">
        <f t="shared" si="3"/>
        <v>50</v>
      </c>
      <c r="N35" s="31">
        <f>SUMIFS($M$3:M35, $D$3:D35, D35, $V$3:V35, "Yes")</f>
        <v>208.44</v>
      </c>
      <c r="O35" s="30">
        <f t="shared" si="4"/>
        <v>49.479590330266952</v>
      </c>
      <c r="P35" s="79">
        <v>0</v>
      </c>
      <c r="Q35" s="33">
        <f t="shared" si="5"/>
        <v>0</v>
      </c>
      <c r="R35" s="42" t="s">
        <v>35</v>
      </c>
      <c r="S35" s="42" t="s">
        <v>36</v>
      </c>
      <c r="T35" s="37" t="s">
        <v>68</v>
      </c>
      <c r="U35" s="42" t="s">
        <v>29</v>
      </c>
      <c r="V35" s="42" t="s">
        <v>38</v>
      </c>
    </row>
    <row r="36" spans="1:22" x14ac:dyDescent="0.2">
      <c r="A36" s="40">
        <v>45887</v>
      </c>
      <c r="B36" s="90">
        <v>0.49861111111111112</v>
      </c>
      <c r="C36" s="37" t="s">
        <v>32</v>
      </c>
      <c r="D36" s="37" t="s">
        <v>33</v>
      </c>
      <c r="E36" s="42" t="s">
        <v>34</v>
      </c>
      <c r="F36" s="44">
        <v>0.21593599999999999</v>
      </c>
      <c r="G36" s="29">
        <f>SUMIFS(F$3:F36, D$3:D36, D36, V$3:V36, "Yes")</f>
        <v>0.902922</v>
      </c>
      <c r="H36" s="78">
        <v>231.55</v>
      </c>
      <c r="I36" s="31">
        <f>IFERROR(VLOOKUP(D36,Kurse!$A:$E,2,FALSE),0)</f>
        <v>225.6000061035156</v>
      </c>
      <c r="J36" s="78">
        <v>50</v>
      </c>
      <c r="K36" s="31">
        <f>SUMIFS($J$3:J36, $D$3:D36, D36, $V$3:V36, "Yes")</f>
        <v>200</v>
      </c>
      <c r="L36" s="78">
        <v>0</v>
      </c>
      <c r="M36" s="31">
        <f t="shared" si="3"/>
        <v>50</v>
      </c>
      <c r="N36" s="31">
        <f>SUMIFS($M$3:M36, $D$3:D36, D36, $V$3:V36, "Yes")</f>
        <v>200</v>
      </c>
      <c r="O36" s="30">
        <f t="shared" si="4"/>
        <v>48.71516291796874</v>
      </c>
      <c r="P36" s="79">
        <v>0</v>
      </c>
      <c r="Q36" s="33">
        <f t="shared" si="5"/>
        <v>0</v>
      </c>
      <c r="R36" s="42" t="s">
        <v>35</v>
      </c>
      <c r="S36" s="42" t="s">
        <v>36</v>
      </c>
      <c r="T36" s="37" t="s">
        <v>68</v>
      </c>
      <c r="U36" s="42" t="s">
        <v>29</v>
      </c>
      <c r="V36" s="42" t="s">
        <v>38</v>
      </c>
    </row>
    <row r="37" spans="1:22" x14ac:dyDescent="0.2">
      <c r="A37" s="40">
        <v>45887</v>
      </c>
      <c r="B37" s="90">
        <v>0.50208333333333333</v>
      </c>
      <c r="C37" s="37" t="s">
        <v>32</v>
      </c>
      <c r="D37" s="37" t="s">
        <v>47</v>
      </c>
      <c r="E37" s="42" t="s">
        <v>48</v>
      </c>
      <c r="F37" s="44">
        <v>1.5974440000000001</v>
      </c>
      <c r="G37" s="29">
        <f>SUMIFS(F$3:F37, D$3:D37, D37, V$3:V37, "Yes")</f>
        <v>6.6456629999999999</v>
      </c>
      <c r="H37" s="78">
        <v>50.08</v>
      </c>
      <c r="I37" s="31">
        <f>IFERROR(VLOOKUP(D37,Kurse!$A:$E,2,FALSE),0)</f>
        <v>49.814998626708977</v>
      </c>
      <c r="J37" s="78">
        <v>80</v>
      </c>
      <c r="K37" s="31">
        <f>SUMIFS($J$3:J37, $D$3:D37, D37, $V$3:V37, "Yes")</f>
        <v>320.56</v>
      </c>
      <c r="L37" s="78">
        <v>0</v>
      </c>
      <c r="M37" s="31">
        <f t="shared" si="3"/>
        <v>80</v>
      </c>
      <c r="N37" s="31">
        <f>SUMIFS($M$3:M37, $D$3:D37, D37, $V$3:V37, "Yes")</f>
        <v>320.56</v>
      </c>
      <c r="O37" s="30">
        <f t="shared" si="4"/>
        <v>79.576670666244496</v>
      </c>
      <c r="P37" s="79">
        <v>0</v>
      </c>
      <c r="Q37" s="33">
        <f t="shared" si="5"/>
        <v>0</v>
      </c>
      <c r="R37" s="42" t="s">
        <v>35</v>
      </c>
      <c r="S37" s="42" t="s">
        <v>36</v>
      </c>
      <c r="T37" s="37" t="s">
        <v>68</v>
      </c>
      <c r="U37" s="42" t="s">
        <v>29</v>
      </c>
      <c r="V37" s="42" t="s">
        <v>38</v>
      </c>
    </row>
    <row r="38" spans="1:22" x14ac:dyDescent="0.2">
      <c r="A38" s="40">
        <v>45887</v>
      </c>
      <c r="B38" s="90">
        <v>0.50486111111111109</v>
      </c>
      <c r="C38" s="37" t="s">
        <v>32</v>
      </c>
      <c r="D38" s="37" t="s">
        <v>71</v>
      </c>
      <c r="E38" s="42" t="s">
        <v>72</v>
      </c>
      <c r="F38" s="44">
        <v>2.779064</v>
      </c>
      <c r="G38" s="29">
        <f>SUMIFS(F$3:F38, D$3:D38, D38, V$3:V38, "Yes")</f>
        <v>5.6990639999999999</v>
      </c>
      <c r="H38" s="78">
        <v>21.59</v>
      </c>
      <c r="I38" s="31">
        <f>IFERROR(VLOOKUP(D38,Kurse!$A:$E,2,FALSE),0)</f>
        <v>21.780000686645511</v>
      </c>
      <c r="J38" s="78">
        <v>60</v>
      </c>
      <c r="K38" s="31">
        <f>SUMIFS($J$3:J38, $D$3:D38, D38, $V$3:V38, "Yes")</f>
        <v>120</v>
      </c>
      <c r="L38" s="78">
        <v>0</v>
      </c>
      <c r="M38" s="31">
        <f t="shared" si="3"/>
        <v>60</v>
      </c>
      <c r="N38" s="31">
        <f>SUMIFS($M$3:M38, $D$3:D38, D38, $V$3:V38, "Yes")</f>
        <v>120</v>
      </c>
      <c r="O38" s="30">
        <f t="shared" si="4"/>
        <v>60.528015828231823</v>
      </c>
      <c r="P38" s="79">
        <v>0</v>
      </c>
      <c r="Q38" s="33">
        <f t="shared" si="5"/>
        <v>0</v>
      </c>
      <c r="R38" s="42" t="s">
        <v>35</v>
      </c>
      <c r="S38" s="42" t="s">
        <v>36</v>
      </c>
      <c r="T38" s="37" t="s">
        <v>68</v>
      </c>
      <c r="U38" s="42" t="s">
        <v>29</v>
      </c>
      <c r="V38" s="42" t="s">
        <v>38</v>
      </c>
    </row>
    <row r="39" spans="1:22" x14ac:dyDescent="0.2">
      <c r="A39" s="40">
        <v>45887</v>
      </c>
      <c r="B39" s="90">
        <v>0.51041666666666663</v>
      </c>
      <c r="C39" s="37" t="s">
        <v>32</v>
      </c>
      <c r="D39" s="37" t="s">
        <v>44</v>
      </c>
      <c r="E39" s="42" t="s">
        <v>45</v>
      </c>
      <c r="F39" s="44">
        <v>0.35893700000000001</v>
      </c>
      <c r="G39" s="29">
        <f>SUMIFS(F$3:F39, D$3:D39, D39, V$3:V39, "Yes")</f>
        <v>1.6061420000000002</v>
      </c>
      <c r="H39" s="78">
        <v>55.72</v>
      </c>
      <c r="I39" s="31">
        <f>IFERROR(VLOOKUP(D39,Kurse!$A:$E,2,FALSE),0)</f>
        <v>58.560001373291023</v>
      </c>
      <c r="J39" s="78">
        <v>20</v>
      </c>
      <c r="K39" s="31">
        <f>SUMIFS($J$3:J39, $D$3:D39, D39, $V$3:V39, "Yes")</f>
        <v>90</v>
      </c>
      <c r="L39" s="78">
        <v>0</v>
      </c>
      <c r="M39" s="31">
        <f t="shared" si="3"/>
        <v>20</v>
      </c>
      <c r="N39" s="31">
        <f>SUMIFS($M$3:M39, $D$3:D39, D39, $V$3:V39, "Yes")</f>
        <v>90</v>
      </c>
      <c r="O39" s="30">
        <f t="shared" si="4"/>
        <v>21.01935121292496</v>
      </c>
      <c r="P39" s="79">
        <v>0</v>
      </c>
      <c r="Q39" s="33">
        <f t="shared" si="5"/>
        <v>0</v>
      </c>
      <c r="R39" s="42" t="s">
        <v>35</v>
      </c>
      <c r="S39" s="42" t="s">
        <v>36</v>
      </c>
      <c r="T39" s="37" t="s">
        <v>68</v>
      </c>
      <c r="U39" s="42" t="s">
        <v>46</v>
      </c>
      <c r="V39" s="42" t="s">
        <v>38</v>
      </c>
    </row>
    <row r="40" spans="1:22" x14ac:dyDescent="0.2">
      <c r="G40" s="29">
        <f>SUMIFS(F$3:F40, D$3:D40, D40, V$3:V40, "Yes")</f>
        <v>0</v>
      </c>
      <c r="I40" s="31">
        <f>IFERROR(VLOOKUP(D40,Kurse!$A:$E,2,FALSE),0)</f>
        <v>0</v>
      </c>
      <c r="K40" s="31">
        <f>SUMIFS($J$3:J40, $D$3:D40, D40, $V$3:V40, "Yes")</f>
        <v>0</v>
      </c>
      <c r="M40" s="31" t="str">
        <f t="shared" si="3"/>
        <v/>
      </c>
      <c r="N40" s="31">
        <f>SUMIFS($M$3:M40, $D$3:D40, D40, $V$3:V40, "Yes")</f>
        <v>0</v>
      </c>
      <c r="O40" s="30" t="str">
        <f t="shared" si="4"/>
        <v/>
      </c>
      <c r="Q40" s="33">
        <f t="shared" si="5"/>
        <v>0</v>
      </c>
    </row>
    <row r="41" spans="1:22" x14ac:dyDescent="0.2">
      <c r="G41" s="29">
        <f>SUMIFS(F$3:F41, D$3:D41, D41, V$3:V41, "Yes")</f>
        <v>0</v>
      </c>
      <c r="I41" s="31">
        <f>IFERROR(VLOOKUP(D41,Kurse!$A:$E,2,FALSE),0)</f>
        <v>0</v>
      </c>
      <c r="K41" s="31">
        <f>SUMIFS($J$3:J41, $D$3:D41, D41, $V$3:V41, "Yes")</f>
        <v>0</v>
      </c>
      <c r="M41" s="31" t="str">
        <f t="shared" si="3"/>
        <v/>
      </c>
      <c r="N41" s="31">
        <f>SUMIFS($M$3:M41, $D$3:D41, D41, $V$3:V41, "Yes")</f>
        <v>0</v>
      </c>
      <c r="O41" s="30" t="str">
        <f t="shared" si="4"/>
        <v/>
      </c>
      <c r="Q41" s="33">
        <f t="shared" si="5"/>
        <v>0</v>
      </c>
    </row>
    <row r="42" spans="1:22" x14ac:dyDescent="0.2">
      <c r="G42" s="29">
        <f>SUMIFS(F$3:F42, D$3:D42, D42, V$3:V42, "Yes")</f>
        <v>0</v>
      </c>
      <c r="I42" s="31">
        <f>IFERROR(VLOOKUP(D42,Kurse!$A:$E,2,FALSE),0)</f>
        <v>0</v>
      </c>
      <c r="K42" s="31">
        <f>SUMIFS($J$3:J42, $D$3:D42, D42, $V$3:V42, "Yes")</f>
        <v>0</v>
      </c>
      <c r="M42" s="31" t="str">
        <f t="shared" si="3"/>
        <v/>
      </c>
      <c r="N42" s="31">
        <f>SUMIFS($M$3:M42, $D$3:D42, D42, $V$3:V42, "Yes")</f>
        <v>0</v>
      </c>
      <c r="O42" s="30" t="str">
        <f t="shared" si="4"/>
        <v/>
      </c>
      <c r="Q42" s="33">
        <f t="shared" si="5"/>
        <v>0</v>
      </c>
    </row>
    <row r="43" spans="1:22" x14ac:dyDescent="0.2">
      <c r="G43" s="29">
        <f>SUMIFS(F$3:F43, D$3:D43, D43, V$3:V43, "Yes")</f>
        <v>0</v>
      </c>
      <c r="I43" s="31">
        <f>IFERROR(VLOOKUP(D43,Kurse!$A:$E,2,FALSE),0)</f>
        <v>0</v>
      </c>
      <c r="K43" s="31">
        <f>SUMIFS($J$3:J43, $D$3:D43, D43, $V$3:V43, "Yes")</f>
        <v>0</v>
      </c>
      <c r="M43" s="31" t="str">
        <f t="shared" si="3"/>
        <v/>
      </c>
      <c r="N43" s="31">
        <f>SUMIFS($M$3:M43, $D$3:D43, D43, $V$3:V43, "Yes")</f>
        <v>0</v>
      </c>
      <c r="O43" s="30" t="str">
        <f t="shared" si="4"/>
        <v/>
      </c>
      <c r="Q43" s="33">
        <f t="shared" si="5"/>
        <v>0</v>
      </c>
    </row>
    <row r="44" spans="1:22" x14ac:dyDescent="0.2">
      <c r="G44" s="29">
        <f>SUMIFS(F$3:F44, D$3:D44, D44, V$3:V44, "Yes")</f>
        <v>0</v>
      </c>
      <c r="I44" s="31">
        <f>IFERROR(VLOOKUP(D44,Kurse!$A:$E,2,FALSE),0)</f>
        <v>0</v>
      </c>
      <c r="K44" s="31">
        <f>SUMIFS($J$3:J44, $D$3:D44, D44, $V$3:V44, "Yes")</f>
        <v>0</v>
      </c>
      <c r="M44" s="31" t="str">
        <f t="shared" si="3"/>
        <v/>
      </c>
      <c r="N44" s="31">
        <f>SUMIFS($M$3:M44, $D$3:D44, D44, $V$3:V44, "Yes")</f>
        <v>0</v>
      </c>
      <c r="O44" s="30" t="str">
        <f t="shared" si="4"/>
        <v/>
      </c>
      <c r="Q44" s="33">
        <f t="shared" si="5"/>
        <v>0</v>
      </c>
    </row>
    <row r="45" spans="1:22" x14ac:dyDescent="0.2">
      <c r="G45" s="29">
        <f>SUMIFS(F$3:F45, D$3:D45, D45, V$3:V45, "Yes")</f>
        <v>0</v>
      </c>
      <c r="I45" s="31">
        <f>IFERROR(VLOOKUP(D45,Kurse!$A:$E,2,FALSE),0)</f>
        <v>0</v>
      </c>
      <c r="K45" s="31">
        <f>SUMIFS($J$3:J45, $D$3:D45, D45, $V$3:V45, "Yes")</f>
        <v>0</v>
      </c>
      <c r="M45" s="31" t="str">
        <f t="shared" si="3"/>
        <v/>
      </c>
      <c r="N45" s="31">
        <f>SUMIFS($M$3:M45, $D$3:D45, D45, $V$3:V45, "Yes")</f>
        <v>0</v>
      </c>
      <c r="O45" s="30" t="str">
        <f t="shared" si="4"/>
        <v/>
      </c>
      <c r="Q45" s="33">
        <f t="shared" si="5"/>
        <v>0</v>
      </c>
    </row>
    <row r="46" spans="1:22" x14ac:dyDescent="0.2">
      <c r="G46" s="29">
        <f>SUMIFS(F$3:F46, D$3:D46, D46, V$3:V46, "Yes")</f>
        <v>0</v>
      </c>
      <c r="I46" s="31">
        <f>IFERROR(VLOOKUP(D46,Kurse!$A:$E,2,FALSE),0)</f>
        <v>0</v>
      </c>
      <c r="K46" s="31">
        <f>SUMIFS($J$3:J46, $D$3:D46, D46, $V$3:V46, "Yes")</f>
        <v>0</v>
      </c>
      <c r="M46" s="31" t="str">
        <f t="shared" si="3"/>
        <v/>
      </c>
      <c r="N46" s="31">
        <f>SUMIFS($M$3:M46, $D$3:D46, D46, $V$3:V46, "Yes")</f>
        <v>0</v>
      </c>
      <c r="O46" s="30" t="str">
        <f t="shared" si="4"/>
        <v/>
      </c>
      <c r="Q46" s="33">
        <f t="shared" si="5"/>
        <v>0</v>
      </c>
    </row>
    <row r="47" spans="1:22" x14ac:dyDescent="0.2">
      <c r="G47" s="29">
        <f>SUMIFS(F$3:F47, D$3:D47, D47, V$3:V47, "Yes")</f>
        <v>0</v>
      </c>
      <c r="I47" s="31">
        <f>IFERROR(VLOOKUP(D47,Kurse!$A:$E,2,FALSE),0)</f>
        <v>0</v>
      </c>
      <c r="K47" s="31">
        <f>SUMIFS($J$3:J47, $D$3:D47, D47, $V$3:V47, "Yes")</f>
        <v>0</v>
      </c>
      <c r="M47" s="31" t="str">
        <f t="shared" si="3"/>
        <v/>
      </c>
      <c r="N47" s="31">
        <f>SUMIFS($M$3:M47, $D$3:D47, D47, $V$3:V47, "Yes")</f>
        <v>0</v>
      </c>
      <c r="O47" s="30" t="str">
        <f t="shared" si="4"/>
        <v/>
      </c>
      <c r="Q47" s="33">
        <f t="shared" si="5"/>
        <v>0</v>
      </c>
    </row>
    <row r="48" spans="1:22" x14ac:dyDescent="0.2">
      <c r="G48" s="29">
        <f>SUMIFS(F$3:F48, D$3:D48, D48, V$3:V48, "Yes")</f>
        <v>0</v>
      </c>
      <c r="I48" s="31">
        <f>IFERROR(VLOOKUP(D48,Kurse!$A:$E,2,FALSE),0)</f>
        <v>0</v>
      </c>
      <c r="K48" s="31">
        <f>SUMIFS($J$3:J48, $D$3:D48, D48, $V$3:V48, "Yes")</f>
        <v>0</v>
      </c>
      <c r="M48" s="31" t="str">
        <f t="shared" si="3"/>
        <v/>
      </c>
      <c r="N48" s="31">
        <f>SUMIFS($M$3:M48, $D$3:D48, D48, $V$3:V48, "Yes")</f>
        <v>0</v>
      </c>
      <c r="O48" s="30" t="str">
        <f t="shared" si="4"/>
        <v/>
      </c>
      <c r="Q48" s="33">
        <f t="shared" si="5"/>
        <v>0</v>
      </c>
    </row>
    <row r="49" spans="7:17" x14ac:dyDescent="0.2">
      <c r="G49" s="29">
        <f>SUMIFS(F$3:F49, D$3:D49, D49, V$3:V49, "Yes")</f>
        <v>0</v>
      </c>
      <c r="I49" s="31">
        <f>IFERROR(VLOOKUP(D49,Kurse!$A:$E,2,FALSE),0)</f>
        <v>0</v>
      </c>
      <c r="K49" s="31">
        <f>SUMIFS($J$3:J49, $D$3:D49, D49, $V$3:V49, "Yes")</f>
        <v>0</v>
      </c>
      <c r="M49" s="31" t="str">
        <f t="shared" si="3"/>
        <v/>
      </c>
      <c r="N49" s="31">
        <f>SUMIFS($M$3:M49, $D$3:D49, D49, $V$3:V49, "Yes")</f>
        <v>0</v>
      </c>
      <c r="O49" s="30" t="str">
        <f t="shared" si="4"/>
        <v/>
      </c>
      <c r="Q49" s="33">
        <f t="shared" si="5"/>
        <v>0</v>
      </c>
    </row>
    <row r="50" spans="7:17" x14ac:dyDescent="0.2">
      <c r="G50" s="29">
        <f>SUMIFS(F$3:F50, D$3:D50, D50, V$3:V50, "Yes")</f>
        <v>0</v>
      </c>
      <c r="I50" s="31">
        <f>IFERROR(VLOOKUP(D50,Kurse!$A:$E,2,FALSE),0)</f>
        <v>0</v>
      </c>
      <c r="K50" s="31">
        <f>SUMIFS($J$3:J50, $D$3:D50, D50, $V$3:V50, "Yes")</f>
        <v>0</v>
      </c>
      <c r="M50" s="31" t="str">
        <f t="shared" si="3"/>
        <v/>
      </c>
      <c r="N50" s="31">
        <f>SUMIFS($M$3:M50, $D$3:D50, D50, $V$3:V50, "Yes")</f>
        <v>0</v>
      </c>
      <c r="O50" s="30" t="str">
        <f t="shared" si="4"/>
        <v/>
      </c>
      <c r="Q50" s="33">
        <f t="shared" si="5"/>
        <v>0</v>
      </c>
    </row>
    <row r="51" spans="7:17" x14ac:dyDescent="0.2">
      <c r="G51" s="29">
        <f>SUMIFS(F$3:F51, D$3:D51, D51, V$3:V51, "Yes")</f>
        <v>0</v>
      </c>
      <c r="I51" s="31">
        <f>IFERROR(VLOOKUP(D51,Kurse!$A:$E,2,FALSE),0)</f>
        <v>0</v>
      </c>
      <c r="K51" s="31">
        <f>SUMIFS($J$3:J51, $D$3:D51, D51, $V$3:V51, "Yes")</f>
        <v>0</v>
      </c>
      <c r="M51" s="31" t="str">
        <f t="shared" si="3"/>
        <v/>
      </c>
      <c r="N51" s="31">
        <f>SUMIFS($M$3:M51, $D$3:D51, D51, $V$3:V51, "Yes")</f>
        <v>0</v>
      </c>
      <c r="O51" s="30" t="str">
        <f t="shared" si="4"/>
        <v/>
      </c>
      <c r="Q51" s="33">
        <f t="shared" si="5"/>
        <v>0</v>
      </c>
    </row>
    <row r="52" spans="7:17" x14ac:dyDescent="0.2">
      <c r="G52" s="29">
        <f>SUMIFS(F$3:F52, D$3:D52, D52, V$3:V52, "Yes")</f>
        <v>0</v>
      </c>
      <c r="I52" s="31">
        <f>IFERROR(VLOOKUP(D52,Kurse!$A:$E,2,FALSE),0)</f>
        <v>0</v>
      </c>
      <c r="K52" s="31">
        <f>SUMIFS($J$3:J52, $D$3:D52, D52, $V$3:V52, "Yes")</f>
        <v>0</v>
      </c>
      <c r="M52" s="31" t="str">
        <f t="shared" si="3"/>
        <v/>
      </c>
      <c r="N52" s="31">
        <f>SUMIFS($M$3:M52, $D$3:D52, D52, $V$3:V52, "Yes")</f>
        <v>0</v>
      </c>
      <c r="O52" s="30" t="str">
        <f t="shared" si="4"/>
        <v/>
      </c>
      <c r="Q52" s="33">
        <f t="shared" si="5"/>
        <v>0</v>
      </c>
    </row>
  </sheetData>
  <dataValidations count="6">
    <dataValidation type="list" allowBlank="1" showInputMessage="1" showErrorMessage="1" sqref="V2:V15" xr:uid="{00000000-0002-0000-0000-000000000000}">
      <formula1>"Yes,No"</formula1>
    </dataValidation>
    <dataValidation type="list" allowBlank="1" showInputMessage="1" showErrorMessage="1" sqref="U2:U12" xr:uid="{00000000-0002-0000-0000-000001000000}">
      <formula1>"ETF,Cryptocurrency,Commodity,Cash,Other,Equity"</formula1>
    </dataValidation>
    <dataValidation type="list" allowBlank="1" showInputMessage="1" showErrorMessage="1" sqref="S2:S15" xr:uid="{00000000-0002-0000-0000-000002000000}">
      <formula1>"Core,Satellite,Speculative,Mini,Learning Only"</formula1>
    </dataValidation>
    <dataValidation type="list" allowBlank="1" showInputMessage="1" showErrorMessage="1" sqref="U14:U15" xr:uid="{00000000-0002-0000-0000-000003000000}">
      <formula1>"ETF,Stock,Cryptocurrency,Commodity,Cash,Other"</formula1>
    </dataValidation>
    <dataValidation type="list" allowBlank="1" showInputMessage="1" showErrorMessage="1" sqref="C2:C301" xr:uid="{00000000-0002-0000-0000-000004000000}">
      <formula1>"Scalable Capital,Trade Republic,Other"</formula1>
    </dataValidation>
    <dataValidation type="list" allowBlank="1" showInputMessage="1" showErrorMessage="1" sqref="R2:R50" xr:uid="{00000000-0002-0000-0000-000005000000}">
      <formula1>"Savings Plan,One-Time Purchase,Sell,Rebalancing,Test,Dividend"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opLeftCell="C1" zoomScale="78" zoomScaleNormal="78" workbookViewId="0">
      <pane ySplit="1" topLeftCell="A7" activePane="bottomLeft" state="frozen"/>
      <selection pane="bottomLeft" activeCell="G3" sqref="G3"/>
    </sheetView>
  </sheetViews>
  <sheetFormatPr baseColWidth="10" defaultRowHeight="16" x14ac:dyDescent="0.2"/>
  <cols>
    <col min="1" max="1" width="39.33203125" bestFit="1" customWidth="1"/>
    <col min="2" max="2" width="21" style="46" bestFit="1" customWidth="1"/>
    <col min="3" max="3" width="17.5" style="39" bestFit="1" customWidth="1"/>
    <col min="4" max="4" width="20.5" style="48" bestFit="1" customWidth="1"/>
    <col min="5" max="5" width="14.33203125" style="49" bestFit="1" customWidth="1"/>
    <col min="6" max="6" width="23.83203125" style="47" bestFit="1" customWidth="1"/>
    <col min="7" max="7" width="10.5" bestFit="1" customWidth="1"/>
    <col min="8" max="8" width="12" style="47" bestFit="1" customWidth="1"/>
  </cols>
  <sheetData>
    <row r="1" spans="1:8" x14ac:dyDescent="0.2">
      <c r="A1" s="55" t="s">
        <v>3</v>
      </c>
      <c r="B1" s="56" t="s">
        <v>73</v>
      </c>
      <c r="C1" s="57" t="s">
        <v>74</v>
      </c>
      <c r="D1" s="58" t="s">
        <v>75</v>
      </c>
      <c r="E1" s="59" t="s">
        <v>76</v>
      </c>
      <c r="F1" s="60" t="s">
        <v>77</v>
      </c>
      <c r="G1" s="61" t="s">
        <v>78</v>
      </c>
      <c r="H1" s="60" t="s">
        <v>79</v>
      </c>
    </row>
    <row r="2" spans="1:8" x14ac:dyDescent="0.2">
      <c r="A2" s="43" t="s">
        <v>33</v>
      </c>
      <c r="B2" s="45">
        <f>SUMIF('Portfolio Overview'!D:D, A2, 'Portfolio Overview'!F:F)</f>
        <v>0.902922</v>
      </c>
      <c r="C2" s="39">
        <f>B2 * VLOOKUP(A2, 'Portfolio Overview'!D:I, 6, FALSE)</f>
        <v>203.69920871099851</v>
      </c>
      <c r="D2" s="48">
        <f>SUMIF('Portfolio Overview'!D:D, A2, 'Portfolio Overview'!J:J)</f>
        <v>200</v>
      </c>
      <c r="E2" s="50">
        <f>SUMIF('Portfolio Overview'!D:D, A2, 'Portfolio Overview'!M:M)</f>
        <v>200</v>
      </c>
      <c r="F2" s="47">
        <f t="shared" ref="F2:F8" si="0">IFERROR(C2/SUM($C$2:$C$7),0)</f>
        <v>0.20155232868087841</v>
      </c>
      <c r="G2" s="39">
        <f t="shared" ref="G2:G8" si="1">C2-E2</f>
        <v>3.699208710998505</v>
      </c>
      <c r="H2" s="80">
        <f t="shared" ref="H2:H8" si="2">IF(E2=0, "", (C2 - E2)/E2)</f>
        <v>1.8496043554992524E-2</v>
      </c>
    </row>
    <row r="3" spans="1:8" x14ac:dyDescent="0.2">
      <c r="A3" s="43" t="s">
        <v>47</v>
      </c>
      <c r="B3" s="45">
        <f>SUMIF('Portfolio Overview'!D:D, A3, 'Portfolio Overview'!F:F)</f>
        <v>6.6456629999999999</v>
      </c>
      <c r="C3" s="39">
        <f>B3 * VLOOKUP(A3, 'Portfolio Overview'!D:I, 6, FALSE)</f>
        <v>331.05369321857063</v>
      </c>
      <c r="D3" s="48">
        <f>SUMIF('Portfolio Overview'!D:D, A3, 'Portfolio Overview'!J:J)</f>
        <v>320.56</v>
      </c>
      <c r="E3" s="50">
        <f>SUMIF('Portfolio Overview'!D:D, A3, 'Portfolio Overview'!M:M)</f>
        <v>320.56</v>
      </c>
      <c r="F3" s="47">
        <f t="shared" si="0"/>
        <v>0.32756456546316132</v>
      </c>
      <c r="G3" s="39">
        <f t="shared" si="1"/>
        <v>10.493693218570627</v>
      </c>
      <c r="H3" s="80">
        <f t="shared" si="2"/>
        <v>3.273550417572569E-2</v>
      </c>
    </row>
    <row r="4" spans="1:8" x14ac:dyDescent="0.2">
      <c r="A4" s="43" t="s">
        <v>42</v>
      </c>
      <c r="B4" s="45">
        <f>SUMIF('Portfolio Overview'!D:D, A4, 'Portfolio Overview'!F:F)</f>
        <v>22.195789000000001</v>
      </c>
      <c r="C4" s="39">
        <f>B4 * VLOOKUP(A4, 'Portfolio Overview'!D:I, 6, FALSE)</f>
        <v>213.14615482404233</v>
      </c>
      <c r="D4" s="48">
        <f>SUMIF('Portfolio Overview'!D:D, A4, 'Portfolio Overview'!J:J)</f>
        <v>208.44</v>
      </c>
      <c r="E4" s="50">
        <f>SUMIF('Portfolio Overview'!D:D, A4, 'Portfolio Overview'!M:M)</f>
        <v>208.44</v>
      </c>
      <c r="F4" s="47">
        <f t="shared" si="0"/>
        <v>0.21089970906618055</v>
      </c>
      <c r="G4" s="39">
        <f t="shared" si="1"/>
        <v>4.7061548240423292</v>
      </c>
      <c r="H4" s="80">
        <f t="shared" si="2"/>
        <v>2.2577983227990449E-2</v>
      </c>
    </row>
    <row r="5" spans="1:8" x14ac:dyDescent="0.2">
      <c r="A5" s="43" t="s">
        <v>44</v>
      </c>
      <c r="B5" s="45">
        <f>SUMIF('Portfolio Overview'!D:D, A5, 'Portfolio Overview'!F:F)</f>
        <v>1.6061420000000002</v>
      </c>
      <c r="C5" s="39">
        <f>B5 * VLOOKUP(A5, 'Portfolio Overview'!D:I, 6, FALSE)</f>
        <v>94.055677725700406</v>
      </c>
      <c r="D5" s="48">
        <f>SUMIF('Portfolio Overview'!D:D, A5, 'Portfolio Overview'!J:J)</f>
        <v>90</v>
      </c>
      <c r="E5" s="50">
        <f>SUMIF('Portfolio Overview'!D:D, A5, 'Portfolio Overview'!M:M)</f>
        <v>90</v>
      </c>
      <c r="F5" s="47">
        <f t="shared" si="0"/>
        <v>9.3064381502673807E-2</v>
      </c>
      <c r="G5" s="39">
        <f t="shared" si="1"/>
        <v>4.0556777257004057</v>
      </c>
      <c r="H5" s="80">
        <f t="shared" si="2"/>
        <v>4.5063085841115617E-2</v>
      </c>
    </row>
    <row r="6" spans="1:8" x14ac:dyDescent="0.2">
      <c r="A6" s="43" t="s">
        <v>59</v>
      </c>
      <c r="B6" s="45">
        <f>SUMIF('Portfolio Overview'!D:D, A6, 'Portfolio Overview'!F:F)</f>
        <v>5.083E-2</v>
      </c>
      <c r="C6" s="39">
        <f>B6 * VLOOKUP(A6, 'Portfolio Overview'!D:I, 6, FALSE)</f>
        <v>88.901669999999996</v>
      </c>
      <c r="D6" s="48">
        <f>SUMIF('Portfolio Overview'!D:D, A6, 'Portfolio Overview'!J:J)</f>
        <v>90</v>
      </c>
      <c r="E6" s="50">
        <f>SUMIF('Portfolio Overview'!D:D, A6, 'Portfolio Overview'!M:M)</f>
        <v>90</v>
      </c>
      <c r="F6" s="47">
        <f t="shared" si="0"/>
        <v>8.7964694244546199E-2</v>
      </c>
      <c r="G6" s="39">
        <f t="shared" si="1"/>
        <v>-1.0983300000000042</v>
      </c>
      <c r="H6" s="80">
        <f t="shared" si="2"/>
        <v>-1.2203666666666713E-2</v>
      </c>
    </row>
    <row r="7" spans="1:8" x14ac:dyDescent="0.2">
      <c r="A7" s="43" t="s">
        <v>63</v>
      </c>
      <c r="B7" s="45">
        <f>SUMIF('Portfolio Overview'!D:D, A7, 'Portfolio Overview'!F:F)</f>
        <v>0.12928599999999998</v>
      </c>
      <c r="C7" s="39">
        <f>B7 * VLOOKUP(A7, 'Portfolio Overview'!D:I, 6, FALSE)</f>
        <v>79.795320778198231</v>
      </c>
      <c r="D7" s="48">
        <f>SUMIF('Portfolio Overview'!D:D, A7, 'Portfolio Overview'!J:J)</f>
        <v>84.710000000000008</v>
      </c>
      <c r="E7" s="50">
        <f>SUMIF('Portfolio Overview'!D:D, A7, 'Portfolio Overview'!M:M)</f>
        <v>84.710000000000008</v>
      </c>
      <c r="F7" s="47">
        <f t="shared" si="0"/>
        <v>7.895432104255963E-2</v>
      </c>
      <c r="G7" s="39">
        <f t="shared" si="1"/>
        <v>-4.9146792218017765</v>
      </c>
      <c r="H7" s="80">
        <f t="shared" si="2"/>
        <v>-5.801769828593762E-2</v>
      </c>
    </row>
    <row r="8" spans="1:8" x14ac:dyDescent="0.2">
      <c r="A8" s="92" t="s">
        <v>71</v>
      </c>
      <c r="B8" s="45">
        <f>SUMIF('Portfolio Overview'!D:D, A8, 'Portfolio Overview'!F:F)</f>
        <v>5.6990639999999999</v>
      </c>
      <c r="C8" s="39">
        <f>B8 * VLOOKUP(A8, 'Portfolio Overview'!D:I, 6, FALSE)</f>
        <v>124.12561783323672</v>
      </c>
      <c r="D8" s="48">
        <f>SUMIF('Portfolio Overview'!D:D, A8, 'Portfolio Overview'!J:J)</f>
        <v>120</v>
      </c>
      <c r="E8" s="50">
        <f>SUMIF('Portfolio Overview'!D:D, A8, 'Portfolio Overview'!M:M)</f>
        <v>120</v>
      </c>
      <c r="F8" s="47">
        <f t="shared" si="0"/>
        <v>0.12281740062493832</v>
      </c>
      <c r="G8" s="39">
        <f t="shared" si="1"/>
        <v>4.125617833236717</v>
      </c>
      <c r="H8" s="80">
        <f t="shared" si="2"/>
        <v>3.4380148610305979E-2</v>
      </c>
    </row>
    <row r="9" spans="1:8" x14ac:dyDescent="0.2">
      <c r="A9" s="93" t="s">
        <v>80</v>
      </c>
      <c r="B9" s="94"/>
      <c r="C9" s="95">
        <f>SUM(C2:C8)</f>
        <v>1134.7773430907469</v>
      </c>
      <c r="D9" s="96">
        <f>SUM(D2:D8)</f>
        <v>1113.71</v>
      </c>
      <c r="E9" s="96">
        <f>SUM(E2:E8)</f>
        <v>1113.71</v>
      </c>
      <c r="F9" s="97"/>
      <c r="G9" s="95">
        <f>SUM(G2:G8)</f>
        <v>21.067343090746803</v>
      </c>
      <c r="H9" s="98">
        <f>(C9-E9)/E9</f>
        <v>1.8916363407661615E-2</v>
      </c>
    </row>
    <row r="10" spans="1:8" x14ac:dyDescent="0.2">
      <c r="A10" s="91"/>
      <c r="B10" s="91"/>
      <c r="C10" s="91"/>
      <c r="D10" s="91"/>
      <c r="E10" s="91"/>
      <c r="F10" s="91"/>
      <c r="G10" s="91"/>
      <c r="H10" s="91"/>
    </row>
    <row r="19" spans="1:7" x14ac:dyDescent="0.2">
      <c r="B19" s="45"/>
      <c r="E19" s="50"/>
      <c r="G19" s="39"/>
    </row>
    <row r="20" spans="1:7" x14ac:dyDescent="0.2">
      <c r="A20" s="4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zoomScale="132" zoomScaleNormal="89" workbookViewId="0">
      <selection activeCell="C14" sqref="C14"/>
    </sheetView>
  </sheetViews>
  <sheetFormatPr baseColWidth="10" defaultRowHeight="16" x14ac:dyDescent="0.2"/>
  <cols>
    <col min="1" max="1" width="39.6640625" style="42" bestFit="1" customWidth="1"/>
    <col min="2" max="3" width="16.33203125" style="42" bestFit="1" customWidth="1"/>
    <col min="4" max="4" width="11.83203125" style="69" bestFit="1" customWidth="1"/>
    <col min="5" max="5" width="13.33203125" style="76" bestFit="1" customWidth="1"/>
    <col min="6" max="6" width="12.83203125" style="42" bestFit="1" customWidth="1"/>
    <col min="7" max="11" width="10.83203125" style="37" customWidth="1"/>
    <col min="12" max="16384" width="10.83203125" style="37"/>
  </cols>
  <sheetData>
    <row r="1" spans="1:6" ht="18" customHeight="1" x14ac:dyDescent="0.2">
      <c r="A1" s="101" t="s">
        <v>99</v>
      </c>
      <c r="B1" s="102"/>
      <c r="C1" s="102"/>
      <c r="D1" s="103"/>
      <c r="E1" s="104"/>
      <c r="F1" s="102"/>
    </row>
    <row r="2" spans="1:6" x14ac:dyDescent="0.2">
      <c r="A2" s="70" t="s">
        <v>81</v>
      </c>
      <c r="B2" s="70" t="s">
        <v>82</v>
      </c>
      <c r="C2" s="70" t="s">
        <v>2</v>
      </c>
      <c r="D2" s="64" t="s">
        <v>83</v>
      </c>
      <c r="E2" s="73" t="s">
        <v>84</v>
      </c>
      <c r="F2" s="70" t="s">
        <v>20</v>
      </c>
    </row>
    <row r="3" spans="1:6" x14ac:dyDescent="0.2">
      <c r="A3" s="53" t="s">
        <v>85</v>
      </c>
      <c r="B3" s="54" t="s">
        <v>34</v>
      </c>
      <c r="C3" s="54" t="s">
        <v>32</v>
      </c>
      <c r="D3" s="65">
        <v>50</v>
      </c>
      <c r="E3" s="85">
        <f t="shared" ref="E3:E8" si="0">D3/$D$9</f>
        <v>0.20833333333333334</v>
      </c>
      <c r="F3" s="54" t="s">
        <v>29</v>
      </c>
    </row>
    <row r="4" spans="1:6" x14ac:dyDescent="0.2">
      <c r="A4" s="53" t="s">
        <v>86</v>
      </c>
      <c r="B4" s="54" t="s">
        <v>43</v>
      </c>
      <c r="C4" s="54" t="s">
        <v>32</v>
      </c>
      <c r="D4" s="65">
        <v>50</v>
      </c>
      <c r="E4" s="85">
        <f t="shared" si="0"/>
        <v>0.20833333333333334</v>
      </c>
      <c r="F4" s="54" t="s">
        <v>29</v>
      </c>
    </row>
    <row r="5" spans="1:6" x14ac:dyDescent="0.2">
      <c r="A5" s="53" t="s">
        <v>87</v>
      </c>
      <c r="B5" s="54" t="s">
        <v>48</v>
      </c>
      <c r="C5" s="54" t="s">
        <v>32</v>
      </c>
      <c r="D5" s="65">
        <v>80</v>
      </c>
      <c r="E5" s="85">
        <f t="shared" si="0"/>
        <v>0.33333333333333331</v>
      </c>
      <c r="F5" s="54" t="s">
        <v>29</v>
      </c>
    </row>
    <row r="6" spans="1:6" x14ac:dyDescent="0.2">
      <c r="A6" s="53" t="s">
        <v>88</v>
      </c>
      <c r="B6" s="54" t="s">
        <v>48</v>
      </c>
      <c r="C6" s="54" t="s">
        <v>32</v>
      </c>
      <c r="D6" s="65">
        <v>20</v>
      </c>
      <c r="E6" s="85">
        <f t="shared" si="0"/>
        <v>8.3333333333333329E-2</v>
      </c>
      <c r="F6" s="54" t="s">
        <v>89</v>
      </c>
    </row>
    <row r="7" spans="1:6" x14ac:dyDescent="0.2">
      <c r="A7" s="53" t="s">
        <v>90</v>
      </c>
      <c r="B7" s="54" t="s">
        <v>60</v>
      </c>
      <c r="C7" s="54" t="s">
        <v>32</v>
      </c>
      <c r="D7" s="65">
        <v>20</v>
      </c>
      <c r="E7" s="85">
        <f t="shared" si="0"/>
        <v>8.3333333333333329E-2</v>
      </c>
      <c r="F7" s="54" t="s">
        <v>61</v>
      </c>
    </row>
    <row r="8" spans="1:6" x14ac:dyDescent="0.2">
      <c r="A8" s="53" t="s">
        <v>59</v>
      </c>
      <c r="B8" s="54" t="s">
        <v>48</v>
      </c>
      <c r="C8" s="54" t="s">
        <v>32</v>
      </c>
      <c r="D8" s="65">
        <v>20</v>
      </c>
      <c r="E8" s="85">
        <f t="shared" si="0"/>
        <v>8.3333333333333329E-2</v>
      </c>
      <c r="F8" s="54" t="s">
        <v>61</v>
      </c>
    </row>
    <row r="9" spans="1:6" x14ac:dyDescent="0.2">
      <c r="A9" s="72" t="s">
        <v>91</v>
      </c>
      <c r="B9" s="67"/>
      <c r="C9" s="67"/>
      <c r="D9" s="68">
        <f>SUM(D3:D8)</f>
        <v>240</v>
      </c>
      <c r="E9" s="74"/>
      <c r="F9" s="67"/>
    </row>
    <row r="10" spans="1:6" x14ac:dyDescent="0.2">
      <c r="A10" s="71"/>
      <c r="B10" s="62"/>
      <c r="C10" s="63"/>
      <c r="D10" s="66"/>
      <c r="E10" s="75"/>
      <c r="F10" s="63"/>
    </row>
    <row r="11" spans="1:6" x14ac:dyDescent="0.2">
      <c r="A11" s="71"/>
      <c r="B11" s="62"/>
      <c r="C11" s="63"/>
      <c r="D11" s="66"/>
      <c r="E11" s="75"/>
      <c r="F11" s="63"/>
    </row>
  </sheetData>
  <mergeCells count="1"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zoomScale="135" workbookViewId="0">
      <selection activeCell="E13" sqref="E13"/>
    </sheetView>
  </sheetViews>
  <sheetFormatPr baseColWidth="10" defaultRowHeight="16" x14ac:dyDescent="0.2"/>
  <cols>
    <col min="1" max="1" width="39.33203125" style="37" bestFit="1" customWidth="1"/>
    <col min="2" max="2" width="14.5" style="78" bestFit="1" customWidth="1"/>
    <col min="3" max="3" width="10.1640625" style="42" bestFit="1" customWidth="1"/>
    <col min="4" max="4" width="11.6640625" style="40" bestFit="1" customWidth="1"/>
    <col min="5" max="5" width="6.33203125" style="37" bestFit="1" customWidth="1"/>
    <col min="6" max="6" width="18.1640625" style="42" bestFit="1" customWidth="1"/>
    <col min="7" max="11" width="10.83203125" style="37" customWidth="1"/>
    <col min="12" max="16384" width="10.83203125" style="37"/>
  </cols>
  <sheetData>
    <row r="1" spans="1:6" x14ac:dyDescent="0.2">
      <c r="A1" s="86" t="s">
        <v>3</v>
      </c>
      <c r="B1" s="87" t="s">
        <v>92</v>
      </c>
      <c r="C1" s="86" t="s">
        <v>93</v>
      </c>
      <c r="D1" s="88" t="s">
        <v>94</v>
      </c>
      <c r="E1" s="89" t="s">
        <v>95</v>
      </c>
      <c r="F1" s="86" t="s">
        <v>19</v>
      </c>
    </row>
    <row r="2" spans="1:6" x14ac:dyDescent="0.2">
      <c r="A2" s="43" t="s">
        <v>33</v>
      </c>
      <c r="B2" s="78">
        <v>225.6000061035156</v>
      </c>
      <c r="C2" s="42" t="s">
        <v>96</v>
      </c>
      <c r="D2" s="40" t="s">
        <v>97</v>
      </c>
      <c r="E2" s="38" t="s">
        <v>98</v>
      </c>
      <c r="F2" s="42" t="s">
        <v>36</v>
      </c>
    </row>
    <row r="3" spans="1:6" x14ac:dyDescent="0.2">
      <c r="A3" s="43" t="s">
        <v>44</v>
      </c>
      <c r="B3" s="78">
        <v>58.560001373291023</v>
      </c>
      <c r="C3" s="42" t="s">
        <v>96</v>
      </c>
      <c r="D3" s="40" t="s">
        <v>97</v>
      </c>
      <c r="E3" s="38" t="s">
        <v>98</v>
      </c>
      <c r="F3" s="42" t="s">
        <v>36</v>
      </c>
    </row>
    <row r="4" spans="1:6" x14ac:dyDescent="0.2">
      <c r="A4" s="43" t="s">
        <v>42</v>
      </c>
      <c r="B4" s="78">
        <v>9.6029996871948242</v>
      </c>
      <c r="C4" s="42" t="s">
        <v>96</v>
      </c>
      <c r="D4" s="40" t="s">
        <v>97</v>
      </c>
      <c r="E4" s="38" t="s">
        <v>98</v>
      </c>
      <c r="F4" s="42" t="s">
        <v>36</v>
      </c>
    </row>
    <row r="5" spans="1:6" x14ac:dyDescent="0.2">
      <c r="A5" s="43" t="s">
        <v>47</v>
      </c>
      <c r="B5" s="78">
        <v>49.814998626708977</v>
      </c>
      <c r="C5" s="42" t="s">
        <v>96</v>
      </c>
      <c r="D5" s="40" t="s">
        <v>97</v>
      </c>
      <c r="E5" s="38" t="s">
        <v>98</v>
      </c>
      <c r="F5" s="42" t="s">
        <v>36</v>
      </c>
    </row>
    <row r="6" spans="1:6" x14ac:dyDescent="0.2">
      <c r="A6" s="34" t="s">
        <v>63</v>
      </c>
      <c r="B6" s="78">
        <v>617.20001220703125</v>
      </c>
      <c r="C6" s="42" t="s">
        <v>96</v>
      </c>
      <c r="D6" s="40" t="s">
        <v>97</v>
      </c>
      <c r="E6" s="38" t="s">
        <v>98</v>
      </c>
      <c r="F6" s="42" t="s">
        <v>36</v>
      </c>
    </row>
    <row r="7" spans="1:6" x14ac:dyDescent="0.2">
      <c r="A7" s="100" t="s">
        <v>59</v>
      </c>
      <c r="B7" s="78">
        <v>1749</v>
      </c>
      <c r="C7" s="42" t="s">
        <v>96</v>
      </c>
      <c r="D7" s="40" t="s">
        <v>97</v>
      </c>
      <c r="E7" s="38" t="s">
        <v>98</v>
      </c>
      <c r="F7" s="42" t="s">
        <v>36</v>
      </c>
    </row>
    <row r="8" spans="1:6" x14ac:dyDescent="0.2">
      <c r="A8" s="29" t="s">
        <v>71</v>
      </c>
      <c r="B8" s="78">
        <v>21.780000686645511</v>
      </c>
      <c r="C8" s="42" t="s">
        <v>96</v>
      </c>
      <c r="D8" s="40" t="s">
        <v>97</v>
      </c>
      <c r="E8" s="38" t="s">
        <v>98</v>
      </c>
      <c r="F8" s="42" t="s">
        <v>36</v>
      </c>
    </row>
    <row r="9" spans="1:6" x14ac:dyDescent="0.2">
      <c r="E9" s="77"/>
    </row>
    <row r="10" spans="1:6" x14ac:dyDescent="0.2">
      <c r="E10" s="77"/>
    </row>
    <row r="11" spans="1:6" x14ac:dyDescent="0.2">
      <c r="E11" s="77"/>
    </row>
    <row r="12" spans="1:6" x14ac:dyDescent="0.2">
      <c r="E12" s="77"/>
    </row>
    <row r="13" spans="1:6" x14ac:dyDescent="0.2">
      <c r="E13" s="77"/>
    </row>
    <row r="14" spans="1:6" x14ac:dyDescent="0.2">
      <c r="E14" s="77"/>
    </row>
    <row r="16" spans="1:6" x14ac:dyDescent="0.2">
      <c r="E16" s="77"/>
    </row>
    <row r="17" spans="5:5" x14ac:dyDescent="0.2">
      <c r="E17" s="77"/>
    </row>
    <row r="18" spans="5:5" x14ac:dyDescent="0.2">
      <c r="E18" s="77"/>
    </row>
    <row r="19" spans="5:5" x14ac:dyDescent="0.2">
      <c r="E19" s="77"/>
    </row>
    <row r="20" spans="5:5" x14ac:dyDescent="0.2">
      <c r="E20" s="77"/>
    </row>
    <row r="21" spans="5:5" x14ac:dyDescent="0.2">
      <c r="E21" s="77"/>
    </row>
  </sheetData>
  <dataValidations count="1">
    <dataValidation type="list" allowBlank="1" showInputMessage="1" showErrorMessage="1" sqref="C2:C5 C7:C8" xr:uid="{00000000-0002-0000-0300-000000000000}">
      <formula1>"EUR,USD"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Portfolio Overview</vt:lpstr>
      <vt:lpstr>Summary</vt:lpstr>
      <vt:lpstr>Fixed Investment Plan</vt:lpstr>
      <vt:lpstr>Kurse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2025-05-23T16:09:32Z</dcterms:created>
  <dcterms:modified xsi:type="dcterms:W3CDTF">2025-09-02T19:14:30Z</dcterms:modified>
</cp:coreProperties>
</file>