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houshang/Desktop/Meine Z/Mai 2025/"/>
    </mc:Choice>
  </mc:AlternateContent>
  <xr:revisionPtr revIDLastSave="0" documentId="13_ncr:1_{18B9A91A-64CD-9E4E-B849-51819DD176FF}" xr6:coauthVersionLast="47" xr6:coauthVersionMax="47" xr10:uidLastSave="{00000000-0000-0000-0000-000000000000}"/>
  <bookViews>
    <workbookView xWindow="0" yWindow="500" windowWidth="28800" windowHeight="15980" activeTab="1" xr2:uid="{016DBADC-76D9-AE44-81C6-6D940A00045E}"/>
  </bookViews>
  <sheets>
    <sheet name="Portfolio Overview" sheetId="1" r:id="rId1"/>
    <sheet name="Summary" sheetId="3" r:id="rId2"/>
    <sheet name="Fixed Investment Plan" sheetId="4" r:id="rId3"/>
    <sheet name="Mikroinvestition" sheetId="7" r:id="rId4"/>
    <sheet name="Summary-Mikro" sheetId="8" r:id="rId5"/>
    <sheet name="Kurse" sheetId="2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E6" i="3"/>
  <c r="D6" i="3"/>
  <c r="C6" i="3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E2" i="3"/>
  <c r="D3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" i="8"/>
  <c r="B2" i="3"/>
  <c r="O4" i="7"/>
  <c r="Q4" i="7" s="1"/>
  <c r="O5" i="7"/>
  <c r="Q5" i="7" s="1"/>
  <c r="O6" i="7"/>
  <c r="Q6" i="7" s="1"/>
  <c r="O7" i="7"/>
  <c r="Q7" i="7" s="1"/>
  <c r="O8" i="7"/>
  <c r="Q8" i="7" s="1"/>
  <c r="O9" i="7"/>
  <c r="Q9" i="7" s="1"/>
  <c r="O10" i="7"/>
  <c r="Q10" i="7" s="1"/>
  <c r="O11" i="7"/>
  <c r="Q11" i="7" s="1"/>
  <c r="O12" i="7"/>
  <c r="Q12" i="7" s="1"/>
  <c r="O13" i="7"/>
  <c r="Q13" i="7" s="1"/>
  <c r="O14" i="7"/>
  <c r="Q14" i="7" s="1"/>
  <c r="O15" i="7"/>
  <c r="Q15" i="7" s="1"/>
  <c r="O16" i="7"/>
  <c r="Q16" i="7" s="1"/>
  <c r="O17" i="7"/>
  <c r="Q17" i="7" s="1"/>
  <c r="O18" i="7"/>
  <c r="Q18" i="7" s="1"/>
  <c r="O19" i="7"/>
  <c r="Q19" i="7" s="1"/>
  <c r="O20" i="7"/>
  <c r="Q20" i="7" s="1"/>
  <c r="O21" i="7"/>
  <c r="Q21" i="7" s="1"/>
  <c r="O22" i="7"/>
  <c r="Q22" i="7" s="1"/>
  <c r="O23" i="7"/>
  <c r="Q23" i="7" s="1"/>
  <c r="O24" i="7"/>
  <c r="Q24" i="7" s="1"/>
  <c r="O25" i="7"/>
  <c r="Q25" i="7" s="1"/>
  <c r="O26" i="7"/>
  <c r="Q26" i="7" s="1"/>
  <c r="O27" i="7"/>
  <c r="Q27" i="7" s="1"/>
  <c r="O28" i="7"/>
  <c r="Q28" i="7" s="1"/>
  <c r="O29" i="7"/>
  <c r="Q29" i="7" s="1"/>
  <c r="O30" i="7"/>
  <c r="Q30" i="7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M3" i="7"/>
  <c r="N3" i="7" s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I3" i="7"/>
  <c r="O3" i="7" s="1"/>
  <c r="Q3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M2" i="7"/>
  <c r="N2" i="7" s="1"/>
  <c r="K2" i="7"/>
  <c r="I2" i="7"/>
  <c r="O2" i="7" s="1"/>
  <c r="Q2" i="7" s="1"/>
  <c r="G2" i="7"/>
  <c r="C2" i="8" l="1"/>
  <c r="H2" i="8" s="1"/>
  <c r="C3" i="8"/>
  <c r="H3" i="8" s="1"/>
  <c r="G3" i="8" l="1"/>
  <c r="F3" i="8"/>
  <c r="F2" i="8"/>
  <c r="G2" i="8"/>
  <c r="D9" i="4"/>
  <c r="E4" i="4" s="1"/>
  <c r="B5" i="3"/>
  <c r="D5" i="3"/>
  <c r="E5" i="3"/>
  <c r="B3" i="3"/>
  <c r="E3" i="3"/>
  <c r="E4" i="3"/>
  <c r="D4" i="3"/>
  <c r="D2" i="3"/>
  <c r="B4" i="3"/>
  <c r="N3" i="1"/>
  <c r="I3" i="1"/>
  <c r="O3" i="1" s="1"/>
  <c r="Q3" i="1" s="1"/>
  <c r="I4" i="1"/>
  <c r="O4" i="1" s="1"/>
  <c r="Q4" i="1" s="1"/>
  <c r="I5" i="1"/>
  <c r="O5" i="1" s="1"/>
  <c r="Q5" i="1" s="1"/>
  <c r="I6" i="1"/>
  <c r="O6" i="1" s="1"/>
  <c r="Q6" i="1" s="1"/>
  <c r="I7" i="1"/>
  <c r="O7" i="1" s="1"/>
  <c r="Q7" i="1" s="1"/>
  <c r="I8" i="1"/>
  <c r="I9" i="1"/>
  <c r="I10" i="1"/>
  <c r="I11" i="1"/>
  <c r="I12" i="1"/>
  <c r="O12" i="1" s="1"/>
  <c r="Q12" i="1" s="1"/>
  <c r="I13" i="1"/>
  <c r="O13" i="1" s="1"/>
  <c r="Q13" i="1" s="1"/>
  <c r="I14" i="1"/>
  <c r="O14" i="1" s="1"/>
  <c r="Q14" i="1" s="1"/>
  <c r="I15" i="1"/>
  <c r="O15" i="1" s="1"/>
  <c r="Q15" i="1" s="1"/>
  <c r="I16" i="1"/>
  <c r="O16" i="1" s="1"/>
  <c r="Q16" i="1" s="1"/>
  <c r="I17" i="1"/>
  <c r="I18" i="1"/>
  <c r="I19" i="1"/>
  <c r="I20" i="1"/>
  <c r="I21" i="1"/>
  <c r="I22" i="1"/>
  <c r="I2" i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N16" i="1"/>
  <c r="N17" i="1"/>
  <c r="N18" i="1"/>
  <c r="N19" i="1"/>
  <c r="N20" i="1"/>
  <c r="N21" i="1"/>
  <c r="N22" i="1"/>
  <c r="M16" i="1"/>
  <c r="M17" i="1"/>
  <c r="M18" i="1"/>
  <c r="M19" i="1"/>
  <c r="M20" i="1"/>
  <c r="M21" i="1"/>
  <c r="M22" i="1"/>
  <c r="K16" i="1"/>
  <c r="K17" i="1"/>
  <c r="K18" i="1"/>
  <c r="K19" i="1"/>
  <c r="K20" i="1"/>
  <c r="K21" i="1"/>
  <c r="K22" i="1"/>
  <c r="G16" i="1"/>
  <c r="G17" i="1"/>
  <c r="G18" i="1"/>
  <c r="G19" i="1"/>
  <c r="G20" i="1"/>
  <c r="G21" i="1"/>
  <c r="G22" i="1"/>
  <c r="G3" i="1"/>
  <c r="G4" i="1"/>
  <c r="G5" i="1"/>
  <c r="G6" i="1"/>
  <c r="G7" i="1"/>
  <c r="G8" i="1"/>
  <c r="G9" i="1"/>
  <c r="G10" i="1"/>
  <c r="G11" i="1"/>
  <c r="G12" i="1"/>
  <c r="G14" i="1"/>
  <c r="G15" i="1"/>
  <c r="G2" i="1"/>
  <c r="M15" i="1"/>
  <c r="K15" i="1"/>
  <c r="M14" i="1"/>
  <c r="N14" i="1" s="1"/>
  <c r="K14" i="1"/>
  <c r="M13" i="1"/>
  <c r="N13" i="1" s="1"/>
  <c r="N12" i="1"/>
  <c r="M12" i="1"/>
  <c r="K12" i="1"/>
  <c r="O11" i="1"/>
  <c r="Q11" i="1" s="1"/>
  <c r="N11" i="1"/>
  <c r="M11" i="1"/>
  <c r="K11" i="1"/>
  <c r="O10" i="1"/>
  <c r="Q10" i="1" s="1"/>
  <c r="N10" i="1"/>
  <c r="M10" i="1"/>
  <c r="K10" i="1"/>
  <c r="O9" i="1"/>
  <c r="Q9" i="1" s="1"/>
  <c r="N9" i="1"/>
  <c r="M9" i="1"/>
  <c r="K9" i="1"/>
  <c r="O8" i="1"/>
  <c r="Q8" i="1" s="1"/>
  <c r="N8" i="1"/>
  <c r="M8" i="1"/>
  <c r="K8" i="1"/>
  <c r="M7" i="1"/>
  <c r="N7" i="1" s="1"/>
  <c r="K7" i="1"/>
  <c r="M6" i="1"/>
  <c r="N6" i="1" s="1"/>
  <c r="K6" i="1"/>
  <c r="M5" i="1"/>
  <c r="N5" i="1" s="1"/>
  <c r="K5" i="1"/>
  <c r="M4" i="1"/>
  <c r="N4" i="1" s="1"/>
  <c r="K4" i="1"/>
  <c r="M3" i="1"/>
  <c r="K3" i="1"/>
  <c r="O2" i="1"/>
  <c r="Q2" i="1" s="1"/>
  <c r="N2" i="1"/>
  <c r="M2" i="1"/>
  <c r="K2" i="1"/>
  <c r="C3" i="3" l="1"/>
  <c r="C5" i="3"/>
  <c r="E6" i="4"/>
  <c r="E3" i="4"/>
  <c r="E5" i="4"/>
  <c r="E8" i="4"/>
  <c r="E7" i="4"/>
  <c r="C2" i="3"/>
  <c r="C4" i="3"/>
  <c r="N15" i="1"/>
  <c r="H2" i="3" l="1"/>
  <c r="H5" i="3"/>
  <c r="G3" i="3"/>
  <c r="H3" i="3"/>
  <c r="H7" i="3"/>
  <c r="G5" i="3"/>
  <c r="G2" i="3"/>
  <c r="G4" i="3"/>
  <c r="H4" i="3"/>
  <c r="F2" i="3"/>
  <c r="F4" i="3"/>
  <c r="F5" i="3"/>
  <c r="F3" i="3"/>
  <c r="H6" i="3"/>
</calcChain>
</file>

<file path=xl/sharedStrings.xml><?xml version="1.0" encoding="utf-8"?>
<sst xmlns="http://schemas.openxmlformats.org/spreadsheetml/2006/main" count="307" uniqueCount="117">
  <si>
    <t>Transaction Date</t>
  </si>
  <si>
    <t>Transaction Time</t>
  </si>
  <si>
    <t>Platform</t>
  </si>
  <si>
    <t>Asset Name</t>
  </si>
  <si>
    <t>ISIN / Ticker Symbol</t>
  </si>
  <si>
    <t>Quantity</t>
  </si>
  <si>
    <t>Cumulativ Quantity</t>
  </si>
  <si>
    <t xml:space="preserve">Unit Price </t>
  </si>
  <si>
    <t>Current Price</t>
  </si>
  <si>
    <t>Invested Amount</t>
  </si>
  <si>
    <t>Cumulativ Invested Amount</t>
  </si>
  <si>
    <t>Transaction Fee</t>
  </si>
  <si>
    <t>Total Cost</t>
  </si>
  <si>
    <t>Cumulative Total Cost</t>
  </si>
  <si>
    <t xml:space="preserve">Portfolio Value </t>
  </si>
  <si>
    <t>Dividend Yield</t>
  </si>
  <si>
    <t>Estimated Dividend</t>
  </si>
  <si>
    <t>Execution Type</t>
  </si>
  <si>
    <t>Investment Strategy</t>
  </si>
  <si>
    <t>Notes</t>
  </si>
  <si>
    <t>Asset Class</t>
  </si>
  <si>
    <t>Aktive</t>
  </si>
  <si>
    <t>Sell Notes</t>
  </si>
  <si>
    <t>Trade Republic</t>
  </si>
  <si>
    <t>Clean Energy USD (Acc)</t>
  </si>
  <si>
    <t>IE00BK5BCH80</t>
  </si>
  <si>
    <t>Sell</t>
  </si>
  <si>
    <t>Learning Only</t>
  </si>
  <si>
    <t>First  ETF - manual test before savings plan</t>
  </si>
  <si>
    <t>ETF</t>
  </si>
  <si>
    <t>No</t>
  </si>
  <si>
    <t>19/05/2025 – ETF sold. Not in final plan. Reinvested in ASML. See line 18 for price and fee (same ETF, sold together).</t>
  </si>
  <si>
    <t>Scalable Capital</t>
  </si>
  <si>
    <t>Amundi Nasdaq 100 EUR (Acc)</t>
  </si>
  <si>
    <t>LU1681038243</t>
  </si>
  <si>
    <t>Savings Plan</t>
  </si>
  <si>
    <t>Core</t>
  </si>
  <si>
    <t>Long-term investment</t>
  </si>
  <si>
    <t>Yes</t>
  </si>
  <si>
    <t>iShares Automation &amp; Robotics (Acc)</t>
  </si>
  <si>
    <t>IE00BYZK4552</t>
  </si>
  <si>
    <t>Scalable MSCI AC World Xtrackers (Acc)</t>
  </si>
  <si>
    <t>LU2903252349</t>
  </si>
  <si>
    <t>iShares Physical Gold ETC</t>
  </si>
  <si>
    <t>IE00B4ND3602</t>
  </si>
  <si>
    <t>Commodity</t>
  </si>
  <si>
    <t>VanEck Defense (Acc)</t>
  </si>
  <si>
    <t>IE000YYE6WK5</t>
  </si>
  <si>
    <t>Xtrackers MSCI Emerging Markets (Acc)</t>
  </si>
  <si>
    <t>IE00BTJRMP35</t>
  </si>
  <si>
    <t>19/05/2025 – ETF sold (€20.25 – €1.00 fee = €19.25). Not in final plan. Reinvested in ASML.</t>
  </si>
  <si>
    <t>Xtrackers Artificial Intelligence &amp; Big Data</t>
  </si>
  <si>
    <t>IE00BGV5VN51</t>
  </si>
  <si>
    <t>19/05/2025 – ETF sold (€4.89 – €1.00 fee = €3.89). Not in final plan. Reinvested in ASML.</t>
  </si>
  <si>
    <t>Semiconductor USD (ACC)</t>
  </si>
  <si>
    <t>IE00BMC38736</t>
  </si>
  <si>
    <t>19/05/2025 – ETF sold (€9.63 – €1.00 fee = €8.63). Not in final plan. Reinvested in ASML (€2.86) &amp; XTZ via Bitvavo (€5.77).</t>
  </si>
  <si>
    <t>Rheinmetall AG</t>
  </si>
  <si>
    <t>DE0007030009</t>
  </si>
  <si>
    <t>Equity</t>
  </si>
  <si>
    <t>ASML Holding N. V.</t>
  </si>
  <si>
    <t>NL0010273215</t>
  </si>
  <si>
    <t>Long-term investment; Final-plan. €0.00 fee + €0,99 from prior sell.</t>
  </si>
  <si>
    <t>Long-term investment; Final-plan.</t>
  </si>
  <si>
    <t>Semiconductor USD (Acc)</t>
  </si>
  <si>
    <t>Rebalancing</t>
  </si>
  <si>
    <t>Note: All timestamps are approximate (1–15 minutes variation possible).</t>
  </si>
  <si>
    <t xml:space="preserve">Current Price </t>
  </si>
  <si>
    <t>Currency</t>
  </si>
  <si>
    <t>Date</t>
  </si>
  <si>
    <t>Time</t>
  </si>
  <si>
    <t>EUR</t>
  </si>
  <si>
    <t>Portfolio Allocation (%)</t>
  </si>
  <si>
    <t>Invested Amount (€)</t>
  </si>
  <si>
    <t>Result (€)</t>
  </si>
  <si>
    <t xml:space="preserve">Return (%) </t>
  </si>
  <si>
    <t>Cumulative Quantity</t>
  </si>
  <si>
    <t>Total Cost (€)</t>
  </si>
  <si>
    <t>Overall Total</t>
  </si>
  <si>
    <t>Sold</t>
  </si>
  <si>
    <t>Fixed Investment Plan-Starting June 2025</t>
  </si>
  <si>
    <t>Asset</t>
  </si>
  <si>
    <t>ISIN</t>
  </si>
  <si>
    <t>Amount (€)</t>
  </si>
  <si>
    <t>Allocation %</t>
  </si>
  <si>
    <t>ETC</t>
  </si>
  <si>
    <t>ASML Holding N.V.</t>
  </si>
  <si>
    <t>Current Value (€)</t>
  </si>
  <si>
    <t>Amundi Nasdaq 100</t>
  </si>
  <si>
    <t>Scalable MSCI AC World</t>
  </si>
  <si>
    <t>Summary</t>
  </si>
  <si>
    <t>VanEck Defense</t>
  </si>
  <si>
    <t>iShares Physical Gold</t>
  </si>
  <si>
    <t>19/05/2025 – ETF sold (€28,56 – €0.99 fee = €38.44). Not in final plan. Reinvested in Nasdaq 100 &amp; Defense.</t>
  </si>
  <si>
    <t>28/05/2025 – ETF sold (€39.43 – €0.99 fee = €29,55). Not in final plan. Reinvested in Defense.</t>
  </si>
  <si>
    <t>Crypto &amp; Blockchain Innovators USD (Acc)</t>
  </si>
  <si>
    <t>IE00BMDKNW35</t>
  </si>
  <si>
    <t>One-Time Purchase</t>
  </si>
  <si>
    <t>Mikroinvestition</t>
  </si>
  <si>
    <t>MSCI Saudi Arabia Capped USD (Acc)</t>
  </si>
  <si>
    <t>IE00BYYR0489</t>
  </si>
  <si>
    <t>Support für Blockchain-Community &amp; dezentrale Netzwerke</t>
  </si>
  <si>
    <t>Mikro</t>
  </si>
  <si>
    <t>Mikro, TER 0,85 %</t>
  </si>
  <si>
    <t>MSCI China USD (Acc)</t>
  </si>
  <si>
    <t>MSCI Core Japan JPY (Acc)</t>
  </si>
  <si>
    <t>Mikro, TER 0,65 %</t>
  </si>
  <si>
    <t>Cyberark</t>
  </si>
  <si>
    <t>Mikro, TER 0,12 %</t>
  </si>
  <si>
    <t>Mikro, TER 0,28 %</t>
  </si>
  <si>
    <t>MSCI India Swap USD (ACC)</t>
  </si>
  <si>
    <t>Mikro, TER 0,19%</t>
  </si>
  <si>
    <t>MSCI Africa Top 50 Swap USD (Acc)</t>
  </si>
  <si>
    <t>Mikro, TER 0,65%</t>
  </si>
  <si>
    <t>29/05/2025 – Sold due to broker change</t>
  </si>
  <si>
    <t>29/05/2025 – Sold due to broker change (€30.86 - €1 = 29.86)</t>
  </si>
  <si>
    <t>29/05/2025 – Sold due to broker change (€25.83 - €1 = 24.83)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</si>
</sst>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#,##0.0000000\ &quot;€&quot;"/>
    <numFmt numFmtId="166" formatCode="#,##0.000000000\ &quot;€&quot;"/>
    <numFmt numFmtId="167" formatCode="#,##0.00\ &quot;€&quot;"/>
    <numFmt numFmtId="168" formatCode="#,##0.0000\ &quot;€&quot;"/>
    <numFmt numFmtId="169" formatCode="0.000000"/>
    <numFmt numFmtId="170" formatCode="\+0.00000000\ &quot;€&quot;;\-0.00000000\ &quot;€&quot;;0.00000000\ &quot;€&quot;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rgb="FF35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ptos Narrow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ptos Narrow"/>
      <family val="2"/>
      <scheme val="minor"/>
    </font>
    <font>
      <sz val="12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D0D0D0"/>
        <bgColor rgb="FF000000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A8A8A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1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65" fontId="5" fillId="2" borderId="2" xfId="0" applyNumberFormat="1" applyFont="1" applyFill="1" applyBorder="1"/>
    <xf numFmtId="167" fontId="5" fillId="2" borderId="2" xfId="0" applyNumberFormat="1" applyFont="1" applyFill="1" applyBorder="1"/>
    <xf numFmtId="10" fontId="5" fillId="2" borderId="2" xfId="1" applyNumberFormat="1" applyFont="1" applyFill="1" applyBorder="1"/>
    <xf numFmtId="168" fontId="5" fillId="2" borderId="2" xfId="0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0" xfId="1" applyNumberFormat="1" applyFont="1" applyFill="1" applyAlignment="1">
      <alignment horizontal="center"/>
    </xf>
    <xf numFmtId="0" fontId="5" fillId="2" borderId="0" xfId="0" applyFont="1" applyFill="1"/>
    <xf numFmtId="169" fontId="5" fillId="2" borderId="2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0" xfId="1" applyNumberFormat="1" applyFont="1" applyFill="1" applyAlignment="1">
      <alignment horizontal="center"/>
    </xf>
    <xf numFmtId="0" fontId="3" fillId="3" borderId="0" xfId="2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Border="1"/>
    <xf numFmtId="167" fontId="5" fillId="0" borderId="2" xfId="0" applyNumberFormat="1" applyFont="1" applyBorder="1"/>
    <xf numFmtId="10" fontId="5" fillId="0" borderId="2" xfId="1" applyNumberFormat="1" applyFont="1" applyFill="1" applyBorder="1"/>
    <xf numFmtId="168" fontId="5" fillId="0" borderId="2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7" fontId="0" fillId="0" borderId="0" xfId="0" applyNumberFormat="1"/>
    <xf numFmtId="14" fontId="5" fillId="0" borderId="0" xfId="0" applyNumberFormat="1" applyFont="1" applyAlignment="1">
      <alignment horizontal="center"/>
    </xf>
    <xf numFmtId="1" fontId="5" fillId="2" borderId="2" xfId="0" applyNumberFormat="1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169" fontId="5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1" applyFon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167" fontId="9" fillId="0" borderId="0" xfId="0" applyNumberFormat="1" applyFont="1"/>
    <xf numFmtId="167" fontId="9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center"/>
    </xf>
    <xf numFmtId="169" fontId="4" fillId="6" borderId="0" xfId="0" applyNumberFormat="1" applyFont="1" applyFill="1" applyAlignment="1">
      <alignment horizontal="right"/>
    </xf>
    <xf numFmtId="167" fontId="4" fillId="6" borderId="0" xfId="0" applyNumberFormat="1" applyFont="1" applyFill="1"/>
    <xf numFmtId="167" fontId="4" fillId="6" borderId="0" xfId="1" applyNumberFormat="1" applyFont="1" applyFill="1" applyAlignment="1">
      <alignment horizontal="right"/>
    </xf>
    <xf numFmtId="167" fontId="4" fillId="6" borderId="0" xfId="1" applyNumberFormat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170" fontId="4" fillId="6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7" borderId="0" xfId="0" applyFont="1" applyFill="1" applyAlignment="1">
      <alignment horizontal="center"/>
    </xf>
    <xf numFmtId="167" fontId="10" fillId="7" borderId="0" xfId="0" applyNumberFormat="1" applyFont="1" applyFill="1" applyAlignment="1">
      <alignment horizontal="center"/>
    </xf>
    <xf numFmtId="167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7" borderId="4" xfId="0" applyFont="1" applyFill="1" applyBorder="1" applyAlignment="1">
      <alignment horizontal="left"/>
    </xf>
    <xf numFmtId="9" fontId="8" fillId="0" borderId="0" xfId="1" applyFont="1" applyAlignment="1">
      <alignment horizontal="center"/>
    </xf>
    <xf numFmtId="9" fontId="9" fillId="0" borderId="0" xfId="1" applyFont="1" applyAlignment="1">
      <alignment horizontal="center"/>
    </xf>
    <xf numFmtId="9" fontId="10" fillId="7" borderId="0" xfId="1" applyFont="1" applyFill="1" applyAlignment="1">
      <alignment horizontal="center"/>
    </xf>
    <xf numFmtId="9" fontId="10" fillId="0" borderId="0" xfId="1" applyFont="1" applyFill="1" applyAlignment="1">
      <alignment horizontal="center"/>
    </xf>
    <xf numFmtId="9" fontId="5" fillId="0" borderId="0" xfId="1" applyFont="1" applyFill="1" applyAlignment="1">
      <alignment horizontal="center"/>
    </xf>
    <xf numFmtId="9" fontId="5" fillId="0" borderId="0" xfId="1" applyFont="1" applyAlignment="1">
      <alignment horizontal="center"/>
    </xf>
    <xf numFmtId="20" fontId="5" fillId="0" borderId="0" xfId="0" applyNumberFormat="1" applyFont="1"/>
    <xf numFmtId="167" fontId="5" fillId="0" borderId="0" xfId="0" applyNumberFormat="1" applyFont="1"/>
    <xf numFmtId="0" fontId="6" fillId="0" borderId="0" xfId="0" applyFont="1"/>
    <xf numFmtId="169" fontId="6" fillId="0" borderId="0" xfId="0" applyNumberFormat="1" applyFont="1" applyAlignment="1">
      <alignment horizontal="right"/>
    </xf>
    <xf numFmtId="167" fontId="6" fillId="0" borderId="0" xfId="0" applyNumberFormat="1" applyFont="1"/>
    <xf numFmtId="167" fontId="6" fillId="0" borderId="0" xfId="1" applyNumberFormat="1" applyFont="1" applyFill="1" applyAlignment="1">
      <alignment horizontal="right"/>
    </xf>
    <xf numFmtId="9" fontId="6" fillId="0" borderId="0" xfId="1" applyFont="1" applyFill="1"/>
    <xf numFmtId="0" fontId="10" fillId="5" borderId="0" xfId="0" applyFont="1" applyFill="1" applyAlignment="1">
      <alignment horizontal="left"/>
    </xf>
    <xf numFmtId="169" fontId="12" fillId="5" borderId="0" xfId="0" applyNumberFormat="1" applyFont="1" applyFill="1" applyAlignment="1">
      <alignment horizontal="right"/>
    </xf>
    <xf numFmtId="167" fontId="12" fillId="5" borderId="0" xfId="0" applyNumberFormat="1" applyFont="1" applyFill="1"/>
    <xf numFmtId="167" fontId="12" fillId="5" borderId="0" xfId="1" applyNumberFormat="1" applyFont="1" applyFill="1" applyAlignment="1">
      <alignment horizontal="right"/>
    </xf>
    <xf numFmtId="9" fontId="12" fillId="5" borderId="0" xfId="1" applyFont="1" applyFill="1"/>
    <xf numFmtId="10" fontId="5" fillId="0" borderId="0" xfId="1" applyNumberFormat="1" applyFont="1"/>
    <xf numFmtId="10" fontId="0" fillId="0" borderId="0" xfId="1" applyNumberFormat="1" applyFont="1"/>
    <xf numFmtId="10" fontId="12" fillId="5" borderId="0" xfId="1" applyNumberFormat="1" applyFont="1" applyFill="1"/>
    <xf numFmtId="2" fontId="5" fillId="0" borderId="2" xfId="0" applyNumberFormat="1" applyFont="1" applyBorder="1"/>
    <xf numFmtId="1" fontId="5" fillId="0" borderId="2" xfId="0" applyNumberFormat="1" applyFont="1" applyBorder="1"/>
    <xf numFmtId="0" fontId="8" fillId="8" borderId="0" xfId="0" applyFont="1" applyFill="1" applyAlignment="1">
      <alignment horizontal="center"/>
    </xf>
    <xf numFmtId="169" fontId="8" fillId="8" borderId="0" xfId="0" applyNumberFormat="1" applyFont="1" applyFill="1" applyAlignment="1">
      <alignment horizontal="right"/>
    </xf>
    <xf numFmtId="167" fontId="8" fillId="8" borderId="0" xfId="0" applyNumberFormat="1" applyFont="1" applyFill="1"/>
    <xf numFmtId="167" fontId="8" fillId="8" borderId="0" xfId="0" applyNumberFormat="1" applyFont="1" applyFill="1" applyAlignment="1">
      <alignment horizontal="right"/>
    </xf>
    <xf numFmtId="167" fontId="8" fillId="8" borderId="0" xfId="0" applyNumberFormat="1" applyFont="1" applyFill="1" applyAlignment="1">
      <alignment horizontal="center"/>
    </xf>
    <xf numFmtId="9" fontId="8" fillId="8" borderId="0" xfId="0" applyNumberFormat="1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9" fontId="9" fillId="0" borderId="0" xfId="0" applyNumberFormat="1" applyFont="1"/>
    <xf numFmtId="10" fontId="9" fillId="0" borderId="0" xfId="0" applyNumberFormat="1" applyFont="1"/>
    <xf numFmtId="2" fontId="9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center"/>
    </xf>
    <xf numFmtId="167" fontId="5" fillId="2" borderId="0" xfId="0" applyNumberFormat="1" applyFont="1" applyFill="1"/>
    <xf numFmtId="20" fontId="5" fillId="2" borderId="0" xfId="0" applyNumberFormat="1" applyFont="1" applyFill="1" applyAlignment="1">
      <alignment horizontal="center"/>
    </xf>
    <xf numFmtId="169" fontId="5" fillId="2" borderId="0" xfId="0" applyNumberFormat="1" applyFont="1" applyFill="1"/>
    <xf numFmtId="10" fontId="5" fillId="2" borderId="0" xfId="1" applyNumberFormat="1" applyFont="1" applyFill="1"/>
    <xf numFmtId="0" fontId="7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FDECEA"/>
      <color rgb="FFF0EA96"/>
      <color rgb="FF797979"/>
      <color rgb="FF7A7783"/>
      <color rgb="FF6B7D92"/>
      <color rgb="FF7E98AD"/>
      <color rgb="FF5C5863"/>
      <color rgb="FFD9C89A"/>
      <color rgb="FFC3CED9"/>
      <color rgb="FF6D6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2400" b="1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Asset Allocation (%)</a:t>
            </a:r>
          </a:p>
        </c:rich>
      </c:tx>
      <c:layout>
        <c:manualLayout>
          <c:xMode val="edge"/>
          <c:yMode val="edge"/>
          <c:x val="0.43367189417268981"/>
          <c:y val="3.0325031119826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3CED9"/>
            </a:solidFill>
          </c:spPr>
          <c:dPt>
            <c:idx val="0"/>
            <c:bubble3D val="0"/>
            <c:spPr>
              <a:solidFill>
                <a:srgbClr val="C3CE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30-8D49-9039-35E6A338C39F}"/>
              </c:ext>
            </c:extLst>
          </c:dPt>
          <c:dPt>
            <c:idx val="1"/>
            <c:bubble3D val="0"/>
            <c:spPr>
              <a:solidFill>
                <a:srgbClr val="6B7D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530-8D49-9039-35E6A338C39F}"/>
              </c:ext>
            </c:extLst>
          </c:dPt>
          <c:dPt>
            <c:idx val="2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30-8D49-9039-35E6A338C39F}"/>
              </c:ext>
            </c:extLst>
          </c:dPt>
          <c:dPt>
            <c:idx val="3"/>
            <c:bubble3D val="0"/>
            <c:spPr>
              <a:solidFill>
                <a:srgbClr val="D9C8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30-8D49-9039-35E6A338C39F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Summary!$A$2:$A$5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Summary!$F$2:$F$5</c:f>
              <c:numCache>
                <c:formatCode>0%</c:formatCode>
                <c:ptCount val="4"/>
                <c:pt idx="0">
                  <c:v>0.14836038951179645</c:v>
                </c:pt>
                <c:pt idx="1">
                  <c:v>9.1061521657968172E-2</c:v>
                </c:pt>
                <c:pt idx="2">
                  <c:v>0.11283908694398655</c:v>
                </c:pt>
                <c:pt idx="3">
                  <c:v>0.14773900188624878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8142-A3FD-49C993CAA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Investment</a:t>
            </a:r>
            <a:r>
              <a:rPr lang="de-DE" baseline="0"/>
              <a:t> vs. Current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Value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(Summary!$C$2,Summary!$C$3,Summary!$C$4,Summary!$C$5)</c:f>
              <c:numCache>
                <c:formatCode>#,##0.00\ "€"</c:formatCode>
                <c:ptCount val="4"/>
                <c:pt idx="0">
                  <c:v>50.326379099999997</c:v>
                </c:pt>
                <c:pt idx="1">
                  <c:v>30.889624079999997</c:v>
                </c:pt>
                <c:pt idx="2">
                  <c:v>38.276946330000001</c:v>
                </c:pt>
                <c:pt idx="3">
                  <c:v>50.115593799999999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6-BE40-BE75-AC93B9593CA1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6-BE40-BE75-AC93B9593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7959504"/>
        <c:axId val="548251936"/>
      </c:barChart>
      <c:catAx>
        <c:axId val="5479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251936"/>
        <c:crosses val="autoZero"/>
        <c:auto val="1"/>
        <c:lblAlgn val="ctr"/>
        <c:lblOffset val="100"/>
        <c:noMultiLvlLbl val="0"/>
      </c:catAx>
      <c:valAx>
        <c:axId val="548251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5479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Invested</a:t>
            </a:r>
            <a:r>
              <a:rPr lang="de-DE" baseline="0"/>
              <a:t> Amount vs. Total Costt per Asset (€)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Amount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(Summary!$D$2,Summary!$D$3,Summary!$D$4,Summary!$D$5)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4-EB4E-B9A2-5659C0091C7C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4-EB4E-B9A2-5659C0091C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042656"/>
        <c:axId val="2070526016"/>
      </c:barChart>
      <c:catAx>
        <c:axId val="6090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526016"/>
        <c:crosses val="autoZero"/>
        <c:auto val="1"/>
        <c:lblAlgn val="ctr"/>
        <c:lblOffset val="100"/>
        <c:noMultiLvlLbl val="0"/>
      </c:catAx>
      <c:valAx>
        <c:axId val="2070526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6090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Portfolio Allocation –</a:t>
            </a:r>
            <a:r>
              <a:rPr lang="de-DE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Fixed Plan Starting June 2025</a:t>
            </a:r>
            <a:endParaRPr lang="de-DE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8B7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00A-1347-B503-100D00E163B5}"/>
              </c:ext>
            </c:extLst>
          </c:dPt>
          <c:dPt>
            <c:idx val="1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A-1347-B503-100D00E163B5}"/>
              </c:ext>
            </c:extLst>
          </c:dPt>
          <c:dPt>
            <c:idx val="2"/>
            <c:bubble3D val="0"/>
            <c:spPr>
              <a:solidFill>
                <a:srgbClr val="6D81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A-1347-B503-100D00E163B5}"/>
              </c:ext>
            </c:extLst>
          </c:dPt>
          <c:dPt>
            <c:idx val="3"/>
            <c:bubble3D val="0"/>
            <c:spPr>
              <a:solidFill>
                <a:srgbClr val="D8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A-1347-B503-100D00E163B5}"/>
              </c:ext>
            </c:extLst>
          </c:dPt>
          <c:dPt>
            <c:idx val="4"/>
            <c:bubble3D val="0"/>
            <c:spPr>
              <a:solidFill>
                <a:srgbClr val="5C58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A-1347-B503-100D00E163B5}"/>
              </c:ext>
            </c:extLst>
          </c:dPt>
          <c:dPt>
            <c:idx val="5"/>
            <c:bubble3D val="0"/>
            <c:spPr>
              <a:solidFill>
                <a:srgbClr val="6D6A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A-1347-B503-100D00E163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('Fixed Investment Plan'!$A$3,'Fixed Investment Plan'!$A$4,'Fixed Investment Plan'!$A$5,'Fixed Investment Plan'!$A$6,'Fixed Investment Plan'!$A$7,'Fixed Investment Plan'!$A$8)</c:f>
              <c:strCache>
                <c:ptCount val="6"/>
                <c:pt idx="0">
                  <c:v>Amundi Nasdaq 100</c:v>
                </c:pt>
                <c:pt idx="1">
                  <c:v>Scalable MSCI AC World</c:v>
                </c:pt>
                <c:pt idx="2">
                  <c:v>VanEck Defense</c:v>
                </c:pt>
                <c:pt idx="3">
                  <c:v>iShares Physical Gold</c:v>
                </c:pt>
                <c:pt idx="4">
                  <c:v>ASML Holding N.V.</c:v>
                </c:pt>
                <c:pt idx="5">
                  <c:v>Rheinmetall AG</c:v>
                </c:pt>
              </c:strCache>
            </c:strRef>
          </c:cat>
          <c:val>
            <c:numRef>
              <c:f>('Fixed Investment Plan'!$E$3,'Fixed Investment Plan'!$E$4,'Fixed Investment Plan'!$E$5,'Fixed Investment Plan'!$E$6,'Fixed Investment Plan'!$E$7,'Fixed Investment Plan'!$E$8)</c:f>
              <c:numCache>
                <c:formatCode>0%</c:formatCode>
                <c:ptCount val="6"/>
                <c:pt idx="0">
                  <c:v>0.20833333333333334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A-1347-B503-100D00E163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33121</xdr:colOff>
      <xdr:row>4</xdr:row>
      <xdr:rowOff>41191</xdr:rowOff>
    </xdr:from>
    <xdr:to>
      <xdr:col>29</xdr:col>
      <xdr:colOff>617838</xdr:colOff>
      <xdr:row>76</xdr:row>
      <xdr:rowOff>68649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1CF2DD-AAB3-1C13-0817-E76E9314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49633</xdr:colOff>
      <xdr:row>8</xdr:row>
      <xdr:rowOff>195828</xdr:rowOff>
    </xdr:from>
    <xdr:to>
      <xdr:col>42</xdr:col>
      <xdr:colOff>794633</xdr:colOff>
      <xdr:row>37</xdr:row>
      <xdr:rowOff>71328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A00135-E91B-9750-8D91-18429D55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34304</xdr:colOff>
      <xdr:row>42</xdr:row>
      <xdr:rowOff>209331</xdr:rowOff>
    </xdr:from>
    <xdr:to>
      <xdr:col>42</xdr:col>
      <xdr:colOff>779304</xdr:colOff>
      <xdr:row>71</xdr:row>
      <xdr:rowOff>63664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73FEFD-EE57-4B45-9496-D30A52C5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21605</xdr:colOff>
      <xdr:row>2</xdr:row>
      <xdr:rowOff>130822</xdr:rowOff>
    </xdr:from>
    <xdr:to>
      <xdr:col>17</xdr:col>
      <xdr:colOff>148271</xdr:colOff>
      <xdr:row>46</xdr:row>
      <xdr:rowOff>82022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CAC66F-B218-F739-166F-30A291F1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7DE-2B2C-AC42-87B5-C4EB1B316CC6}">
  <dimension ref="A1:W22"/>
  <sheetViews>
    <sheetView zoomScale="120" zoomScaleNormal="120" workbookViewId="0">
      <pane ySplit="1" topLeftCell="A2" activePane="bottomLeft" state="frozen"/>
      <selection pane="bottomLeft" activeCell="V20" sqref="V20"/>
    </sheetView>
  </sheetViews>
  <sheetFormatPr baseColWidth="10" defaultRowHeight="16" x14ac:dyDescent="0.2"/>
  <cols>
    <col min="1" max="1" width="17.6640625" style="40" bestFit="1" customWidth="1"/>
    <col min="2" max="2" width="17.83203125" style="42" bestFit="1" customWidth="1"/>
    <col min="3" max="3" width="16.33203125" style="37" bestFit="1" customWidth="1"/>
    <col min="4" max="4" width="39.33203125" style="37" bestFit="1" customWidth="1"/>
    <col min="5" max="5" width="20.33203125" style="37" bestFit="1" customWidth="1"/>
    <col min="6" max="6" width="10.5" style="47" bestFit="1" customWidth="1"/>
    <col min="7" max="7" width="19.5" style="47" bestFit="1" customWidth="1"/>
    <col min="8" max="8" width="15" style="87" bestFit="1" customWidth="1"/>
    <col min="9" max="9" width="15.6640625" style="37" bestFit="1" customWidth="1"/>
    <col min="10" max="10" width="17.5" style="87" bestFit="1" customWidth="1"/>
    <col min="11" max="11" width="28" style="37" bestFit="1" customWidth="1"/>
    <col min="12" max="12" width="16.6640625" style="87" bestFit="1" customWidth="1"/>
    <col min="13" max="13" width="10.83203125" style="37"/>
    <col min="14" max="14" width="22.5" style="37" bestFit="1" customWidth="1"/>
    <col min="15" max="15" width="15.5" style="37" bestFit="1" customWidth="1"/>
    <col min="16" max="16" width="14.6640625" style="98" bestFit="1" customWidth="1"/>
    <col min="17" max="17" width="19.83203125" style="37" bestFit="1" customWidth="1"/>
    <col min="18" max="18" width="15.83203125" style="42" bestFit="1" customWidth="1"/>
    <col min="19" max="19" width="20.6640625" style="42" bestFit="1" customWidth="1"/>
    <col min="20" max="20" width="63" style="37" bestFit="1" customWidth="1"/>
    <col min="21" max="21" width="12.83203125" style="42" bestFit="1" customWidth="1"/>
    <col min="22" max="22" width="7.33203125" style="42" bestFit="1" customWidth="1"/>
    <col min="23" max="23" width="114.1640625" style="37" bestFit="1" customWidth="1"/>
    <col min="24" max="16384" width="10.83203125" style="37"/>
  </cols>
  <sheetData>
    <row r="1" spans="1:23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21" t="s">
        <v>15</v>
      </c>
      <c r="Q1" s="22" t="s">
        <v>16</v>
      </c>
      <c r="R1" s="16" t="s">
        <v>17</v>
      </c>
      <c r="S1" s="16" t="s">
        <v>18</v>
      </c>
      <c r="T1" s="16" t="s">
        <v>19</v>
      </c>
      <c r="U1" s="23" t="s">
        <v>20</v>
      </c>
      <c r="V1" s="24" t="s">
        <v>21</v>
      </c>
      <c r="W1" s="25" t="s">
        <v>22</v>
      </c>
    </row>
    <row r="2" spans="1:23" x14ac:dyDescent="0.2">
      <c r="A2" s="1">
        <v>45786</v>
      </c>
      <c r="B2" s="2">
        <v>0.60763888888888884</v>
      </c>
      <c r="C2" s="3" t="s">
        <v>23</v>
      </c>
      <c r="D2" s="4" t="s">
        <v>24</v>
      </c>
      <c r="E2" s="3" t="s">
        <v>25</v>
      </c>
      <c r="F2" s="13">
        <v>1.155268</v>
      </c>
      <c r="G2" s="41">
        <f>SUMIFS(F$2:F2, D$2:D2, D2, V$2:V2, "Yes")</f>
        <v>0</v>
      </c>
      <c r="H2" s="6">
        <v>8.66</v>
      </c>
      <c r="I2" s="6">
        <f>IFERROR(VLOOKUP(D2,Kurse!$A:$E,2,FALSE),0)</f>
        <v>8.86</v>
      </c>
      <c r="J2" s="6">
        <v>10</v>
      </c>
      <c r="K2" s="6">
        <f>SUMIFS($J2:J$3, $D2:D$3, D2, $V2:V$3, "Yes")</f>
        <v>0</v>
      </c>
      <c r="L2" s="6">
        <v>1</v>
      </c>
      <c r="M2" s="6" t="str">
        <f>IF(V2="Yes",J2+L2,"")</f>
        <v/>
      </c>
      <c r="N2" s="6">
        <f>SUMIFS($M2:M$3, $D2:D$3, D2, $V2:V$3, "Yes")</f>
        <v>0</v>
      </c>
      <c r="O2" s="5" t="str">
        <f>IF(V2="Yes",F2*I2,"")</f>
        <v/>
      </c>
      <c r="P2" s="7">
        <v>0</v>
      </c>
      <c r="Q2" s="8">
        <f t="shared" ref="Q2:Q22" si="0">IFERROR(O2*P2,0)</f>
        <v>0</v>
      </c>
      <c r="R2" s="3" t="s">
        <v>26</v>
      </c>
      <c r="S2" s="3" t="s">
        <v>27</v>
      </c>
      <c r="T2" s="9" t="s">
        <v>28</v>
      </c>
      <c r="U2" s="10" t="s">
        <v>29</v>
      </c>
      <c r="V2" s="11" t="s">
        <v>30</v>
      </c>
      <c r="W2" s="12" t="s">
        <v>31</v>
      </c>
    </row>
    <row r="3" spans="1:23" x14ac:dyDescent="0.2">
      <c r="A3" s="26">
        <v>45789</v>
      </c>
      <c r="B3" s="27">
        <v>0.46250000000000002</v>
      </c>
      <c r="C3" s="28" t="s">
        <v>32</v>
      </c>
      <c r="D3" s="29" t="s">
        <v>33</v>
      </c>
      <c r="E3" s="28" t="s">
        <v>34</v>
      </c>
      <c r="F3" s="29">
        <v>9.3785999999999994E-2</v>
      </c>
      <c r="G3" s="29">
        <f>SUMIFS(F$3:F3, D$3:D3, D3, V$3:V3, "Yes")</f>
        <v>9.3785999999999994E-2</v>
      </c>
      <c r="H3" s="31">
        <v>213.25</v>
      </c>
      <c r="I3" s="31">
        <f>IFERROR(VLOOKUP(D3,Kurse!$A:$E,2,FALSE),0)</f>
        <v>214.35</v>
      </c>
      <c r="J3" s="31">
        <v>20</v>
      </c>
      <c r="K3" s="31">
        <f>SUMIFS($J$3:J3, $D$3:D3, D3, $V$3:V3, "Yes")</f>
        <v>20</v>
      </c>
      <c r="L3" s="31">
        <v>0</v>
      </c>
      <c r="M3" s="31">
        <f t="shared" ref="M3:M22" si="1">IF(V3="Yes",J3+L3,"")</f>
        <v>20</v>
      </c>
      <c r="N3" s="31">
        <f>SUMIFS($M$3:M3, $D$3:D3, D3, $V$3:V3, "Yes")</f>
        <v>20</v>
      </c>
      <c r="O3" s="30">
        <f t="shared" ref="O3:O22" si="2">IF(V3="Yes",F3*I3,"")</f>
        <v>20.103029099999997</v>
      </c>
      <c r="P3" s="32">
        <v>0</v>
      </c>
      <c r="Q3" s="33">
        <f t="shared" si="0"/>
        <v>0</v>
      </c>
      <c r="R3" s="28" t="s">
        <v>35</v>
      </c>
      <c r="S3" s="28" t="s">
        <v>36</v>
      </c>
      <c r="T3" s="34" t="s">
        <v>37</v>
      </c>
      <c r="U3" s="35" t="s">
        <v>29</v>
      </c>
      <c r="V3" s="36" t="s">
        <v>38</v>
      </c>
    </row>
    <row r="4" spans="1:23" x14ac:dyDescent="0.2">
      <c r="A4" s="1">
        <v>45789</v>
      </c>
      <c r="B4" s="2">
        <v>0.47291666666666665</v>
      </c>
      <c r="C4" s="3" t="s">
        <v>32</v>
      </c>
      <c r="D4" s="4" t="s">
        <v>39</v>
      </c>
      <c r="E4" s="3" t="s">
        <v>40</v>
      </c>
      <c r="F4" s="4">
        <v>2.3581189999999999</v>
      </c>
      <c r="G4" s="4">
        <f>SUMIFS(F$3:F4, D$3:D4, D4, V$3:V4, "Yes")</f>
        <v>0</v>
      </c>
      <c r="H4" s="6">
        <v>12.722</v>
      </c>
      <c r="I4" s="6">
        <f>IFERROR(VLOOKUP(D4,Kurse!$A:$E,2,FALSE),0)</f>
        <v>12.26</v>
      </c>
      <c r="J4" s="6">
        <v>30</v>
      </c>
      <c r="K4" s="6">
        <f>SUMIFS($J$3:J4, $D$3:D4, D4, $V$3:V4, "Yes")</f>
        <v>0</v>
      </c>
      <c r="L4" s="6">
        <v>0</v>
      </c>
      <c r="M4" s="6" t="str">
        <f t="shared" si="1"/>
        <v/>
      </c>
      <c r="N4" s="6">
        <f>SUMIFS($M$3:M4, $D$3:D4, D4, $V$3:V4, "Yes")</f>
        <v>0</v>
      </c>
      <c r="O4" s="5" t="str">
        <f t="shared" si="2"/>
        <v/>
      </c>
      <c r="P4" s="7">
        <v>0</v>
      </c>
      <c r="Q4" s="8">
        <f t="shared" si="0"/>
        <v>0</v>
      </c>
      <c r="R4" s="3" t="s">
        <v>35</v>
      </c>
      <c r="S4" s="3" t="s">
        <v>27</v>
      </c>
      <c r="T4" s="9" t="s">
        <v>26</v>
      </c>
      <c r="U4" s="10" t="s">
        <v>29</v>
      </c>
      <c r="V4" s="11" t="s">
        <v>30</v>
      </c>
      <c r="W4" s="12" t="s">
        <v>94</v>
      </c>
    </row>
    <row r="5" spans="1:23" x14ac:dyDescent="0.2">
      <c r="A5" s="26">
        <v>45789</v>
      </c>
      <c r="B5" s="27">
        <v>0.47916666666666669</v>
      </c>
      <c r="C5" s="28" t="s">
        <v>32</v>
      </c>
      <c r="D5" s="29" t="s">
        <v>41</v>
      </c>
      <c r="E5" s="28" t="s">
        <v>42</v>
      </c>
      <c r="F5" s="29">
        <v>3.254149</v>
      </c>
      <c r="G5" s="29">
        <f>SUMIFS(F$3:F5, D$3:D5, D5, V$3:V5, "Yes")</f>
        <v>3.254149</v>
      </c>
      <c r="H5" s="31">
        <v>9.2189999999999994</v>
      </c>
      <c r="I5" s="31">
        <f>IFERROR(VLOOKUP(D5,Kurse!$A:$E,2,FALSE),0)</f>
        <v>9.17</v>
      </c>
      <c r="J5" s="31">
        <v>30</v>
      </c>
      <c r="K5" s="31">
        <f>SUMIFS($J$3:J5, $D$3:D5, D5, $V$3:V5, "Yes")</f>
        <v>30</v>
      </c>
      <c r="L5" s="31">
        <v>0</v>
      </c>
      <c r="M5" s="31">
        <f t="shared" si="1"/>
        <v>30</v>
      </c>
      <c r="N5" s="31">
        <f>SUMIFS($M$3:M5, $D$3:D5, D5, $V$3:V5, "Yes")</f>
        <v>30</v>
      </c>
      <c r="O5" s="30">
        <f t="shared" si="2"/>
        <v>29.840546329999999</v>
      </c>
      <c r="P5" s="32">
        <v>0</v>
      </c>
      <c r="Q5" s="33">
        <f t="shared" si="0"/>
        <v>0</v>
      </c>
      <c r="R5" s="28" t="s">
        <v>35</v>
      </c>
      <c r="S5" s="28" t="s">
        <v>36</v>
      </c>
      <c r="T5" s="34" t="s">
        <v>37</v>
      </c>
      <c r="U5" s="35" t="s">
        <v>29</v>
      </c>
      <c r="V5" s="36" t="s">
        <v>38</v>
      </c>
    </row>
    <row r="6" spans="1:23" x14ac:dyDescent="0.2">
      <c r="A6" s="26">
        <v>45789</v>
      </c>
      <c r="B6" s="27">
        <v>0.48402777777777778</v>
      </c>
      <c r="C6" s="28" t="s">
        <v>32</v>
      </c>
      <c r="D6" s="29" t="s">
        <v>43</v>
      </c>
      <c r="E6" s="28" t="s">
        <v>44</v>
      </c>
      <c r="F6" s="29">
        <v>0.88920500000000002</v>
      </c>
      <c r="G6" s="29">
        <f>SUMIFS(F$3:F6, D$3:D6, D6, V$3:V6, "Yes")</f>
        <v>0.88920500000000002</v>
      </c>
      <c r="H6" s="31">
        <v>56.23</v>
      </c>
      <c r="I6" s="31">
        <f>IFERROR(VLOOKUP(D6,Kurse!$A:$E,2,FALSE),0)</f>
        <v>56.36</v>
      </c>
      <c r="J6" s="31">
        <v>50</v>
      </c>
      <c r="K6" s="31">
        <f>SUMIFS($J$3:J6, $D$3:D6, D6, $V$3:V6, "Yes")</f>
        <v>50</v>
      </c>
      <c r="L6" s="31">
        <v>0</v>
      </c>
      <c r="M6" s="31">
        <f t="shared" si="1"/>
        <v>50</v>
      </c>
      <c r="N6" s="31">
        <f>SUMIFS($M$3:M6, $D$3:D6, D6, $V$3:V6, "Yes")</f>
        <v>50</v>
      </c>
      <c r="O6" s="30">
        <f t="shared" si="2"/>
        <v>50.115593799999999</v>
      </c>
      <c r="P6" s="32">
        <v>0</v>
      </c>
      <c r="Q6" s="33">
        <f t="shared" si="0"/>
        <v>0</v>
      </c>
      <c r="R6" s="28" t="s">
        <v>35</v>
      </c>
      <c r="S6" s="28" t="s">
        <v>36</v>
      </c>
      <c r="T6" s="34" t="s">
        <v>37</v>
      </c>
      <c r="U6" s="35" t="s">
        <v>45</v>
      </c>
      <c r="V6" s="36" t="s">
        <v>38</v>
      </c>
    </row>
    <row r="7" spans="1:23" x14ac:dyDescent="0.2">
      <c r="A7" s="26">
        <v>45789</v>
      </c>
      <c r="B7" s="27">
        <v>0.49652777777777779</v>
      </c>
      <c r="C7" s="28" t="s">
        <v>32</v>
      </c>
      <c r="D7" s="29" t="s">
        <v>46</v>
      </c>
      <c r="E7" s="28" t="s">
        <v>47</v>
      </c>
      <c r="F7" s="29">
        <v>0.65416399999999997</v>
      </c>
      <c r="G7" s="29">
        <f>SUMIFS(F$3:F7, D$3:D7, D7, V$3:V7, "Yes")</f>
        <v>0.65416399999999997</v>
      </c>
      <c r="H7" s="31">
        <v>45.86</v>
      </c>
      <c r="I7" s="31">
        <f>IFERROR(VLOOKUP(D7,Kurse!$A:$E,2,FALSE),0)</f>
        <v>47.22</v>
      </c>
      <c r="J7" s="31">
        <v>30</v>
      </c>
      <c r="K7" s="31">
        <f>SUMIFS($J$3:J7, $D$3:D7, D7, $V$3:V7, "Yes")</f>
        <v>30</v>
      </c>
      <c r="L7" s="31">
        <v>0</v>
      </c>
      <c r="M7" s="31">
        <f t="shared" si="1"/>
        <v>30</v>
      </c>
      <c r="N7" s="31">
        <f>SUMIFS($M$3:M7, $D$3:D7, D7, $V$3:V7, "Yes")</f>
        <v>30</v>
      </c>
      <c r="O7" s="30">
        <f t="shared" si="2"/>
        <v>30.889624079999997</v>
      </c>
      <c r="P7" s="32">
        <v>0</v>
      </c>
      <c r="Q7" s="33">
        <f t="shared" si="0"/>
        <v>0</v>
      </c>
      <c r="R7" s="28" t="s">
        <v>35</v>
      </c>
      <c r="S7" s="28" t="s">
        <v>36</v>
      </c>
      <c r="T7" s="34" t="s">
        <v>37</v>
      </c>
      <c r="U7" s="35" t="s">
        <v>29</v>
      </c>
      <c r="V7" s="36" t="s">
        <v>38</v>
      </c>
    </row>
    <row r="8" spans="1:23" x14ac:dyDescent="0.2">
      <c r="A8" s="1">
        <v>45789</v>
      </c>
      <c r="B8" s="2">
        <v>0.49722222222222223</v>
      </c>
      <c r="C8" s="3" t="s">
        <v>32</v>
      </c>
      <c r="D8" s="4" t="s">
        <v>48</v>
      </c>
      <c r="E8" s="3" t="s">
        <v>49</v>
      </c>
      <c r="F8" s="4">
        <v>0.71658900000000003</v>
      </c>
      <c r="G8" s="4">
        <f>SUMIFS(F$3:F8, D$3:D8, D8, V$3:V8, "Yes")</f>
        <v>0</v>
      </c>
      <c r="H8" s="6">
        <v>55.82</v>
      </c>
      <c r="I8" s="6">
        <f>IFERROR(VLOOKUP(D8,Kurse!$A:$E,2,FALSE),0)</f>
        <v>54.61</v>
      </c>
      <c r="J8" s="6">
        <v>40</v>
      </c>
      <c r="K8" s="6">
        <f>SUMIFS($J$3:J8, $D$3:D8, D8, $V$3:V8, "Yes")</f>
        <v>0</v>
      </c>
      <c r="L8" s="6">
        <v>0</v>
      </c>
      <c r="M8" s="6" t="str">
        <f t="shared" si="1"/>
        <v/>
      </c>
      <c r="N8" s="6">
        <f>SUMIFS($M$3:M8, $D$3:D8, D8, $V$3:V8, "Yes")</f>
        <v>0</v>
      </c>
      <c r="O8" s="5" t="str">
        <f t="shared" si="2"/>
        <v/>
      </c>
      <c r="P8" s="7">
        <v>0</v>
      </c>
      <c r="Q8" s="8">
        <f t="shared" si="0"/>
        <v>0</v>
      </c>
      <c r="R8" s="3" t="s">
        <v>26</v>
      </c>
      <c r="S8" s="3" t="s">
        <v>27</v>
      </c>
      <c r="T8" s="9" t="s">
        <v>26</v>
      </c>
      <c r="U8" s="10" t="s">
        <v>29</v>
      </c>
      <c r="V8" s="11" t="s">
        <v>30</v>
      </c>
      <c r="W8" s="12" t="s">
        <v>93</v>
      </c>
    </row>
    <row r="9" spans="1:23" x14ac:dyDescent="0.2">
      <c r="A9" s="1">
        <v>45793</v>
      </c>
      <c r="B9" s="2">
        <v>0.5805555555555556</v>
      </c>
      <c r="C9" s="3" t="s">
        <v>23</v>
      </c>
      <c r="D9" s="4" t="s">
        <v>24</v>
      </c>
      <c r="E9" s="3" t="s">
        <v>25</v>
      </c>
      <c r="F9" s="4">
        <v>1.0745750000000001</v>
      </c>
      <c r="G9" s="4">
        <f>SUMIFS(F$3:F9, D$3:D9, D9, V$3:V9, "Yes")</f>
        <v>0</v>
      </c>
      <c r="H9" s="6">
        <v>9.31</v>
      </c>
      <c r="I9" s="6">
        <f>IFERROR(VLOOKUP(D9,Kurse!$A:$E,2,FALSE),0)</f>
        <v>8.86</v>
      </c>
      <c r="J9" s="6">
        <v>10</v>
      </c>
      <c r="K9" s="6">
        <f>SUMIFS($J$3:J9, $D$3:D9, D9, $V$3:V9, "Yes")</f>
        <v>0</v>
      </c>
      <c r="L9" s="6">
        <v>0</v>
      </c>
      <c r="M9" s="6" t="str">
        <f t="shared" si="1"/>
        <v/>
      </c>
      <c r="N9" s="6">
        <f>SUMIFS($M$3:M9, $D$3:D9, D9, $V$3:V9, "Yes")</f>
        <v>0</v>
      </c>
      <c r="O9" s="5" t="str">
        <f t="shared" si="2"/>
        <v/>
      </c>
      <c r="P9" s="7">
        <v>0</v>
      </c>
      <c r="Q9" s="8">
        <f t="shared" si="0"/>
        <v>0</v>
      </c>
      <c r="R9" s="3" t="s">
        <v>26</v>
      </c>
      <c r="S9" s="3" t="s">
        <v>27</v>
      </c>
      <c r="T9" s="9" t="s">
        <v>26</v>
      </c>
      <c r="U9" s="10" t="s">
        <v>29</v>
      </c>
      <c r="V9" s="11" t="s">
        <v>30</v>
      </c>
      <c r="W9" s="12" t="s">
        <v>50</v>
      </c>
    </row>
    <row r="10" spans="1:23" x14ac:dyDescent="0.2">
      <c r="A10" s="1">
        <v>45793</v>
      </c>
      <c r="B10" s="2">
        <v>0.66736111111111107</v>
      </c>
      <c r="C10" s="3" t="s">
        <v>23</v>
      </c>
      <c r="D10" s="4" t="s">
        <v>51</v>
      </c>
      <c r="E10" s="3" t="s">
        <v>52</v>
      </c>
      <c r="F10" s="4">
        <v>3.7919000000000001E-2</v>
      </c>
      <c r="G10" s="4">
        <f>SUMIFS(F$3:F10, D$3:D10, D10, V$3:V10, "Yes")</f>
        <v>0</v>
      </c>
      <c r="H10" s="6">
        <v>131.86000000000001</v>
      </c>
      <c r="I10" s="6">
        <f>IFERROR(VLOOKUP(D10,Kurse!$A:$E,2,FALSE),0)</f>
        <v>127.62</v>
      </c>
      <c r="J10" s="6">
        <v>5</v>
      </c>
      <c r="K10" s="6">
        <f>SUMIFS($J$3:J10, $D$3:D10, D10, $V$3:V10, "Yes")</f>
        <v>0</v>
      </c>
      <c r="L10" s="6">
        <v>0</v>
      </c>
      <c r="M10" s="6" t="str">
        <f t="shared" si="1"/>
        <v/>
      </c>
      <c r="N10" s="6">
        <f>SUMIFS($M$3:M10, $D$3:D10, D10, $V$3:V10, "Yes")</f>
        <v>0</v>
      </c>
      <c r="O10" s="5" t="str">
        <f t="shared" si="2"/>
        <v/>
      </c>
      <c r="P10" s="7">
        <v>0</v>
      </c>
      <c r="Q10" s="8">
        <f t="shared" si="0"/>
        <v>0</v>
      </c>
      <c r="R10" s="3" t="s">
        <v>26</v>
      </c>
      <c r="S10" s="3" t="s">
        <v>27</v>
      </c>
      <c r="T10" s="9" t="s">
        <v>26</v>
      </c>
      <c r="U10" s="10" t="s">
        <v>29</v>
      </c>
      <c r="V10" s="11" t="s">
        <v>30</v>
      </c>
      <c r="W10" s="12" t="s">
        <v>53</v>
      </c>
    </row>
    <row r="11" spans="1:23" x14ac:dyDescent="0.2">
      <c r="A11" s="1">
        <v>45793</v>
      </c>
      <c r="B11" s="2">
        <v>0.56736111111111109</v>
      </c>
      <c r="C11" s="3" t="s">
        <v>23</v>
      </c>
      <c r="D11" s="4" t="s">
        <v>64</v>
      </c>
      <c r="E11" s="3" t="s">
        <v>55</v>
      </c>
      <c r="F11" s="4">
        <v>0.266347</v>
      </c>
      <c r="G11" s="4">
        <f>SUMIFS(F$3:F11, D$3:D11, D11, V$3:V11, "Yes")</f>
        <v>0</v>
      </c>
      <c r="H11" s="6">
        <v>37.549999999999997</v>
      </c>
      <c r="I11" s="6">
        <f>IFERROR(VLOOKUP(D11,Kurse!$A:$E,2,FALSE),0)</f>
        <v>35.29</v>
      </c>
      <c r="J11" s="6">
        <v>10</v>
      </c>
      <c r="K11" s="6">
        <f>SUMIFS($J$3:J11, $D$3:D11, D11, $V$3:V11, "Yes")</f>
        <v>0</v>
      </c>
      <c r="L11" s="6">
        <v>0</v>
      </c>
      <c r="M11" s="6" t="str">
        <f t="shared" si="1"/>
        <v/>
      </c>
      <c r="N11" s="6">
        <f>SUMIFS($M$3:M11, $D$3:D11, D11, $V$3:V11, "Yes")</f>
        <v>0</v>
      </c>
      <c r="O11" s="5" t="str">
        <f t="shared" si="2"/>
        <v/>
      </c>
      <c r="P11" s="7">
        <v>0</v>
      </c>
      <c r="Q11" s="8">
        <f t="shared" si="0"/>
        <v>0</v>
      </c>
      <c r="R11" s="3" t="s">
        <v>26</v>
      </c>
      <c r="S11" s="3" t="s">
        <v>27</v>
      </c>
      <c r="T11" s="9" t="s">
        <v>26</v>
      </c>
      <c r="U11" s="10" t="s">
        <v>29</v>
      </c>
      <c r="V11" s="11" t="s">
        <v>30</v>
      </c>
      <c r="W11" s="12" t="s">
        <v>56</v>
      </c>
    </row>
    <row r="12" spans="1:23" x14ac:dyDescent="0.2">
      <c r="A12" s="1">
        <v>45793</v>
      </c>
      <c r="B12" s="2">
        <v>0.47916666666666669</v>
      </c>
      <c r="C12" s="3" t="s">
        <v>23</v>
      </c>
      <c r="D12" s="4" t="s">
        <v>57</v>
      </c>
      <c r="E12" s="3" t="s">
        <v>58</v>
      </c>
      <c r="F12" s="4">
        <v>5.8120000000000003E-3</v>
      </c>
      <c r="G12" s="4">
        <f>SUMIFS(F$3:F12, D$3:D12, D12, V$3:V12, "Yes")</f>
        <v>0</v>
      </c>
      <c r="H12" s="6">
        <v>1720.5</v>
      </c>
      <c r="I12" s="6">
        <f>IFERROR(VLOOKUP(D12,Kurse!$A:$E,2,FALSE),0)</f>
        <v>1882.5</v>
      </c>
      <c r="J12" s="6">
        <v>10</v>
      </c>
      <c r="K12" s="6">
        <f>SUMIFS($J$3:J12, $D$3:D12, D12, $V$3:V12, "Yes")</f>
        <v>0</v>
      </c>
      <c r="L12" s="6">
        <v>0</v>
      </c>
      <c r="M12" s="6" t="str">
        <f t="shared" si="1"/>
        <v/>
      </c>
      <c r="N12" s="6">
        <f>SUMIFS($M$3:M12, $D$3:D12, D12, $V$3:V12, "Yes")</f>
        <v>0</v>
      </c>
      <c r="O12" s="5" t="str">
        <f t="shared" si="2"/>
        <v/>
      </c>
      <c r="P12" s="7">
        <v>4.7000000000000002E-3</v>
      </c>
      <c r="Q12" s="8">
        <f t="shared" si="0"/>
        <v>0</v>
      </c>
      <c r="R12" s="3" t="s">
        <v>26</v>
      </c>
      <c r="S12" s="3" t="s">
        <v>36</v>
      </c>
      <c r="T12" s="9" t="s">
        <v>26</v>
      </c>
      <c r="U12" s="10" t="s">
        <v>59</v>
      </c>
      <c r="V12" s="11" t="s">
        <v>30</v>
      </c>
      <c r="W12" s="12" t="s">
        <v>115</v>
      </c>
    </row>
    <row r="13" spans="1:23" x14ac:dyDescent="0.2">
      <c r="A13" s="1">
        <v>45796</v>
      </c>
      <c r="B13" s="2">
        <v>0.46875</v>
      </c>
      <c r="C13" s="3" t="s">
        <v>23</v>
      </c>
      <c r="D13" s="4" t="s">
        <v>60</v>
      </c>
      <c r="E13" s="3" t="s">
        <v>61</v>
      </c>
      <c r="F13" s="4">
        <v>3.8137999999999998E-2</v>
      </c>
      <c r="G13" s="4">
        <v>3.8137999999999998E-2</v>
      </c>
      <c r="H13" s="6">
        <v>681.72</v>
      </c>
      <c r="I13" s="6">
        <f>IFERROR(VLOOKUP(D13,Kurse!$A:$E,2,FALSE),0)</f>
        <v>650</v>
      </c>
      <c r="J13" s="6">
        <v>25</v>
      </c>
      <c r="K13" s="6">
        <v>25</v>
      </c>
      <c r="L13" s="6">
        <v>1</v>
      </c>
      <c r="M13" s="6" t="str">
        <f t="shared" si="1"/>
        <v/>
      </c>
      <c r="N13" s="6">
        <f>SUMIFS($M$3:M13, $D$3:D13, D13, $V$3:V13, "Yes")</f>
        <v>0</v>
      </c>
      <c r="O13" s="5" t="str">
        <f t="shared" si="2"/>
        <v/>
      </c>
      <c r="P13" s="7">
        <v>9.7000000000000003E-3</v>
      </c>
      <c r="Q13" s="8">
        <f t="shared" si="0"/>
        <v>0</v>
      </c>
      <c r="R13" s="3" t="s">
        <v>26</v>
      </c>
      <c r="S13" s="3" t="s">
        <v>36</v>
      </c>
      <c r="T13" s="9" t="s">
        <v>26</v>
      </c>
      <c r="U13" s="10" t="s">
        <v>59</v>
      </c>
      <c r="V13" s="11" t="s">
        <v>30</v>
      </c>
      <c r="W13" s="12" t="s">
        <v>116</v>
      </c>
    </row>
    <row r="14" spans="1:23" x14ac:dyDescent="0.2">
      <c r="A14" s="26">
        <v>45799</v>
      </c>
      <c r="B14" s="27">
        <v>0.49583333333333335</v>
      </c>
      <c r="C14" s="28" t="s">
        <v>32</v>
      </c>
      <c r="D14" s="29" t="s">
        <v>33</v>
      </c>
      <c r="E14" s="28" t="s">
        <v>34</v>
      </c>
      <c r="F14" s="29">
        <v>0.14099999999999999</v>
      </c>
      <c r="G14" s="29">
        <f>SUMIFS(F$3:F14, D$3:D14, D14, V$3:V14, "Yes")</f>
        <v>0.23478599999999999</v>
      </c>
      <c r="H14" s="31">
        <v>213.5</v>
      </c>
      <c r="I14" s="31">
        <f>IFERROR(VLOOKUP(D14,Kurse!$A:$E,2,FALSE),0)</f>
        <v>214.35</v>
      </c>
      <c r="J14" s="31">
        <v>30</v>
      </c>
      <c r="K14" s="31">
        <f>SUMIFS($J$3:J14, $D$3:D14, D14, $V$3:V14, "Yes")</f>
        <v>50</v>
      </c>
      <c r="L14" s="31">
        <v>0</v>
      </c>
      <c r="M14" s="31">
        <f t="shared" si="1"/>
        <v>30</v>
      </c>
      <c r="N14" s="31">
        <f>SUMIFS($M$3:M14, $D$3:D14, D14, $V$3:V14, "Yes")</f>
        <v>50</v>
      </c>
      <c r="O14" s="30">
        <f t="shared" si="2"/>
        <v>30.223349999999996</v>
      </c>
      <c r="P14" s="32">
        <v>0</v>
      </c>
      <c r="Q14" s="33">
        <f t="shared" si="0"/>
        <v>0</v>
      </c>
      <c r="R14" s="28" t="s">
        <v>65</v>
      </c>
      <c r="S14" s="28" t="s">
        <v>36</v>
      </c>
      <c r="T14" s="34" t="s">
        <v>62</v>
      </c>
      <c r="U14" s="35" t="s">
        <v>29</v>
      </c>
      <c r="V14" s="36" t="s">
        <v>38</v>
      </c>
    </row>
    <row r="15" spans="1:23" x14ac:dyDescent="0.2">
      <c r="A15" s="26">
        <v>45799</v>
      </c>
      <c r="B15" s="38">
        <v>0.46597222222222223</v>
      </c>
      <c r="C15" s="28" t="s">
        <v>32</v>
      </c>
      <c r="D15" s="29" t="s">
        <v>41</v>
      </c>
      <c r="E15" s="28" t="s">
        <v>42</v>
      </c>
      <c r="F15" s="29">
        <v>0.92</v>
      </c>
      <c r="G15" s="29">
        <f>SUMIFS(F$3:F15, D$3:D15, D15, V$3:V15, "Yes")</f>
        <v>4.1741489999999999</v>
      </c>
      <c r="H15" s="31">
        <v>9.17</v>
      </c>
      <c r="I15" s="31">
        <f>IFERROR(VLOOKUP(D15,Kurse!$A:$E,2,FALSE),0)</f>
        <v>9.17</v>
      </c>
      <c r="J15" s="31">
        <v>8.33</v>
      </c>
      <c r="K15" s="31">
        <f>SUMIFS($J$3:J15, $D$3:D15, D15, $V$3:V15, "Yes")</f>
        <v>38.33</v>
      </c>
      <c r="L15" s="31">
        <v>0</v>
      </c>
      <c r="M15" s="31">
        <f t="shared" si="1"/>
        <v>8.33</v>
      </c>
      <c r="N15" s="31">
        <f>SUMIFS($M$3:M15, $D$3:D15, D15, $V$3:V15, "Yes")</f>
        <v>38.33</v>
      </c>
      <c r="O15" s="30">
        <f t="shared" si="2"/>
        <v>8.4364000000000008</v>
      </c>
      <c r="P15" s="32">
        <v>0</v>
      </c>
      <c r="Q15" s="33">
        <f t="shared" si="0"/>
        <v>0</v>
      </c>
      <c r="R15" s="28" t="s">
        <v>65</v>
      </c>
      <c r="S15" s="28" t="s">
        <v>36</v>
      </c>
      <c r="T15" s="34" t="s">
        <v>63</v>
      </c>
      <c r="U15" s="35" t="s">
        <v>29</v>
      </c>
      <c r="V15" s="36" t="s">
        <v>38</v>
      </c>
    </row>
    <row r="16" spans="1:23" x14ac:dyDescent="0.2">
      <c r="A16" s="56">
        <v>45805</v>
      </c>
      <c r="B16" s="116">
        <v>0.54027777777777775</v>
      </c>
      <c r="C16" s="55" t="s">
        <v>23</v>
      </c>
      <c r="D16" s="12" t="s">
        <v>57</v>
      </c>
      <c r="E16" s="55" t="s">
        <v>58</v>
      </c>
      <c r="F16" s="117">
        <v>1.0435E-2</v>
      </c>
      <c r="G16" s="4">
        <f>SUMIFS(F$3:F16, D$3:D16, D16, V$3:V16, "Yes")</f>
        <v>0</v>
      </c>
      <c r="H16" s="115">
        <v>1916.5</v>
      </c>
      <c r="I16" s="6">
        <f>IFERROR(VLOOKUP(D16,Kurse!$A:$E,2,FALSE),0)</f>
        <v>1882.5</v>
      </c>
      <c r="J16" s="115">
        <v>20</v>
      </c>
      <c r="K16" s="6">
        <f>SUMIFS($J$3:J16, $D$3:D16, D16, $V$3:V16, "Yes")</f>
        <v>0</v>
      </c>
      <c r="L16" s="115">
        <v>1</v>
      </c>
      <c r="M16" s="6" t="str">
        <f t="shared" si="1"/>
        <v/>
      </c>
      <c r="N16" s="6">
        <f>SUMIFS($M$3:M16, $D$3:D16, D16, $V$3:V16, "Yes")</f>
        <v>0</v>
      </c>
      <c r="O16" s="5" t="str">
        <f t="shared" si="2"/>
        <v/>
      </c>
      <c r="P16" s="118">
        <v>0</v>
      </c>
      <c r="Q16" s="8">
        <f t="shared" si="0"/>
        <v>0</v>
      </c>
      <c r="R16" s="55" t="s">
        <v>35</v>
      </c>
      <c r="S16" s="55" t="s">
        <v>36</v>
      </c>
      <c r="T16" s="12" t="s">
        <v>26</v>
      </c>
      <c r="U16" s="55" t="s">
        <v>59</v>
      </c>
      <c r="V16" s="55" t="s">
        <v>30</v>
      </c>
      <c r="W16" s="12" t="s">
        <v>114</v>
      </c>
    </row>
    <row r="17" spans="7:17" x14ac:dyDescent="0.2">
      <c r="G17" s="29">
        <f>SUMIFS(F$3:F17, D$3:D17, D17, V$3:V17, "Yes")</f>
        <v>0</v>
      </c>
      <c r="I17" s="31">
        <f>IFERROR(VLOOKUP(D17,Kurse!$A:$E,2,FALSE),0)</f>
        <v>0</v>
      </c>
      <c r="K17" s="31">
        <f>SUMIFS($J$3:J17, $D$3:D17, D17, $V$3:V17, "Yes")</f>
        <v>0</v>
      </c>
      <c r="M17" s="31" t="str">
        <f t="shared" si="1"/>
        <v/>
      </c>
      <c r="N17" s="31">
        <f>SUMIFS($M$3:M17, $D$3:D17, D17, $V$3:V17, "Yes")</f>
        <v>0</v>
      </c>
      <c r="O17" s="30" t="str">
        <f t="shared" si="2"/>
        <v/>
      </c>
      <c r="Q17" s="33">
        <f t="shared" si="0"/>
        <v>0</v>
      </c>
    </row>
    <row r="18" spans="7:17" x14ac:dyDescent="0.2">
      <c r="G18" s="29">
        <f>SUMIFS(F$3:F18, D$3:D18, D18, V$3:V18, "Yes")</f>
        <v>0</v>
      </c>
      <c r="I18" s="31">
        <f>IFERROR(VLOOKUP(D18,Kurse!$A:$E,2,FALSE),0)</f>
        <v>0</v>
      </c>
      <c r="K18" s="31">
        <f>SUMIFS($J$3:J18, $D$3:D18, D18, $V$3:V18, "Yes")</f>
        <v>0</v>
      </c>
      <c r="M18" s="31" t="str">
        <f t="shared" si="1"/>
        <v/>
      </c>
      <c r="N18" s="31">
        <f>SUMIFS($M$3:M18, $D$3:D18, D18, $V$3:V18, "Yes")</f>
        <v>0</v>
      </c>
      <c r="O18" s="30" t="str">
        <f t="shared" si="2"/>
        <v/>
      </c>
      <c r="Q18" s="33">
        <f t="shared" si="0"/>
        <v>0</v>
      </c>
    </row>
    <row r="19" spans="7:17" x14ac:dyDescent="0.2">
      <c r="G19" s="29">
        <f>SUMIFS(F$3:F19, D$3:D19, D19, V$3:V19, "Yes")</f>
        <v>0</v>
      </c>
      <c r="I19" s="31">
        <f>IFERROR(VLOOKUP(D19,Kurse!$A:$E,2,FALSE),0)</f>
        <v>0</v>
      </c>
      <c r="K19" s="31">
        <f>SUMIFS($J$3:J19, $D$3:D19, D19, $V$3:V19, "Yes")</f>
        <v>0</v>
      </c>
      <c r="M19" s="31" t="str">
        <f t="shared" si="1"/>
        <v/>
      </c>
      <c r="N19" s="31">
        <f>SUMIFS($M$3:M19, $D$3:D19, D19, $V$3:V19, "Yes")</f>
        <v>0</v>
      </c>
      <c r="O19" s="30" t="str">
        <f t="shared" si="2"/>
        <v/>
      </c>
      <c r="Q19" s="33">
        <f t="shared" si="0"/>
        <v>0</v>
      </c>
    </row>
    <row r="20" spans="7:17" x14ac:dyDescent="0.2">
      <c r="G20" s="29">
        <f>SUMIFS(F$3:F20, D$3:D20, D20, V$3:V20, "Yes")</f>
        <v>0</v>
      </c>
      <c r="I20" s="31">
        <f>IFERROR(VLOOKUP(D20,Kurse!$A:$E,2,FALSE),0)</f>
        <v>0</v>
      </c>
      <c r="K20" s="31">
        <f>SUMIFS($J$3:J20, $D$3:D20, D20, $V$3:V20, "Yes")</f>
        <v>0</v>
      </c>
      <c r="M20" s="31" t="str">
        <f t="shared" si="1"/>
        <v/>
      </c>
      <c r="N20" s="31">
        <f>SUMIFS($M$3:M20, $D$3:D20, D20, $V$3:V20, "Yes")</f>
        <v>0</v>
      </c>
      <c r="O20" s="30" t="str">
        <f t="shared" si="2"/>
        <v/>
      </c>
      <c r="Q20" s="33">
        <f t="shared" si="0"/>
        <v>0</v>
      </c>
    </row>
    <row r="21" spans="7:17" x14ac:dyDescent="0.2">
      <c r="G21" s="29">
        <f>SUMIFS(F$3:F21, D$3:D21, D21, V$3:V21, "Yes")</f>
        <v>0</v>
      </c>
      <c r="I21" s="31">
        <f>IFERROR(VLOOKUP(D21,Kurse!$A:$E,2,FALSE),0)</f>
        <v>0</v>
      </c>
      <c r="K21" s="31">
        <f>SUMIFS($J$3:J21, $D$3:D21, D21, $V$3:V21, "Yes")</f>
        <v>0</v>
      </c>
      <c r="M21" s="31" t="str">
        <f t="shared" si="1"/>
        <v/>
      </c>
      <c r="N21" s="31">
        <f>SUMIFS($M$3:M21, $D$3:D21, D21, $V$3:V21, "Yes")</f>
        <v>0</v>
      </c>
      <c r="O21" s="30" t="str">
        <f t="shared" si="2"/>
        <v/>
      </c>
      <c r="Q21" s="33">
        <f t="shared" si="0"/>
        <v>0</v>
      </c>
    </row>
    <row r="22" spans="7:17" x14ac:dyDescent="0.2">
      <c r="G22" s="29">
        <f>SUMIFS(F$3:F22, D$3:D22, D22, V$3:V22, "Yes")</f>
        <v>0</v>
      </c>
      <c r="I22" s="31">
        <f>IFERROR(VLOOKUP(D22,Kurse!$A:$E,2,FALSE),0)</f>
        <v>0</v>
      </c>
      <c r="K22" s="31">
        <f>SUMIFS($J$3:J22, $D$3:D22, D22, $V$3:V22, "Yes")</f>
        <v>0</v>
      </c>
      <c r="M22" s="31" t="str">
        <f t="shared" si="1"/>
        <v/>
      </c>
      <c r="N22" s="31">
        <f>SUMIFS($M$3:M22, $D$3:D22, D22, $V$3:V22, "Yes")</f>
        <v>0</v>
      </c>
      <c r="O22" s="30" t="str">
        <f t="shared" si="2"/>
        <v/>
      </c>
      <c r="Q22" s="33">
        <f t="shared" si="0"/>
        <v>0</v>
      </c>
    </row>
  </sheetData>
  <dataValidations count="6">
    <dataValidation type="list" allowBlank="1" showInputMessage="1" showErrorMessage="1" sqref="V2:V15" xr:uid="{BDF36AFA-4FBD-A145-9BFD-44EB64ED536F}">
      <formula1>"Yes,No"</formula1>
    </dataValidation>
    <dataValidation type="list" allowBlank="1" showInputMessage="1" showErrorMessage="1" sqref="U2:U12" xr:uid="{2A68596A-EEF0-1C4A-AF1A-2E28968887BC}">
      <formula1>"ETF,Cryptocurrency,Commodity,Cash,Other,Equity"</formula1>
    </dataValidation>
    <dataValidation type="list" allowBlank="1" showInputMessage="1" showErrorMessage="1" sqref="S2:S15" xr:uid="{4E00A8F3-90A6-C04F-8F87-81EEF981E917}">
      <formula1>"Core,Satellite,Speculative,Mini,Learning Only"</formula1>
    </dataValidation>
    <dataValidation type="list" allowBlank="1" showInputMessage="1" showErrorMessage="1" sqref="U14:U15" xr:uid="{65440BA5-D637-CF4D-84DF-A68FC0DE34C3}">
      <formula1>"ETF,Stock,Cryptocurrency,Commodity,Cash,Other"</formula1>
    </dataValidation>
    <dataValidation type="list" allowBlank="1" showInputMessage="1" showErrorMessage="1" sqref="C2:C301" xr:uid="{9A067F87-1089-274D-9A53-36B8F1D1D2D3}">
      <formula1>"Scalable Capital,Trade Republic,Other"</formula1>
    </dataValidation>
    <dataValidation type="list" allowBlank="1" showInputMessage="1" showErrorMessage="1" sqref="R2:R50" xr:uid="{A2056B3B-EAAA-684D-BA5A-78CD5D7BBC07}">
      <formula1>"Savings Plan,One-Time Purchase,Sell,Rebalancing,Test,Dividend"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CEA-8AF7-9B4B-A5F0-FAD6F1A09893}">
  <dimension ref="A1:H20"/>
  <sheetViews>
    <sheetView tabSelected="1" zoomScale="87" zoomScaleNormal="63" workbookViewId="0">
      <pane ySplit="1" topLeftCell="A2" activePane="bottomLeft" state="frozen"/>
      <selection pane="bottomLeft" activeCell="H6" sqref="H6"/>
    </sheetView>
  </sheetViews>
  <sheetFormatPr baseColWidth="10" defaultRowHeight="16" x14ac:dyDescent="0.2"/>
  <cols>
    <col min="1" max="1" width="39.33203125" bestFit="1" customWidth="1"/>
    <col min="2" max="2" width="21" style="49" bestFit="1" customWidth="1"/>
    <col min="3" max="3" width="17.5" style="39" bestFit="1" customWidth="1"/>
    <col min="4" max="4" width="20.5" style="51" bestFit="1" customWidth="1"/>
    <col min="5" max="5" width="14.33203125" style="52" bestFit="1" customWidth="1"/>
    <col min="6" max="6" width="23.83203125" style="50" bestFit="1" customWidth="1"/>
    <col min="7" max="7" width="10.5" bestFit="1" customWidth="1"/>
    <col min="8" max="8" width="12" style="50" bestFit="1" customWidth="1"/>
  </cols>
  <sheetData>
    <row r="1" spans="1:8" x14ac:dyDescent="0.2">
      <c r="A1" s="62" t="s">
        <v>3</v>
      </c>
      <c r="B1" s="63" t="s">
        <v>76</v>
      </c>
      <c r="C1" s="64" t="s">
        <v>87</v>
      </c>
      <c r="D1" s="65" t="s">
        <v>73</v>
      </c>
      <c r="E1" s="66" t="s">
        <v>77</v>
      </c>
      <c r="F1" s="67" t="s">
        <v>72</v>
      </c>
      <c r="G1" s="68" t="s">
        <v>74</v>
      </c>
      <c r="H1" s="67" t="s">
        <v>75</v>
      </c>
    </row>
    <row r="2" spans="1:8" x14ac:dyDescent="0.2">
      <c r="A2" s="46" t="s">
        <v>33</v>
      </c>
      <c r="B2" s="48">
        <f>SUMIF('Portfolio Overview'!D:D, A2, 'Portfolio Overview'!F:F)</f>
        <v>0.23478599999999999</v>
      </c>
      <c r="C2" s="39">
        <f>B2 * VLOOKUP(A2, 'Portfolio Overview'!D:I, 6, FALSE)</f>
        <v>50.326379099999997</v>
      </c>
      <c r="D2" s="51">
        <f>SUMIF('Portfolio Overview'!D:D, A2, 'Portfolio Overview'!J:J)</f>
        <v>50</v>
      </c>
      <c r="E2" s="53">
        <f>SUMIF('Portfolio Overview'!D:D, A2, 'Portfolio Overview'!M:M)</f>
        <v>50</v>
      </c>
      <c r="F2" s="50">
        <f>IFERROR(C2/SUM($C$2:$C$7),0)</f>
        <v>0.14836038951179645</v>
      </c>
      <c r="G2" s="39">
        <f t="shared" ref="G2" si="0">C2-E2</f>
        <v>0.32637909999999692</v>
      </c>
      <c r="H2" s="99">
        <f t="shared" ref="H2:H7" si="1">IF(E2=0, "", (C2 - E2)/E2)</f>
        <v>6.5275819999999381E-3</v>
      </c>
    </row>
    <row r="3" spans="1:8" x14ac:dyDescent="0.2">
      <c r="A3" s="46" t="s">
        <v>46</v>
      </c>
      <c r="B3" s="48">
        <f>SUMIF('Portfolio Overview'!D:D, A3, 'Portfolio Overview'!F:F)</f>
        <v>0.65416399999999997</v>
      </c>
      <c r="C3" s="39">
        <f>B3 * VLOOKUP(A3, 'Portfolio Overview'!D:I, 6, FALSE)</f>
        <v>30.889624079999997</v>
      </c>
      <c r="D3" s="51">
        <f>SUMIF('Portfolio Overview'!D:D, A3, 'Portfolio Overview'!J:J)</f>
        <v>30</v>
      </c>
      <c r="E3" s="53">
        <f>SUMIF('Portfolio Overview'!D:D, A3, 'Portfolio Overview'!M:M)</f>
        <v>30</v>
      </c>
      <c r="F3" s="50">
        <f t="shared" ref="F3:F5" si="2">IFERROR(C3/SUM($C$2:$C$7),0)</f>
        <v>9.1061521657968172E-2</v>
      </c>
      <c r="G3" s="39">
        <f>C3-E3</f>
        <v>0.88962407999999726</v>
      </c>
      <c r="H3" s="99">
        <f t="shared" si="1"/>
        <v>2.9654135999999907E-2</v>
      </c>
    </row>
    <row r="4" spans="1:8" x14ac:dyDescent="0.2">
      <c r="A4" s="46" t="s">
        <v>41</v>
      </c>
      <c r="B4" s="48">
        <f>SUMIF('Portfolio Overview'!D:D, A4, 'Portfolio Overview'!F:F)</f>
        <v>4.1741489999999999</v>
      </c>
      <c r="C4" s="39">
        <f>B4 * VLOOKUP(A4, 'Portfolio Overview'!D:I, 6, FALSE)</f>
        <v>38.276946330000001</v>
      </c>
      <c r="D4" s="51">
        <f>SUMIF('Portfolio Overview'!D:D, A4, 'Portfolio Overview'!J:J)</f>
        <v>38.33</v>
      </c>
      <c r="E4" s="53">
        <f>SUMIF('Portfolio Overview'!D:D, A4, 'Portfolio Overview'!M:M)</f>
        <v>38.33</v>
      </c>
      <c r="F4" s="50">
        <f t="shared" si="2"/>
        <v>0.11283908694398655</v>
      </c>
      <c r="G4" s="39">
        <f>C4-E4</f>
        <v>-5.3053669999997055E-2</v>
      </c>
      <c r="H4" s="99">
        <f t="shared" si="1"/>
        <v>-1.3841291416644159E-3</v>
      </c>
    </row>
    <row r="5" spans="1:8" x14ac:dyDescent="0.2">
      <c r="A5" s="46" t="s">
        <v>43</v>
      </c>
      <c r="B5" s="48">
        <f>SUMIF('Portfolio Overview'!D:D, A5, 'Portfolio Overview'!F:F)</f>
        <v>0.88920500000000002</v>
      </c>
      <c r="C5" s="39">
        <f>B5 * VLOOKUP(A5, 'Portfolio Overview'!D:I, 6, FALSE)</f>
        <v>50.115593799999999</v>
      </c>
      <c r="D5" s="51">
        <f>SUMIF('Portfolio Overview'!D:D, A5, 'Portfolio Overview'!J:J)</f>
        <v>50</v>
      </c>
      <c r="E5" s="53">
        <f>SUMIF('Portfolio Overview'!D:D, A5, 'Portfolio Overview'!M:M)</f>
        <v>50</v>
      </c>
      <c r="F5" s="50">
        <f t="shared" si="2"/>
        <v>0.14773900188624878</v>
      </c>
      <c r="G5" s="39">
        <f>C5-E5</f>
        <v>0.11559379999999919</v>
      </c>
      <c r="H5" s="99">
        <f t="shared" si="1"/>
        <v>2.311875999999984E-3</v>
      </c>
    </row>
    <row r="6" spans="1:8" x14ac:dyDescent="0.2">
      <c r="A6" s="93" t="s">
        <v>78</v>
      </c>
      <c r="B6" s="94"/>
      <c r="C6" s="95">
        <f>SUM(C2:C5)</f>
        <v>169.60854331000002</v>
      </c>
      <c r="D6" s="96">
        <f>SUM(D2:D5)</f>
        <v>168.32999999999998</v>
      </c>
      <c r="E6" s="96">
        <f>SUM(E2:E5)</f>
        <v>168.32999999999998</v>
      </c>
      <c r="F6" s="97"/>
      <c r="G6" s="95">
        <f>SUM(G2:G5)</f>
        <v>1.2785433099999963</v>
      </c>
      <c r="H6" s="100">
        <f>(C6-E6)/E6</f>
        <v>7.5954571971724111E-3</v>
      </c>
    </row>
    <row r="7" spans="1:8" x14ac:dyDescent="0.2">
      <c r="A7" s="46"/>
      <c r="B7" s="48"/>
      <c r="E7" s="53"/>
      <c r="G7" s="39"/>
      <c r="H7" s="99" t="str">
        <f t="shared" si="1"/>
        <v/>
      </c>
    </row>
    <row r="9" spans="1:8" x14ac:dyDescent="0.2">
      <c r="A9" s="88"/>
      <c r="B9" s="89"/>
      <c r="C9" s="90"/>
      <c r="D9" s="91"/>
      <c r="E9" s="91"/>
      <c r="F9" s="92"/>
      <c r="G9" s="90"/>
      <c r="H9" s="92"/>
    </row>
    <row r="19" spans="1:7" x14ac:dyDescent="0.2">
      <c r="B19" s="48"/>
      <c r="E19" s="53"/>
      <c r="G19" s="39"/>
    </row>
    <row r="20" spans="1:7" x14ac:dyDescent="0.2">
      <c r="A20" s="46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DF9E-AB4F-9142-A454-1BC94A13C90C}">
  <dimension ref="A1:F12"/>
  <sheetViews>
    <sheetView topLeftCell="A4" zoomScale="93" zoomScaleNormal="98" workbookViewId="0">
      <selection activeCell="A6" sqref="A6"/>
    </sheetView>
  </sheetViews>
  <sheetFormatPr baseColWidth="10" defaultRowHeight="16" x14ac:dyDescent="0.2"/>
  <cols>
    <col min="1" max="1" width="39.6640625" style="42" bestFit="1" customWidth="1"/>
    <col min="2" max="3" width="16.33203125" style="42" bestFit="1" customWidth="1"/>
    <col min="4" max="4" width="11.83203125" style="76" bestFit="1" customWidth="1"/>
    <col min="5" max="5" width="13.33203125" style="85" bestFit="1" customWidth="1"/>
    <col min="6" max="6" width="12.83203125" style="42" bestFit="1" customWidth="1"/>
    <col min="7" max="16384" width="10.83203125" style="37"/>
  </cols>
  <sheetData>
    <row r="1" spans="1:6" ht="18" x14ac:dyDescent="0.2">
      <c r="A1" s="119" t="s">
        <v>80</v>
      </c>
      <c r="B1" s="119"/>
      <c r="C1" s="119"/>
      <c r="D1" s="119"/>
      <c r="E1" s="119"/>
      <c r="F1" s="119"/>
    </row>
    <row r="2" spans="1:6" x14ac:dyDescent="0.2">
      <c r="A2" s="77" t="s">
        <v>81</v>
      </c>
      <c r="B2" s="77" t="s">
        <v>82</v>
      </c>
      <c r="C2" s="77" t="s">
        <v>2</v>
      </c>
      <c r="D2" s="71" t="s">
        <v>83</v>
      </c>
      <c r="E2" s="80" t="s">
        <v>84</v>
      </c>
      <c r="F2" s="77" t="s">
        <v>20</v>
      </c>
    </row>
    <row r="3" spans="1:6" x14ac:dyDescent="0.2">
      <c r="A3" s="58" t="s">
        <v>88</v>
      </c>
      <c r="B3" s="59" t="s">
        <v>34</v>
      </c>
      <c r="C3" s="59" t="s">
        <v>32</v>
      </c>
      <c r="D3" s="72">
        <v>50</v>
      </c>
      <c r="E3" s="81">
        <f>D3/$D$9</f>
        <v>0.20833333333333334</v>
      </c>
      <c r="F3" s="59" t="s">
        <v>29</v>
      </c>
    </row>
    <row r="4" spans="1:6" x14ac:dyDescent="0.2">
      <c r="A4" s="58" t="s">
        <v>89</v>
      </c>
      <c r="B4" s="59" t="s">
        <v>42</v>
      </c>
      <c r="C4" s="59" t="s">
        <v>32</v>
      </c>
      <c r="D4" s="72">
        <v>50</v>
      </c>
      <c r="E4" s="81">
        <f t="shared" ref="E4:E8" si="0">D4/$D$9</f>
        <v>0.20833333333333334</v>
      </c>
      <c r="F4" s="59" t="s">
        <v>29</v>
      </c>
    </row>
    <row r="5" spans="1:6" x14ac:dyDescent="0.2">
      <c r="A5" s="58" t="s">
        <v>91</v>
      </c>
      <c r="B5" s="59" t="s">
        <v>47</v>
      </c>
      <c r="C5" s="59" t="s">
        <v>32</v>
      </c>
      <c r="D5" s="72">
        <v>80</v>
      </c>
      <c r="E5" s="81">
        <f t="shared" si="0"/>
        <v>0.33333333333333331</v>
      </c>
      <c r="F5" s="59" t="s">
        <v>29</v>
      </c>
    </row>
    <row r="6" spans="1:6" x14ac:dyDescent="0.2">
      <c r="A6" s="58" t="s">
        <v>92</v>
      </c>
      <c r="B6" s="59" t="s">
        <v>47</v>
      </c>
      <c r="C6" s="59" t="s">
        <v>32</v>
      </c>
      <c r="D6" s="72">
        <v>20</v>
      </c>
      <c r="E6" s="81">
        <f t="shared" si="0"/>
        <v>8.3333333333333329E-2</v>
      </c>
      <c r="F6" s="59" t="s">
        <v>85</v>
      </c>
    </row>
    <row r="7" spans="1:6" x14ac:dyDescent="0.2">
      <c r="A7" s="58" t="s">
        <v>86</v>
      </c>
      <c r="B7" s="59" t="s">
        <v>58</v>
      </c>
      <c r="C7" s="59" t="s">
        <v>23</v>
      </c>
      <c r="D7" s="72">
        <v>20</v>
      </c>
      <c r="E7" s="81">
        <f t="shared" si="0"/>
        <v>8.3333333333333329E-2</v>
      </c>
      <c r="F7" s="59" t="s">
        <v>59</v>
      </c>
    </row>
    <row r="8" spans="1:6" x14ac:dyDescent="0.2">
      <c r="A8" s="58" t="s">
        <v>57</v>
      </c>
      <c r="B8" s="59" t="s">
        <v>47</v>
      </c>
      <c r="C8" s="59" t="s">
        <v>23</v>
      </c>
      <c r="D8" s="72">
        <v>20</v>
      </c>
      <c r="E8" s="81">
        <f t="shared" si="0"/>
        <v>8.3333333333333329E-2</v>
      </c>
      <c r="F8" s="59" t="s">
        <v>59</v>
      </c>
    </row>
    <row r="9" spans="1:6" x14ac:dyDescent="0.2">
      <c r="A9" s="79" t="s">
        <v>90</v>
      </c>
      <c r="B9" s="74"/>
      <c r="C9" s="74"/>
      <c r="D9" s="75">
        <f>SUM(D3:D8)</f>
        <v>240</v>
      </c>
      <c r="E9" s="82"/>
      <c r="F9" s="74"/>
    </row>
    <row r="10" spans="1:6" x14ac:dyDescent="0.2">
      <c r="A10" s="78"/>
      <c r="B10" s="69"/>
      <c r="C10" s="70"/>
      <c r="D10" s="73"/>
      <c r="E10" s="83"/>
      <c r="F10" s="70"/>
    </row>
    <row r="11" spans="1:6" x14ac:dyDescent="0.2">
      <c r="A11" s="78"/>
      <c r="B11" s="69"/>
      <c r="C11" s="70"/>
      <c r="D11" s="73"/>
      <c r="E11" s="83"/>
      <c r="F11" s="70"/>
    </row>
    <row r="12" spans="1:6" x14ac:dyDescent="0.2">
      <c r="E12" s="84"/>
    </row>
  </sheetData>
  <dataConsolidate/>
  <mergeCells count="1"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8574-E652-B643-981B-7688C195D285}">
  <dimension ref="A1:W30"/>
  <sheetViews>
    <sheetView zoomScale="108" workbookViewId="0">
      <selection activeCell="G25" sqref="G25"/>
    </sheetView>
  </sheetViews>
  <sheetFormatPr baseColWidth="10" defaultRowHeight="16" x14ac:dyDescent="0.2"/>
  <cols>
    <col min="1" max="1" width="17.6640625" style="37" bestFit="1" customWidth="1"/>
    <col min="2" max="2" width="17.83203125" style="37" bestFit="1" customWidth="1"/>
    <col min="3" max="3" width="16.33203125" style="37" bestFit="1" customWidth="1"/>
    <col min="4" max="4" width="40.33203125" style="42" bestFit="1" customWidth="1"/>
    <col min="5" max="5" width="20.33203125" style="37" bestFit="1" customWidth="1"/>
    <col min="6" max="6" width="10.5" style="37" bestFit="1" customWidth="1"/>
    <col min="7" max="7" width="19.5" style="37" bestFit="1" customWidth="1"/>
    <col min="8" max="8" width="11" style="37" bestFit="1" customWidth="1"/>
    <col min="9" max="9" width="14" style="37" bestFit="1" customWidth="1"/>
    <col min="10" max="10" width="17.5" style="37" bestFit="1" customWidth="1"/>
    <col min="11" max="11" width="28" style="37" bestFit="1" customWidth="1"/>
    <col min="12" max="12" width="16.6640625" style="37" bestFit="1" customWidth="1"/>
    <col min="13" max="13" width="10.83203125" style="37"/>
    <col min="14" max="14" width="22.5" style="37" bestFit="1" customWidth="1"/>
    <col min="15" max="15" width="15.5" style="37" bestFit="1" customWidth="1"/>
    <col min="16" max="16" width="14.6640625" style="37" bestFit="1" customWidth="1"/>
    <col min="17" max="17" width="19.83203125" style="37" bestFit="1" customWidth="1"/>
    <col min="18" max="18" width="19.5" style="42" bestFit="1" customWidth="1"/>
    <col min="19" max="19" width="20.6640625" style="42" bestFit="1" customWidth="1"/>
    <col min="20" max="20" width="55.1640625" style="37" bestFit="1" customWidth="1"/>
    <col min="21" max="21" width="12.83203125" style="37" bestFit="1" customWidth="1"/>
    <col min="22" max="22" width="7.33203125" style="37" bestFit="1" customWidth="1"/>
    <col min="23" max="23" width="109" style="37" bestFit="1" customWidth="1"/>
    <col min="24" max="16384" width="10.83203125" style="37"/>
  </cols>
  <sheetData>
    <row r="1" spans="1:23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21" t="s">
        <v>15</v>
      </c>
      <c r="Q1" s="22" t="s">
        <v>16</v>
      </c>
      <c r="R1" s="16" t="s">
        <v>17</v>
      </c>
      <c r="S1" s="16" t="s">
        <v>18</v>
      </c>
      <c r="T1" s="16" t="s">
        <v>19</v>
      </c>
      <c r="U1" s="23" t="s">
        <v>20</v>
      </c>
      <c r="V1" s="24" t="s">
        <v>21</v>
      </c>
      <c r="W1" s="25" t="s">
        <v>22</v>
      </c>
    </row>
    <row r="2" spans="1:23" x14ac:dyDescent="0.2">
      <c r="A2" s="26">
        <v>45805</v>
      </c>
      <c r="B2" s="27">
        <v>0.55833333333333335</v>
      </c>
      <c r="C2" s="28" t="s">
        <v>23</v>
      </c>
      <c r="D2" s="28" t="s">
        <v>95</v>
      </c>
      <c r="E2" s="28" t="s">
        <v>96</v>
      </c>
      <c r="F2" s="101">
        <v>2</v>
      </c>
      <c r="G2" s="102">
        <f>SUMIFS(F$2:F2, D$2:D2, D2, V$2:V2, "Yes")</f>
        <v>2</v>
      </c>
      <c r="H2" s="31">
        <v>8.7360000000000007</v>
      </c>
      <c r="I2" s="31">
        <f>IFERROR(VLOOKUP(D2,Kurse!$A:$E,2,FALSE),0)</f>
        <v>7.91</v>
      </c>
      <c r="J2" s="31">
        <v>20</v>
      </c>
      <c r="K2" s="31">
        <f>SUMIFS($J2:J$3, $D2:D$3, D2, $V2:V$3, "Yes")</f>
        <v>20</v>
      </c>
      <c r="L2" s="31">
        <v>1</v>
      </c>
      <c r="M2" s="31">
        <f>IF(V2="Yes",J2+L2,"")</f>
        <v>21</v>
      </c>
      <c r="N2" s="31">
        <f>SUMIFS($M2:M$3, $D2:D$3, D2, $V2:V$3, "Yes")</f>
        <v>21</v>
      </c>
      <c r="O2" s="30">
        <f>IF(V2="Yes",F2*I2,"")</f>
        <v>15.82</v>
      </c>
      <c r="P2" s="32">
        <v>0</v>
      </c>
      <c r="Q2" s="33">
        <f t="shared" ref="Q2:Q30" si="0">IFERROR(O2*P2,0)</f>
        <v>0</v>
      </c>
      <c r="R2" s="28" t="s">
        <v>97</v>
      </c>
      <c r="S2" s="42" t="s">
        <v>98</v>
      </c>
      <c r="T2" s="34" t="s">
        <v>101</v>
      </c>
      <c r="U2" s="35" t="s">
        <v>29</v>
      </c>
      <c r="V2" s="36" t="s">
        <v>38</v>
      </c>
    </row>
    <row r="3" spans="1:23" x14ac:dyDescent="0.2">
      <c r="A3" s="26">
        <v>45805</v>
      </c>
      <c r="B3" s="27">
        <v>0.55833333333333335</v>
      </c>
      <c r="C3" s="28" t="s">
        <v>23</v>
      </c>
      <c r="D3" s="28" t="s">
        <v>99</v>
      </c>
      <c r="E3" s="28" t="s">
        <v>100</v>
      </c>
      <c r="F3" s="29">
        <v>1.82</v>
      </c>
      <c r="G3" s="102">
        <f>SUMIFS(F$2:F3, D$2:D3, D3, V$2:V3, "Yes")</f>
        <v>1.82</v>
      </c>
      <c r="H3" s="31">
        <v>5.3739999999999997</v>
      </c>
      <c r="I3" s="31">
        <f>IFERROR(VLOOKUP(D3,Kurse!$A:$E,2,FALSE),0)</f>
        <v>5.27</v>
      </c>
      <c r="J3" s="31">
        <v>9.7799999999999994</v>
      </c>
      <c r="K3" s="31">
        <f>SUMIFS($J3:J$3, $D3:D$3, D3, $V3:V$3, "Yes")</f>
        <v>9.7799999999999994</v>
      </c>
      <c r="L3" s="31">
        <v>1</v>
      </c>
      <c r="M3" s="31">
        <f t="shared" ref="M3:M30" si="1">IF(V3="Yes",J3+L3,"")</f>
        <v>10.78</v>
      </c>
      <c r="N3" s="31">
        <f>SUMIFS($M3:M$3, $D3:D$3, D3, $V3:V$3, "Yes")</f>
        <v>10.78</v>
      </c>
      <c r="O3" s="30">
        <f t="shared" ref="O3:O30" si="2">IF(V3="Yes",F3*I3,"")</f>
        <v>9.5914000000000001</v>
      </c>
      <c r="P3" s="32">
        <v>0</v>
      </c>
      <c r="Q3" s="33">
        <f t="shared" si="0"/>
        <v>0</v>
      </c>
      <c r="R3" s="28" t="s">
        <v>97</v>
      </c>
      <c r="S3" s="42" t="s">
        <v>98</v>
      </c>
      <c r="T3" s="34" t="s">
        <v>27</v>
      </c>
      <c r="U3" s="35" t="s">
        <v>29</v>
      </c>
      <c r="V3" s="36" t="s">
        <v>38</v>
      </c>
    </row>
    <row r="4" spans="1:23" x14ac:dyDescent="0.2">
      <c r="G4" s="102">
        <f>SUMIFS(F$2:F4, D$2:D4, D4, V$2:V4, "Yes")</f>
        <v>0</v>
      </c>
      <c r="I4" s="31">
        <f>IFERROR(VLOOKUP(D4,Kurse!$A:$E,2,FALSE),0)</f>
        <v>0</v>
      </c>
      <c r="K4" s="31">
        <f>SUMIFS($J$3:J4, $D$3:D4, D4, $V$3:V4, "Yes")</f>
        <v>0</v>
      </c>
      <c r="M4" s="31" t="str">
        <f t="shared" si="1"/>
        <v/>
      </c>
      <c r="N4" s="31">
        <f>SUMIFS($M$3:M4, $D$3:D4, D4, $V$3:V4, "Yes")</f>
        <v>0</v>
      </c>
      <c r="O4" s="30" t="str">
        <f t="shared" si="2"/>
        <v/>
      </c>
      <c r="Q4" s="33">
        <f t="shared" si="0"/>
        <v>0</v>
      </c>
    </row>
    <row r="5" spans="1:23" x14ac:dyDescent="0.2">
      <c r="G5" s="102">
        <f>SUMIFS(F$2:F5, D$2:D5, D5, V$2:V5, "Yes")</f>
        <v>0</v>
      </c>
      <c r="I5" s="31">
        <f>IFERROR(VLOOKUP(D5,Kurse!$A:$E,2,FALSE),0)</f>
        <v>0</v>
      </c>
      <c r="K5" s="31">
        <f>SUMIFS($J$3:J5, $D$3:D5, D5, $V$3:V5, "Yes")</f>
        <v>0</v>
      </c>
      <c r="M5" s="31" t="str">
        <f t="shared" si="1"/>
        <v/>
      </c>
      <c r="N5" s="31">
        <f>SUMIFS($M$3:M5, $D$3:D5, D5, $V$3:V5, "Yes")</f>
        <v>0</v>
      </c>
      <c r="O5" s="30" t="str">
        <f t="shared" si="2"/>
        <v/>
      </c>
      <c r="Q5" s="33">
        <f t="shared" si="0"/>
        <v>0</v>
      </c>
    </row>
    <row r="6" spans="1:23" x14ac:dyDescent="0.2">
      <c r="G6" s="102">
        <f>SUMIFS(F$2:F6, D$2:D6, D6, V$2:V6, "Yes")</f>
        <v>0</v>
      </c>
      <c r="I6" s="31">
        <f>IFERROR(VLOOKUP(D6,Kurse!$A:$E,2,FALSE),0)</f>
        <v>0</v>
      </c>
      <c r="K6" s="31">
        <f>SUMIFS($J$3:J6, $D$3:D6, D6, $V$3:V6, "Yes")</f>
        <v>0</v>
      </c>
      <c r="M6" s="31" t="str">
        <f>IF(V6="Yes",J6+L6,"")</f>
        <v/>
      </c>
      <c r="N6" s="31">
        <f>SUMIFS($M$3:M6, $D$3:D6, D6, $V$3:V6, "Yes")</f>
        <v>0</v>
      </c>
      <c r="O6" s="30" t="str">
        <f>IF(V6="Yes",F6*I6,"")</f>
        <v/>
      </c>
      <c r="Q6" s="33">
        <f t="shared" si="0"/>
        <v>0</v>
      </c>
    </row>
    <row r="7" spans="1:23" x14ac:dyDescent="0.2">
      <c r="G7" s="102">
        <f>SUMIFS(F$2:F7, D$2:D7, D7, V$2:V7, "Yes")</f>
        <v>0</v>
      </c>
      <c r="I7" s="31">
        <f>IFERROR(VLOOKUP(D7,Kurse!$A:$E,2,FALSE),0)</f>
        <v>0</v>
      </c>
      <c r="K7" s="31">
        <f>SUMIFS($J$3:J7, $D$3:D7, D7, $V$3:V7, "Yes")</f>
        <v>0</v>
      </c>
      <c r="M7" s="31" t="str">
        <f t="shared" si="1"/>
        <v/>
      </c>
      <c r="N7" s="31">
        <f>SUMIFS($M$3:M7, $D$3:D7, D7, $V$3:V7, "Yes")</f>
        <v>0</v>
      </c>
      <c r="O7" s="30" t="str">
        <f t="shared" si="2"/>
        <v/>
      </c>
      <c r="Q7" s="33">
        <f t="shared" si="0"/>
        <v>0</v>
      </c>
    </row>
    <row r="8" spans="1:23" x14ac:dyDescent="0.2">
      <c r="G8" s="102">
        <f>SUMIFS(F$2:F8, D$2:D8, D8, V$2:V8, "Yes")</f>
        <v>0</v>
      </c>
      <c r="I8" s="31">
        <f>IFERROR(VLOOKUP(D8,Kurse!$A:$E,2,FALSE),0)</f>
        <v>0</v>
      </c>
      <c r="K8" s="31">
        <f>SUMIFS($J$3:J8, $D$3:D8, D8, $V$3:V8, "Yes")</f>
        <v>0</v>
      </c>
      <c r="M8" s="31" t="str">
        <f t="shared" si="1"/>
        <v/>
      </c>
      <c r="N8" s="31">
        <f>SUMIFS($M$3:M8, $D$3:D8, D8, $V$3:V8, "Yes")</f>
        <v>0</v>
      </c>
      <c r="O8" s="30" t="str">
        <f t="shared" si="2"/>
        <v/>
      </c>
      <c r="Q8" s="33">
        <f t="shared" si="0"/>
        <v>0</v>
      </c>
    </row>
    <row r="9" spans="1:23" x14ac:dyDescent="0.2">
      <c r="G9" s="102">
        <f>SUMIFS(F$2:F9, D$2:D9, D9, V$2:V9, "Yes")</f>
        <v>0</v>
      </c>
      <c r="I9" s="31">
        <f>IFERROR(VLOOKUP(D9,Kurse!$A:$E,2,FALSE),0)</f>
        <v>0</v>
      </c>
      <c r="K9" s="31">
        <f>SUMIFS($J$3:J9, $D$3:D9, D9, $V$3:V9, "Yes")</f>
        <v>0</v>
      </c>
      <c r="M9" s="31" t="str">
        <f t="shared" si="1"/>
        <v/>
      </c>
      <c r="N9" s="31">
        <f>SUMIFS($M$3:M9, $D$3:D9, D9, $V$3:V9, "Yes")</f>
        <v>0</v>
      </c>
      <c r="O9" s="30" t="str">
        <f t="shared" si="2"/>
        <v/>
      </c>
      <c r="Q9" s="33">
        <f t="shared" si="0"/>
        <v>0</v>
      </c>
    </row>
    <row r="10" spans="1:23" x14ac:dyDescent="0.2">
      <c r="G10" s="102">
        <f>SUMIFS(F$2:F10, D$2:D10, D10, V$2:V10, "Yes")</f>
        <v>0</v>
      </c>
      <c r="I10" s="31">
        <f>IFERROR(VLOOKUP(D10,Kurse!$A:$E,2,FALSE),0)</f>
        <v>0</v>
      </c>
      <c r="K10" s="31">
        <f>SUMIFS($J$3:J10, $D$3:D10, D10, $V$3:V10, "Yes")</f>
        <v>0</v>
      </c>
      <c r="M10" s="31" t="str">
        <f t="shared" si="1"/>
        <v/>
      </c>
      <c r="N10" s="31">
        <f>SUMIFS($M$3:M10, $D$3:D10, D10, $V$3:V10, "Yes")</f>
        <v>0</v>
      </c>
      <c r="O10" s="30" t="str">
        <f t="shared" si="2"/>
        <v/>
      </c>
      <c r="Q10" s="33">
        <f t="shared" si="0"/>
        <v>0</v>
      </c>
    </row>
    <row r="11" spans="1:23" x14ac:dyDescent="0.2">
      <c r="G11" s="102">
        <f>SUMIFS(F$2:F11, D$2:D11, D11, V$2:V11, "Yes")</f>
        <v>0</v>
      </c>
      <c r="I11" s="31">
        <f>IFERROR(VLOOKUP(D11,Kurse!$A:$E,2,FALSE),0)</f>
        <v>0</v>
      </c>
      <c r="K11" s="31">
        <f>SUMIFS($J$3:J11, $D$3:D11, D11, $V$3:V11, "Yes")</f>
        <v>0</v>
      </c>
      <c r="M11" s="31" t="str">
        <f t="shared" si="1"/>
        <v/>
      </c>
      <c r="N11" s="31">
        <f>SUMIFS($M$3:M11, $D$3:D11, D11, $V$3:V11, "Yes")</f>
        <v>0</v>
      </c>
      <c r="O11" s="30" t="str">
        <f t="shared" si="2"/>
        <v/>
      </c>
      <c r="Q11" s="33">
        <f t="shared" si="0"/>
        <v>0</v>
      </c>
    </row>
    <row r="12" spans="1:23" x14ac:dyDescent="0.2">
      <c r="G12" s="102">
        <f>SUMIFS(F$2:F12, D$2:D12, D12, V$2:V12, "Yes")</f>
        <v>0</v>
      </c>
      <c r="I12" s="31">
        <f>IFERROR(VLOOKUP(D12,Kurse!$A:$E,2,FALSE),0)</f>
        <v>0</v>
      </c>
      <c r="K12" s="31">
        <f>SUMIFS($J$3:J12, $D$3:D12, D12, $V$3:V12, "Yes")</f>
        <v>0</v>
      </c>
      <c r="M12" s="31" t="str">
        <f t="shared" si="1"/>
        <v/>
      </c>
      <c r="N12" s="31">
        <f>SUMIFS($M$3:M12, $D$3:D12, D12, $V$3:V12, "Yes")</f>
        <v>0</v>
      </c>
      <c r="O12" s="30" t="str">
        <f t="shared" si="2"/>
        <v/>
      </c>
      <c r="Q12" s="33">
        <f t="shared" si="0"/>
        <v>0</v>
      </c>
    </row>
    <row r="13" spans="1:23" x14ac:dyDescent="0.2">
      <c r="G13" s="102">
        <f>SUMIFS(F$2:F13, D$2:D13, D13, V$2:V13, "Yes")</f>
        <v>0</v>
      </c>
      <c r="I13" s="31">
        <f>IFERROR(VLOOKUP(D13,Kurse!$A:$E,2,FALSE),0)</f>
        <v>0</v>
      </c>
      <c r="K13" s="31">
        <f>SUMIFS($J$3:J13, $D$3:D13, D13, $V$3:V13, "Yes")</f>
        <v>0</v>
      </c>
      <c r="M13" s="31" t="str">
        <f t="shared" si="1"/>
        <v/>
      </c>
      <c r="N13" s="31">
        <f>SUMIFS($M$3:M13, $D$3:D13, D13, $V$3:V13, "Yes")</f>
        <v>0</v>
      </c>
      <c r="O13" s="30" t="str">
        <f t="shared" si="2"/>
        <v/>
      </c>
      <c r="Q13" s="33">
        <f t="shared" si="0"/>
        <v>0</v>
      </c>
    </row>
    <row r="14" spans="1:23" x14ac:dyDescent="0.2">
      <c r="G14" s="102">
        <f>SUMIFS(F$2:F14, D$2:D14, D14, V$2:V14, "Yes")</f>
        <v>0</v>
      </c>
      <c r="I14" s="31">
        <f>IFERROR(VLOOKUP(D14,Kurse!$A:$E,2,FALSE),0)</f>
        <v>0</v>
      </c>
      <c r="K14" s="31">
        <f>SUMIFS($J$3:J14, $D$3:D14, D14, $V$3:V14, "Yes")</f>
        <v>0</v>
      </c>
      <c r="M14" s="31" t="str">
        <f t="shared" si="1"/>
        <v/>
      </c>
      <c r="N14" s="31">
        <f>SUMIFS($M$3:M14, $D$3:D14, D14, $V$3:V14, "Yes")</f>
        <v>0</v>
      </c>
      <c r="O14" s="30" t="str">
        <f t="shared" si="2"/>
        <v/>
      </c>
      <c r="Q14" s="33">
        <f t="shared" si="0"/>
        <v>0</v>
      </c>
    </row>
    <row r="15" spans="1:23" x14ac:dyDescent="0.2">
      <c r="G15" s="102">
        <f>SUMIFS(F$2:F15, D$2:D15, D15, V$2:V15, "Yes")</f>
        <v>0</v>
      </c>
      <c r="I15" s="31">
        <f>IFERROR(VLOOKUP(D15,Kurse!$A:$E,2,FALSE),0)</f>
        <v>0</v>
      </c>
      <c r="K15" s="31">
        <f>SUMIFS($J$3:J15, $D$3:D15, D15, $V$3:V15, "Yes")</f>
        <v>0</v>
      </c>
      <c r="M15" s="31" t="str">
        <f t="shared" si="1"/>
        <v/>
      </c>
      <c r="N15" s="31">
        <f>SUMIFS($M$3:M15, $D$3:D15, D15, $V$3:V15, "Yes")</f>
        <v>0</v>
      </c>
      <c r="O15" s="30" t="str">
        <f t="shared" si="2"/>
        <v/>
      </c>
      <c r="Q15" s="33">
        <f t="shared" si="0"/>
        <v>0</v>
      </c>
    </row>
    <row r="16" spans="1:23" x14ac:dyDescent="0.2">
      <c r="G16" s="102">
        <f>SUMIFS(F$2:F16, D$2:D16, D16, V$2:V16, "Yes")</f>
        <v>0</v>
      </c>
      <c r="I16" s="31">
        <f>IFERROR(VLOOKUP(D16,Kurse!$A:$E,2,FALSE),0)</f>
        <v>0</v>
      </c>
      <c r="K16" s="31">
        <f>SUMIFS($J$3:J16, $D$3:D16, D16, $V$3:V16, "Yes")</f>
        <v>0</v>
      </c>
      <c r="M16" s="31" t="str">
        <f t="shared" si="1"/>
        <v/>
      </c>
      <c r="N16" s="31">
        <f>SUMIFS($M$3:M16, $D$3:D16, D16, $V$3:V16, "Yes")</f>
        <v>0</v>
      </c>
      <c r="O16" s="30" t="str">
        <f t="shared" si="2"/>
        <v/>
      </c>
      <c r="Q16" s="33">
        <f t="shared" si="0"/>
        <v>0</v>
      </c>
    </row>
    <row r="17" spans="7:17" x14ac:dyDescent="0.2">
      <c r="G17" s="102">
        <f>SUMIFS(F$2:F17, D$2:D17, D17, V$2:V17, "Yes")</f>
        <v>0</v>
      </c>
      <c r="I17" s="31">
        <f>IFERROR(VLOOKUP(D17,Kurse!$A:$E,2,FALSE),0)</f>
        <v>0</v>
      </c>
      <c r="K17" s="31">
        <f>SUMIFS($J$3:J17, $D$3:D17, D17, $V$3:V17, "Yes")</f>
        <v>0</v>
      </c>
      <c r="M17" s="31" t="str">
        <f t="shared" si="1"/>
        <v/>
      </c>
      <c r="N17" s="31">
        <f>SUMIFS($M$3:M17, $D$3:D17, D17, $V$3:V17, "Yes")</f>
        <v>0</v>
      </c>
      <c r="O17" s="30" t="str">
        <f t="shared" si="2"/>
        <v/>
      </c>
      <c r="Q17" s="33">
        <f t="shared" si="0"/>
        <v>0</v>
      </c>
    </row>
    <row r="18" spans="7:17" x14ac:dyDescent="0.2">
      <c r="G18" s="102">
        <f>SUMIFS(F$2:F18, D$2:D18, D18, V$2:V18, "Yes")</f>
        <v>0</v>
      </c>
      <c r="I18" s="31">
        <f>IFERROR(VLOOKUP(D18,Kurse!$A:$E,2,FALSE),0)</f>
        <v>0</v>
      </c>
      <c r="K18" s="31">
        <f>SUMIFS($J$3:J18, $D$3:D18, D18, $V$3:V18, "Yes")</f>
        <v>0</v>
      </c>
      <c r="M18" s="31" t="str">
        <f t="shared" si="1"/>
        <v/>
      </c>
      <c r="N18" s="31">
        <f>SUMIFS($M$3:M18, $D$3:D18, D18, $V$3:V18, "Yes")</f>
        <v>0</v>
      </c>
      <c r="O18" s="30" t="str">
        <f t="shared" si="2"/>
        <v/>
      </c>
      <c r="Q18" s="33">
        <f t="shared" si="0"/>
        <v>0</v>
      </c>
    </row>
    <row r="19" spans="7:17" x14ac:dyDescent="0.2">
      <c r="G19" s="102">
        <f>SUMIFS(F$2:F19, D$2:D19, D19, V$2:V19, "Yes")</f>
        <v>0</v>
      </c>
      <c r="I19" s="31">
        <f>IFERROR(VLOOKUP(D19,Kurse!$A:$E,2,FALSE),0)</f>
        <v>0</v>
      </c>
      <c r="K19" s="31">
        <f>SUMIFS($J$3:J19, $D$3:D19, D19, $V$3:V19, "Yes")</f>
        <v>0</v>
      </c>
      <c r="M19" s="31" t="str">
        <f t="shared" si="1"/>
        <v/>
      </c>
      <c r="N19" s="31">
        <f>SUMIFS($M$3:M19, $D$3:D19, D19, $V$3:V19, "Yes")</f>
        <v>0</v>
      </c>
      <c r="O19" s="30" t="str">
        <f t="shared" si="2"/>
        <v/>
      </c>
      <c r="Q19" s="33">
        <f t="shared" si="0"/>
        <v>0</v>
      </c>
    </row>
    <row r="20" spans="7:17" x14ac:dyDescent="0.2">
      <c r="G20" s="102">
        <f>SUMIFS(F$2:F20, D$2:D20, D20, V$2:V20, "Yes")</f>
        <v>0</v>
      </c>
      <c r="I20" s="31">
        <f>IFERROR(VLOOKUP(D20,Kurse!$A:$E,2,FALSE),0)</f>
        <v>0</v>
      </c>
      <c r="K20" s="31">
        <f>SUMIFS($J$3:J20, $D$3:D20, D20, $V$3:V20, "Yes")</f>
        <v>0</v>
      </c>
      <c r="M20" s="31" t="str">
        <f t="shared" si="1"/>
        <v/>
      </c>
      <c r="N20" s="31">
        <f>SUMIFS($M$3:M20, $D$3:D20, D20, $V$3:V20, "Yes")</f>
        <v>0</v>
      </c>
      <c r="O20" s="30" t="str">
        <f t="shared" si="2"/>
        <v/>
      </c>
      <c r="Q20" s="33">
        <f t="shared" si="0"/>
        <v>0</v>
      </c>
    </row>
    <row r="21" spans="7:17" x14ac:dyDescent="0.2">
      <c r="G21" s="102">
        <f>SUMIFS(F$2:F21, D$2:D21, D21, V$2:V21, "Yes")</f>
        <v>0</v>
      </c>
      <c r="I21" s="31">
        <f>IFERROR(VLOOKUP(D21,Kurse!$A:$E,2,FALSE),0)</f>
        <v>0</v>
      </c>
      <c r="K21" s="31">
        <f>SUMIFS($J$3:J21, $D$3:D21, D21, $V$3:V21, "Yes")</f>
        <v>0</v>
      </c>
      <c r="M21" s="31" t="str">
        <f t="shared" si="1"/>
        <v/>
      </c>
      <c r="N21" s="31">
        <f>SUMIFS($M$3:M21, $D$3:D21, D21, $V$3:V21, "Yes")</f>
        <v>0</v>
      </c>
      <c r="O21" s="30" t="str">
        <f t="shared" si="2"/>
        <v/>
      </c>
      <c r="Q21" s="33">
        <f t="shared" si="0"/>
        <v>0</v>
      </c>
    </row>
    <row r="22" spans="7:17" x14ac:dyDescent="0.2">
      <c r="G22" s="102">
        <f>SUMIFS(F$2:F22, D$2:D22, D22, V$2:V22, "Yes")</f>
        <v>0</v>
      </c>
      <c r="I22" s="31">
        <f>IFERROR(VLOOKUP(D22,Kurse!$A:$E,2,FALSE),0)</f>
        <v>0</v>
      </c>
      <c r="K22" s="31">
        <f>SUMIFS($J$3:J22, $D$3:D22, D22, $V$3:V22, "Yes")</f>
        <v>0</v>
      </c>
      <c r="M22" s="31" t="str">
        <f t="shared" si="1"/>
        <v/>
      </c>
      <c r="N22" s="31">
        <f>SUMIFS($M$3:M22, $D$3:D22, D22, $V$3:V22, "Yes")</f>
        <v>0</v>
      </c>
      <c r="O22" s="30" t="str">
        <f t="shared" si="2"/>
        <v/>
      </c>
      <c r="Q22" s="33">
        <f t="shared" si="0"/>
        <v>0</v>
      </c>
    </row>
    <row r="23" spans="7:17" x14ac:dyDescent="0.2">
      <c r="G23" s="102">
        <f>SUMIFS(F$2:F23, D$2:D23, D23, V$2:V23, "Yes")</f>
        <v>0</v>
      </c>
      <c r="I23" s="31">
        <f>IFERROR(VLOOKUP(D23,Kurse!$A:$E,2,FALSE),0)</f>
        <v>0</v>
      </c>
      <c r="K23" s="31">
        <f>SUMIFS($J$3:J23, $D$3:D23, D23, $V$3:V23, "Yes")</f>
        <v>0</v>
      </c>
      <c r="M23" s="31" t="str">
        <f t="shared" si="1"/>
        <v/>
      </c>
      <c r="N23" s="31">
        <f>SUMIFS($M$3:M23, $D$3:D23, D23, $V$3:V23, "Yes")</f>
        <v>0</v>
      </c>
      <c r="O23" s="30" t="str">
        <f t="shared" si="2"/>
        <v/>
      </c>
      <c r="Q23" s="33">
        <f t="shared" si="0"/>
        <v>0</v>
      </c>
    </row>
    <row r="24" spans="7:17" x14ac:dyDescent="0.2">
      <c r="G24" s="102">
        <f>SUMIFS(F$2:F24, D$2:D24, D24, V$2:V24, "Yes")</f>
        <v>0</v>
      </c>
      <c r="I24" s="31">
        <f>IFERROR(VLOOKUP(D24,Kurse!$A:$E,2,FALSE),0)</f>
        <v>0</v>
      </c>
      <c r="K24" s="31">
        <f>SUMIFS($J$3:J24, $D$3:D24, D24, $V$3:V24, "Yes")</f>
        <v>0</v>
      </c>
      <c r="M24" s="31" t="str">
        <f t="shared" si="1"/>
        <v/>
      </c>
      <c r="N24" s="31">
        <f>SUMIFS($M$3:M24, $D$3:D24, D24, $V$3:V24, "Yes")</f>
        <v>0</v>
      </c>
      <c r="O24" s="30" t="str">
        <f t="shared" si="2"/>
        <v/>
      </c>
      <c r="Q24" s="33">
        <f t="shared" si="0"/>
        <v>0</v>
      </c>
    </row>
    <row r="25" spans="7:17" x14ac:dyDescent="0.2">
      <c r="G25" s="102">
        <f>SUMIFS(F$2:F25, D$2:D25, D25, V$2:V25, "Yes")</f>
        <v>0</v>
      </c>
      <c r="I25" s="31">
        <f>IFERROR(VLOOKUP(D25,Kurse!$A:$E,2,FALSE),0)</f>
        <v>0</v>
      </c>
      <c r="K25" s="31">
        <f>SUMIFS($J$3:J25, $D$3:D25, D25, $V$3:V25, "Yes")</f>
        <v>0</v>
      </c>
      <c r="M25" s="31" t="str">
        <f t="shared" si="1"/>
        <v/>
      </c>
      <c r="N25" s="31">
        <f>SUMIFS($M$3:M25, $D$3:D25, D25, $V$3:V25, "Yes")</f>
        <v>0</v>
      </c>
      <c r="O25" s="30" t="str">
        <f t="shared" si="2"/>
        <v/>
      </c>
      <c r="Q25" s="33">
        <f t="shared" si="0"/>
        <v>0</v>
      </c>
    </row>
    <row r="26" spans="7:17" x14ac:dyDescent="0.2">
      <c r="G26" s="102">
        <f>SUMIFS(F$2:F26, D$2:D26, D26, V$2:V26, "Yes")</f>
        <v>0</v>
      </c>
      <c r="I26" s="31">
        <f>IFERROR(VLOOKUP(D26,Kurse!$A:$E,2,FALSE),0)</f>
        <v>0</v>
      </c>
      <c r="K26" s="31">
        <f>SUMIFS($J$3:J26, $D$3:D26, D26, $V$3:V26, "Yes")</f>
        <v>0</v>
      </c>
      <c r="M26" s="31" t="str">
        <f t="shared" si="1"/>
        <v/>
      </c>
      <c r="N26" s="31">
        <f>SUMIFS($M$3:M26, $D$3:D26, D26, $V$3:V26, "Yes")</f>
        <v>0</v>
      </c>
      <c r="O26" s="30" t="str">
        <f t="shared" si="2"/>
        <v/>
      </c>
      <c r="Q26" s="33">
        <f t="shared" si="0"/>
        <v>0</v>
      </c>
    </row>
    <row r="27" spans="7:17" x14ac:dyDescent="0.2">
      <c r="G27" s="102">
        <f>SUMIFS(F$2:F27, D$2:D27, D27, V$2:V27, "Yes")</f>
        <v>0</v>
      </c>
      <c r="I27" s="31">
        <f>IFERROR(VLOOKUP(D27,Kurse!$A:$E,2,FALSE),0)</f>
        <v>0</v>
      </c>
      <c r="K27" s="31">
        <f>SUMIFS($J$3:J27, $D$3:D27, D27, $V$3:V27, "Yes")</f>
        <v>0</v>
      </c>
      <c r="M27" s="31" t="str">
        <f t="shared" si="1"/>
        <v/>
      </c>
      <c r="N27" s="31">
        <f>SUMIFS($M$3:M27, $D$3:D27, D27, $V$3:V27, "Yes")</f>
        <v>0</v>
      </c>
      <c r="O27" s="30" t="str">
        <f t="shared" si="2"/>
        <v/>
      </c>
      <c r="Q27" s="33">
        <f t="shared" si="0"/>
        <v>0</v>
      </c>
    </row>
    <row r="28" spans="7:17" x14ac:dyDescent="0.2">
      <c r="G28" s="102">
        <f>SUMIFS(F$2:F28, D$2:D28, D28, V$2:V28, "Yes")</f>
        <v>0</v>
      </c>
      <c r="I28" s="31">
        <f>IFERROR(VLOOKUP(D28,Kurse!$A:$E,2,FALSE),0)</f>
        <v>0</v>
      </c>
      <c r="K28" s="31">
        <f>SUMIFS($J$3:J28, $D$3:D28, D28, $V$3:V28, "Yes")</f>
        <v>0</v>
      </c>
      <c r="M28" s="31" t="str">
        <f t="shared" si="1"/>
        <v/>
      </c>
      <c r="N28" s="31">
        <f>SUMIFS($M$3:M28, $D$3:D28, D28, $V$3:V28, "Yes")</f>
        <v>0</v>
      </c>
      <c r="O28" s="30" t="str">
        <f t="shared" si="2"/>
        <v/>
      </c>
      <c r="Q28" s="33">
        <f t="shared" si="0"/>
        <v>0</v>
      </c>
    </row>
    <row r="29" spans="7:17" x14ac:dyDescent="0.2">
      <c r="G29" s="102">
        <f>SUMIFS(F$2:F29, D$2:D29, D29, V$2:V29, "Yes")</f>
        <v>0</v>
      </c>
      <c r="I29" s="31">
        <f>IFERROR(VLOOKUP(D29,Kurse!$A:$E,2,FALSE),0)</f>
        <v>0</v>
      </c>
      <c r="K29" s="31">
        <f>SUMIFS($J$3:J29, $D$3:D29, D29, $V$3:V29, "Yes")</f>
        <v>0</v>
      </c>
      <c r="M29" s="31" t="str">
        <f t="shared" si="1"/>
        <v/>
      </c>
      <c r="N29" s="31">
        <f>SUMIFS($M$3:M29, $D$3:D29, D29, $V$3:V29, "Yes")</f>
        <v>0</v>
      </c>
      <c r="O29" s="30" t="str">
        <f t="shared" si="2"/>
        <v/>
      </c>
      <c r="Q29" s="33">
        <f t="shared" si="0"/>
        <v>0</v>
      </c>
    </row>
    <row r="30" spans="7:17" x14ac:dyDescent="0.2">
      <c r="G30" s="102">
        <f>SUMIFS(F$2:F30, D$2:D30, D30, V$2:V30, "Yes")</f>
        <v>0</v>
      </c>
      <c r="I30" s="31">
        <f>IFERROR(VLOOKUP(D30,Kurse!$A:$E,2,FALSE),0)</f>
        <v>0</v>
      </c>
      <c r="K30" s="31">
        <f>SUMIFS($J$3:J30, $D$3:D30, D30, $V$3:V30, "Yes")</f>
        <v>0</v>
      </c>
      <c r="M30" s="31" t="str">
        <f t="shared" si="1"/>
        <v/>
      </c>
      <c r="N30" s="31">
        <f>SUMIFS($M$3:M30, $D$3:D30, D30, $V$3:V30, "Yes")</f>
        <v>0</v>
      </c>
      <c r="O30" s="30" t="str">
        <f t="shared" si="2"/>
        <v/>
      </c>
      <c r="Q30" s="33">
        <f t="shared" si="0"/>
        <v>0</v>
      </c>
    </row>
  </sheetData>
  <dataValidations count="5">
    <dataValidation type="list" allowBlank="1" showInputMessage="1" showErrorMessage="1" sqref="R2:R30" xr:uid="{EA1CECE5-F369-524C-8D54-7F0600D5F93A}">
      <formula1>"Savings Plan,One-Time Purchase,Sell,Rebalancing,Test,Dividend"</formula1>
    </dataValidation>
    <dataValidation type="list" allowBlank="1" showInputMessage="1" showErrorMessage="1" sqref="C2:C20" xr:uid="{00D4B1BF-A76C-B74E-ACF1-E3335E6A1F36}">
      <formula1>"Scalable Capital,Trade Republic,Other"</formula1>
    </dataValidation>
    <dataValidation type="list" allowBlank="1" showInputMessage="1" showErrorMessage="1" sqref="U2:U30" xr:uid="{1A64A6C2-9C06-B848-A32A-368DFB0D59F7}">
      <formula1>"ETF,Cryptocurrency,Commodity,Cash,Other,Equity"</formula1>
    </dataValidation>
    <dataValidation type="list" allowBlank="1" showInputMessage="1" showErrorMessage="1" sqref="V2:V3" xr:uid="{A2509FE9-EF52-3944-A93B-1D48A3D314E4}">
      <formula1>"Yes,No"</formula1>
    </dataValidation>
    <dataValidation type="list" allowBlank="1" showInputMessage="1" showErrorMessage="1" sqref="S2" xr:uid="{D6C7B971-BDB6-534D-BF67-03EFAF7190EC}">
      <formula1>"Mikroinvestition"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B8E8-C50F-3E46-8A03-D00961D7918B}">
  <dimension ref="A1:H35"/>
  <sheetViews>
    <sheetView workbookViewId="0">
      <selection activeCell="G31" sqref="G31"/>
    </sheetView>
  </sheetViews>
  <sheetFormatPr baseColWidth="10" defaultRowHeight="16" x14ac:dyDescent="0.2"/>
  <cols>
    <col min="1" max="1" width="40.33203125" style="37" bestFit="1" customWidth="1"/>
    <col min="2" max="2" width="20.6640625" style="37" bestFit="1" customWidth="1"/>
    <col min="3" max="3" width="17.5" style="37" bestFit="1" customWidth="1"/>
    <col min="4" max="4" width="20.5" style="37" bestFit="1" customWidth="1"/>
    <col min="5" max="5" width="14" style="37" bestFit="1" customWidth="1"/>
    <col min="6" max="6" width="23.1640625" style="37" bestFit="1" customWidth="1"/>
    <col min="7" max="7" width="10.33203125" style="37" bestFit="1" customWidth="1"/>
    <col min="8" max="8" width="11.83203125" style="37" bestFit="1" customWidth="1"/>
    <col min="9" max="16384" width="10.83203125" style="37"/>
  </cols>
  <sheetData>
    <row r="1" spans="1:8" x14ac:dyDescent="0.2">
      <c r="A1" s="103" t="s">
        <v>3</v>
      </c>
      <c r="B1" s="104" t="s">
        <v>76</v>
      </c>
      <c r="C1" s="105" t="s">
        <v>87</v>
      </c>
      <c r="D1" s="106" t="s">
        <v>73</v>
      </c>
      <c r="E1" s="107" t="s">
        <v>77</v>
      </c>
      <c r="F1" s="108" t="s">
        <v>72</v>
      </c>
      <c r="G1" s="109" t="s">
        <v>74</v>
      </c>
      <c r="H1" s="108" t="s">
        <v>75</v>
      </c>
    </row>
    <row r="2" spans="1:8" x14ac:dyDescent="0.2">
      <c r="A2" s="110" t="s">
        <v>95</v>
      </c>
      <c r="B2" s="113">
        <f>SUMIF(Mikroinvestition!D:D,A2,Mikroinvestition!F:F)</f>
        <v>2</v>
      </c>
      <c r="C2" s="60">
        <f>IFERROR(B2*VLOOKUP(A2,Mikroinvestition!D:I,6,FALSE),0)</f>
        <v>15.82</v>
      </c>
      <c r="D2" s="61">
        <f>SUMIF(Mikroinvestition!D:D, A2, Mikroinvestition!J:J)</f>
        <v>20</v>
      </c>
      <c r="E2" s="60">
        <f>SUMIF(Mikroinvestition!D:D, A2, Mikroinvestition!M:M)</f>
        <v>21</v>
      </c>
      <c r="F2" s="111">
        <f>IFERROR(C2/SUM($C$2:$C$3),0)</f>
        <v>0.62255523111674282</v>
      </c>
      <c r="G2" s="60">
        <f>C2-E2</f>
        <v>-5.18</v>
      </c>
      <c r="H2" s="112">
        <f>IF(E2=0, "", (C2 - E2)/E2)</f>
        <v>-0.24666666666666665</v>
      </c>
    </row>
    <row r="3" spans="1:8" x14ac:dyDescent="0.2">
      <c r="A3" s="37" t="s">
        <v>99</v>
      </c>
      <c r="B3" s="113">
        <f>SUMIF(Mikroinvestition!D:D,A3,Mikroinvestition!F:F)</f>
        <v>1.82</v>
      </c>
      <c r="C3" s="60">
        <f>IFERROR(B3*VLOOKUP(A3,Mikroinvestition!D:I,6,FALSE),0)</f>
        <v>9.5914000000000001</v>
      </c>
      <c r="D3" s="61">
        <f>SUMIF(Mikroinvestition!D:D, A3, Mikroinvestition!J:J)</f>
        <v>9.7799999999999994</v>
      </c>
      <c r="E3" s="60">
        <f>SUMIF(Mikroinvestition!D:D, A3, Mikroinvestition!M:M)</f>
        <v>10.78</v>
      </c>
      <c r="F3" s="111">
        <f>IFERROR(C3/SUM($C$2:$C$3),0)</f>
        <v>0.37744476888325712</v>
      </c>
      <c r="G3" s="60">
        <f>C3-E3</f>
        <v>-1.1885999999999992</v>
      </c>
      <c r="H3" s="112">
        <f>IF(E3=0, "", (C3 - E3)/E3)</f>
        <v>-0.1102597402597402</v>
      </c>
    </row>
    <row r="4" spans="1:8" x14ac:dyDescent="0.2">
      <c r="B4" s="113">
        <f>SUMIF(Mikroinvestition!D:D,A4,Mikroinvestition!F:F)</f>
        <v>0</v>
      </c>
      <c r="C4" s="60">
        <f>IFERROR(B4*VLOOKUP(A4,Mikroinvestition!D:I,6,FALSE),0)</f>
        <v>0</v>
      </c>
      <c r="D4" s="61">
        <f>SUMIF(Mikroinvestition!D:D, A4, Mikroinvestition!J:J)</f>
        <v>0</v>
      </c>
      <c r="E4" s="60">
        <f>SUMIF(Mikroinvestition!D:D, A4, Mikroinvestition!M:M)</f>
        <v>0</v>
      </c>
    </row>
    <row r="5" spans="1:8" x14ac:dyDescent="0.2">
      <c r="B5" s="113">
        <f>SUMIF(Mikroinvestition!D:D,A5,Mikroinvestition!F:F)</f>
        <v>0</v>
      </c>
      <c r="C5" s="60">
        <f>IFERROR(B5*VLOOKUP(A5,Mikroinvestition!D:I,6,FALSE),0)</f>
        <v>0</v>
      </c>
      <c r="D5" s="61">
        <f>SUMIF(Mikroinvestition!D:D, A5, Mikroinvestition!J:J)</f>
        <v>0</v>
      </c>
      <c r="E5" s="60">
        <f>SUMIF(Mikroinvestition!D:D, A5, Mikroinvestition!M:M)</f>
        <v>0</v>
      </c>
    </row>
    <row r="6" spans="1:8" x14ac:dyDescent="0.2">
      <c r="B6" s="113">
        <f>SUMIF(Mikroinvestition!D:D,A6,Mikroinvestition!F:F)</f>
        <v>0</v>
      </c>
      <c r="C6" s="60">
        <f>IFERROR(B6*VLOOKUP(A6,Mikroinvestition!D:I,6,FALSE),0)</f>
        <v>0</v>
      </c>
      <c r="D6" s="61">
        <f>SUMIF(Mikroinvestition!D:D, A6, Mikroinvestition!J:J)</f>
        <v>0</v>
      </c>
      <c r="E6" s="60">
        <f>SUMIF(Mikroinvestition!D:D, A6, Mikroinvestition!M:M)</f>
        <v>0</v>
      </c>
    </row>
    <row r="7" spans="1:8" x14ac:dyDescent="0.2">
      <c r="B7" s="113">
        <f>SUMIF(Mikroinvestition!D:D,A7,Mikroinvestition!F:F)</f>
        <v>0</v>
      </c>
      <c r="C7" s="60">
        <f>IFERROR(B7*VLOOKUP(A7,Mikroinvestition!D:I,6,FALSE),0)</f>
        <v>0</v>
      </c>
      <c r="D7" s="61">
        <f>SUMIF(Mikroinvestition!D:D, A7, Mikroinvestition!J:J)</f>
        <v>0</v>
      </c>
      <c r="E7" s="60">
        <f>SUMIF(Mikroinvestition!D:D, A7, Mikroinvestition!M:M)</f>
        <v>0</v>
      </c>
    </row>
    <row r="8" spans="1:8" x14ac:dyDescent="0.2">
      <c r="B8" s="113">
        <f>SUMIF(Mikroinvestition!D:D,A8,Mikroinvestition!F:F)</f>
        <v>0</v>
      </c>
      <c r="C8" s="60">
        <f>IFERROR(B8*VLOOKUP(A8,Mikroinvestition!D:I,6,FALSE),0)</f>
        <v>0</v>
      </c>
      <c r="D8" s="61">
        <f>SUMIF(Mikroinvestition!D:D, A8, Mikroinvestition!J:J)</f>
        <v>0</v>
      </c>
      <c r="E8" s="60">
        <f>SUMIF(Mikroinvestition!D:D, A8, Mikroinvestition!M:M)</f>
        <v>0</v>
      </c>
    </row>
    <row r="9" spans="1:8" x14ac:dyDescent="0.2">
      <c r="B9" s="113">
        <f>SUMIF(Mikroinvestition!D:D,A9,Mikroinvestition!F:F)</f>
        <v>0</v>
      </c>
      <c r="C9" s="60">
        <f>IFERROR(B9*VLOOKUP(A9,Mikroinvestition!D:I,6,FALSE),0)</f>
        <v>0</v>
      </c>
      <c r="D9" s="61">
        <f>SUMIF(Mikroinvestition!D:D, A9, Mikroinvestition!J:J)</f>
        <v>0</v>
      </c>
      <c r="E9" s="60">
        <f>SUMIF(Mikroinvestition!D:D, A9, Mikroinvestition!M:M)</f>
        <v>0</v>
      </c>
    </row>
    <row r="10" spans="1:8" x14ac:dyDescent="0.2">
      <c r="B10" s="113">
        <f>SUMIF(Mikroinvestition!D:D,A10,Mikroinvestition!F:F)</f>
        <v>0</v>
      </c>
      <c r="C10" s="60">
        <f>IFERROR(B10*VLOOKUP(A10,Mikroinvestition!D:I,6,FALSE),0)</f>
        <v>0</v>
      </c>
      <c r="D10" s="61">
        <f>SUMIF(Mikroinvestition!D:D, A10, Mikroinvestition!J:J)</f>
        <v>0</v>
      </c>
      <c r="E10" s="60">
        <f>SUMIF(Mikroinvestition!D:D, A10, Mikroinvestition!M:M)</f>
        <v>0</v>
      </c>
    </row>
    <row r="11" spans="1:8" x14ac:dyDescent="0.2">
      <c r="B11" s="113">
        <f>SUMIF(Mikroinvestition!D:D,A11,Mikroinvestition!F:F)</f>
        <v>0</v>
      </c>
      <c r="C11" s="60">
        <f>IFERROR(B11*VLOOKUP(A11,Mikroinvestition!D:I,6,FALSE),0)</f>
        <v>0</v>
      </c>
      <c r="D11" s="61">
        <f>SUMIF(Mikroinvestition!D:D, A11, Mikroinvestition!J:J)</f>
        <v>0</v>
      </c>
      <c r="E11" s="60">
        <f>SUMIF(Mikroinvestition!D:D, A11, Mikroinvestition!M:M)</f>
        <v>0</v>
      </c>
    </row>
    <row r="12" spans="1:8" x14ac:dyDescent="0.2">
      <c r="B12" s="113">
        <f>SUMIF(Mikroinvestition!D:D,A12,Mikroinvestition!F:F)</f>
        <v>0</v>
      </c>
      <c r="C12" s="60">
        <f>IFERROR(B12*VLOOKUP(A12,Mikroinvestition!D:I,6,FALSE),0)</f>
        <v>0</v>
      </c>
      <c r="D12" s="61">
        <f>SUMIF(Mikroinvestition!D:D, A12, Mikroinvestition!J:J)</f>
        <v>0</v>
      </c>
      <c r="E12" s="60">
        <f>SUMIF(Mikroinvestition!D:D, A12, Mikroinvestition!M:M)</f>
        <v>0</v>
      </c>
    </row>
    <row r="13" spans="1:8" x14ac:dyDescent="0.2">
      <c r="B13" s="113">
        <f>SUMIF(Mikroinvestition!D:D,A13,Mikroinvestition!F:F)</f>
        <v>0</v>
      </c>
      <c r="C13" s="60">
        <f>IFERROR(B13*VLOOKUP(A13,Mikroinvestition!D:I,6,FALSE),0)</f>
        <v>0</v>
      </c>
      <c r="D13" s="61">
        <f>SUMIF(Mikroinvestition!D:D, A13, Mikroinvestition!J:J)</f>
        <v>0</v>
      </c>
      <c r="E13" s="60">
        <f>SUMIF(Mikroinvestition!D:D, A13, Mikroinvestition!M:M)</f>
        <v>0</v>
      </c>
    </row>
    <row r="14" spans="1:8" x14ac:dyDescent="0.2">
      <c r="B14" s="113">
        <f>SUMIF(Mikroinvestition!D:D,A14,Mikroinvestition!F:F)</f>
        <v>0</v>
      </c>
      <c r="C14" s="60">
        <f>IFERROR(B14*VLOOKUP(A14,Mikroinvestition!D:I,6,FALSE),0)</f>
        <v>0</v>
      </c>
      <c r="D14" s="61">
        <f>SUMIF(Mikroinvestition!D:D, A14, Mikroinvestition!J:J)</f>
        <v>0</v>
      </c>
      <c r="E14" s="60">
        <f>SUMIF(Mikroinvestition!D:D, A14, Mikroinvestition!M:M)</f>
        <v>0</v>
      </c>
    </row>
    <row r="15" spans="1:8" x14ac:dyDescent="0.2">
      <c r="B15" s="113">
        <f>SUMIF(Mikroinvestition!D:D,A15,Mikroinvestition!F:F)</f>
        <v>0</v>
      </c>
      <c r="C15" s="60">
        <f>IFERROR(B15*VLOOKUP(A15,Mikroinvestition!D:I,6,FALSE),0)</f>
        <v>0</v>
      </c>
      <c r="D15" s="61">
        <f>SUMIF(Mikroinvestition!D:D, A15, Mikroinvestition!J:J)</f>
        <v>0</v>
      </c>
      <c r="E15" s="60">
        <f>SUMIF(Mikroinvestition!D:D, A15, Mikroinvestition!M:M)</f>
        <v>0</v>
      </c>
    </row>
    <row r="16" spans="1:8" x14ac:dyDescent="0.2">
      <c r="B16" s="113">
        <f>SUMIF(Mikroinvestition!D:D,A16,Mikroinvestition!F:F)</f>
        <v>0</v>
      </c>
      <c r="C16" s="60">
        <f>IFERROR(B16*VLOOKUP(A16,Mikroinvestition!D:I,6,FALSE),0)</f>
        <v>0</v>
      </c>
      <c r="D16" s="61">
        <f>SUMIF(Mikroinvestition!D:D, A16, Mikroinvestition!J:J)</f>
        <v>0</v>
      </c>
      <c r="E16" s="60">
        <f>SUMIF(Mikroinvestition!D:D, A16, Mikroinvestition!M:M)</f>
        <v>0</v>
      </c>
    </row>
    <row r="17" spans="2:5" x14ac:dyDescent="0.2">
      <c r="B17" s="113">
        <f>SUMIF(Mikroinvestition!D:D,A17,Mikroinvestition!F:F)</f>
        <v>0</v>
      </c>
      <c r="C17" s="60">
        <f>IFERROR(B17*VLOOKUP(A17,Mikroinvestition!D:I,6,FALSE),0)</f>
        <v>0</v>
      </c>
      <c r="D17" s="61">
        <f>SUMIF(Mikroinvestition!D:D, A17, Mikroinvestition!J:J)</f>
        <v>0</v>
      </c>
      <c r="E17" s="60">
        <f>SUMIF(Mikroinvestition!D:D, A17, Mikroinvestition!M:M)</f>
        <v>0</v>
      </c>
    </row>
    <row r="18" spans="2:5" x14ac:dyDescent="0.2">
      <c r="B18" s="113">
        <f>SUMIF(Mikroinvestition!D:D,A18,Mikroinvestition!F:F)</f>
        <v>0</v>
      </c>
      <c r="C18" s="60">
        <f>IFERROR(B18*VLOOKUP(A18,Mikroinvestition!D:I,6,FALSE),0)</f>
        <v>0</v>
      </c>
      <c r="D18" s="61">
        <f>SUMIF(Mikroinvestition!D:D, A18, Mikroinvestition!J:J)</f>
        <v>0</v>
      </c>
      <c r="E18" s="60">
        <f>SUMIF(Mikroinvestition!D:D, A18, Mikroinvestition!M:M)</f>
        <v>0</v>
      </c>
    </row>
    <row r="19" spans="2:5" x14ac:dyDescent="0.2">
      <c r="B19" s="113">
        <f>SUMIF(Mikroinvestition!D:D,A19,Mikroinvestition!F:F)</f>
        <v>0</v>
      </c>
      <c r="C19" s="60">
        <f>IFERROR(B19*VLOOKUP(A19,Mikroinvestition!D:I,6,FALSE),0)</f>
        <v>0</v>
      </c>
      <c r="D19" s="61">
        <f>SUMIF(Mikroinvestition!D:D, A19, Mikroinvestition!J:J)</f>
        <v>0</v>
      </c>
      <c r="E19" s="60">
        <f>SUMIF(Mikroinvestition!D:D, A19, Mikroinvestition!M:M)</f>
        <v>0</v>
      </c>
    </row>
    <row r="20" spans="2:5" x14ac:dyDescent="0.2">
      <c r="B20" s="113">
        <f>SUMIF(Mikroinvestition!D:D,A20,Mikroinvestition!F:F)</f>
        <v>0</v>
      </c>
      <c r="C20" s="60">
        <f>IFERROR(B20*VLOOKUP(A20,Mikroinvestition!D:I,6,FALSE),0)</f>
        <v>0</v>
      </c>
      <c r="D20" s="61">
        <f>SUMIF(Mikroinvestition!D:D, A20, Mikroinvestition!J:J)</f>
        <v>0</v>
      </c>
      <c r="E20" s="60">
        <f>SUMIF(Mikroinvestition!D:D, A20, Mikroinvestition!M:M)</f>
        <v>0</v>
      </c>
    </row>
    <row r="21" spans="2:5" x14ac:dyDescent="0.2">
      <c r="B21" s="113">
        <f>SUMIF(Mikroinvestition!D:D,A21,Mikroinvestition!F:F)</f>
        <v>0</v>
      </c>
      <c r="C21" s="60">
        <f>IFERROR(B21*VLOOKUP(A21,Mikroinvestition!D:I,6,FALSE),0)</f>
        <v>0</v>
      </c>
      <c r="D21" s="61">
        <f>SUMIF(Mikroinvestition!D:D, A21, Mikroinvestition!J:J)</f>
        <v>0</v>
      </c>
      <c r="E21" s="60">
        <f>SUMIF(Mikroinvestition!D:D, A21, Mikroinvestition!M:M)</f>
        <v>0</v>
      </c>
    </row>
    <row r="22" spans="2:5" x14ac:dyDescent="0.2">
      <c r="B22" s="113">
        <f>SUMIF(Mikroinvestition!D:D,A22,Mikroinvestition!F:F)</f>
        <v>0</v>
      </c>
      <c r="C22" s="60">
        <f>IFERROR(B22*VLOOKUP(A22,Mikroinvestition!D:I,6,FALSE),0)</f>
        <v>0</v>
      </c>
      <c r="D22" s="61">
        <f>SUMIF(Mikroinvestition!D:D, A22, Mikroinvestition!J:J)</f>
        <v>0</v>
      </c>
      <c r="E22" s="60">
        <f>SUMIF(Mikroinvestition!D:D, A22, Mikroinvestition!M:M)</f>
        <v>0</v>
      </c>
    </row>
    <row r="23" spans="2:5" x14ac:dyDescent="0.2">
      <c r="B23" s="113">
        <f>SUMIF(Mikroinvestition!D:D,A23,Mikroinvestition!F:F)</f>
        <v>0</v>
      </c>
      <c r="C23" s="60">
        <f>IFERROR(B23*VLOOKUP(A23,Mikroinvestition!D:I,6,FALSE),0)</f>
        <v>0</v>
      </c>
      <c r="D23" s="61">
        <f>SUMIF(Mikroinvestition!D:D, A23, Mikroinvestition!J:J)</f>
        <v>0</v>
      </c>
      <c r="E23" s="60">
        <f>SUMIF(Mikroinvestition!D:D, A23, Mikroinvestition!M:M)</f>
        <v>0</v>
      </c>
    </row>
    <row r="24" spans="2:5" x14ac:dyDescent="0.2">
      <c r="B24" s="113">
        <f>SUMIF(Mikroinvestition!D:D,A24,Mikroinvestition!F:F)</f>
        <v>0</v>
      </c>
      <c r="C24" s="60">
        <f>IFERROR(B24*VLOOKUP(A24,Mikroinvestition!D:I,6,FALSE),0)</f>
        <v>0</v>
      </c>
      <c r="D24" s="61">
        <f>SUMIF(Mikroinvestition!D:D, A24, Mikroinvestition!J:J)</f>
        <v>0</v>
      </c>
      <c r="E24" s="60">
        <f>SUMIF(Mikroinvestition!D:D, A24, Mikroinvestition!M:M)</f>
        <v>0</v>
      </c>
    </row>
    <row r="25" spans="2:5" x14ac:dyDescent="0.2">
      <c r="B25" s="113">
        <f>SUMIF(Mikroinvestition!D:D,A25,Mikroinvestition!F:F)</f>
        <v>0</v>
      </c>
      <c r="C25" s="60">
        <f>IFERROR(B25*VLOOKUP(A25,Mikroinvestition!D:I,6,FALSE),0)</f>
        <v>0</v>
      </c>
      <c r="D25" s="61">
        <f>SUMIF(Mikroinvestition!D:D, A25, Mikroinvestition!J:J)</f>
        <v>0</v>
      </c>
      <c r="E25" s="60">
        <f>SUMIF(Mikroinvestition!D:D, A25, Mikroinvestition!M:M)</f>
        <v>0</v>
      </c>
    </row>
    <row r="26" spans="2:5" x14ac:dyDescent="0.2">
      <c r="B26" s="113">
        <f>SUMIF(Mikroinvestition!D:D,A26,Mikroinvestition!F:F)</f>
        <v>0</v>
      </c>
      <c r="C26" s="60">
        <f>IFERROR(B26*VLOOKUP(A26,Mikroinvestition!D:I,6,FALSE),0)</f>
        <v>0</v>
      </c>
      <c r="D26" s="61">
        <f>SUMIF(Mikroinvestition!D:D, A26, Mikroinvestition!J:J)</f>
        <v>0</v>
      </c>
      <c r="E26" s="60">
        <f>SUMIF(Mikroinvestition!D:D, A26, Mikroinvestition!M:M)</f>
        <v>0</v>
      </c>
    </row>
    <row r="27" spans="2:5" x14ac:dyDescent="0.2">
      <c r="B27" s="113">
        <f>SUMIF(Mikroinvestition!D:D,A27,Mikroinvestition!F:F)</f>
        <v>0</v>
      </c>
      <c r="C27" s="60">
        <f>IFERROR(B27*VLOOKUP(A27,Mikroinvestition!D:I,6,FALSE),0)</f>
        <v>0</v>
      </c>
      <c r="D27" s="61">
        <f>SUMIF(Mikroinvestition!D:D, A27, Mikroinvestition!J:J)</f>
        <v>0</v>
      </c>
      <c r="E27" s="60">
        <f>SUMIF(Mikroinvestition!D:D, A27, Mikroinvestition!M:M)</f>
        <v>0</v>
      </c>
    </row>
    <row r="28" spans="2:5" x14ac:dyDescent="0.2">
      <c r="B28" s="113">
        <f>SUMIF(Mikroinvestition!D:D,A28,Mikroinvestition!F:F)</f>
        <v>0</v>
      </c>
      <c r="C28" s="60">
        <f>IFERROR(B28*VLOOKUP(A28,Mikroinvestition!D:I,6,FALSE),0)</f>
        <v>0</v>
      </c>
      <c r="D28" s="61">
        <f>SUMIF(Mikroinvestition!D:D, A28, Mikroinvestition!J:J)</f>
        <v>0</v>
      </c>
      <c r="E28" s="60">
        <f>SUMIF(Mikroinvestition!D:D, A28, Mikroinvestition!M:M)</f>
        <v>0</v>
      </c>
    </row>
    <row r="29" spans="2:5" x14ac:dyDescent="0.2">
      <c r="B29" s="113">
        <f>SUMIF(Mikroinvestition!D:D,A29,Mikroinvestition!F:F)</f>
        <v>0</v>
      </c>
      <c r="C29" s="60">
        <f>IFERROR(B29*VLOOKUP(A29,Mikroinvestition!D:I,6,FALSE),0)</f>
        <v>0</v>
      </c>
      <c r="D29" s="61">
        <f>SUMIF(Mikroinvestition!D:D, A29, Mikroinvestition!J:J)</f>
        <v>0</v>
      </c>
      <c r="E29" s="60">
        <f>SUMIF(Mikroinvestition!D:D, A29, Mikroinvestition!M:M)</f>
        <v>0</v>
      </c>
    </row>
    <row r="30" spans="2:5" x14ac:dyDescent="0.2">
      <c r="B30" s="113">
        <f>SUMIF(Mikroinvestition!D:D,A30,Mikroinvestition!F:F)</f>
        <v>0</v>
      </c>
      <c r="C30" s="60">
        <f>IFERROR(B30*VLOOKUP(A30,Mikroinvestition!D:I,6,FALSE),0)</f>
        <v>0</v>
      </c>
      <c r="D30" s="61">
        <f>SUMIF(Mikroinvestition!D:D, A30, Mikroinvestition!J:J)</f>
        <v>0</v>
      </c>
      <c r="E30" s="60">
        <f>SUMIF(Mikroinvestition!D:D, A30, Mikroinvestition!M:M)</f>
        <v>0</v>
      </c>
    </row>
    <row r="31" spans="2:5" x14ac:dyDescent="0.2">
      <c r="B31" s="113">
        <f>SUMIF(Mikroinvestition!D:D,A31,Mikroinvestition!F:F)</f>
        <v>0</v>
      </c>
      <c r="C31" s="60">
        <f>IFERROR(B31*VLOOKUP(A31,Mikroinvestition!D:I,6,FALSE),0)</f>
        <v>0</v>
      </c>
      <c r="D31" s="61">
        <f>SUMIF(Mikroinvestition!D:D, A31, Mikroinvestition!J:J)</f>
        <v>0</v>
      </c>
      <c r="E31" s="60">
        <f>SUMIF(Mikroinvestition!D:D, A31, Mikroinvestition!M:M)</f>
        <v>0</v>
      </c>
    </row>
    <row r="32" spans="2:5" x14ac:dyDescent="0.2">
      <c r="B32" s="113">
        <f>SUMIF(Mikroinvestition!D:D,A32,Mikroinvestition!F:F)</f>
        <v>0</v>
      </c>
      <c r="C32" s="60">
        <f>IFERROR(B32*VLOOKUP(A32,Mikroinvestition!D:I,6,FALSE),0)</f>
        <v>0</v>
      </c>
      <c r="D32" s="61">
        <f>SUMIF(Mikroinvestition!D:D, A32, Mikroinvestition!J:J)</f>
        <v>0</v>
      </c>
      <c r="E32" s="60">
        <f>SUMIF(Mikroinvestition!D:D, A32, Mikroinvestition!M:M)</f>
        <v>0</v>
      </c>
    </row>
    <row r="33" spans="2:5" x14ac:dyDescent="0.2">
      <c r="B33" s="113">
        <f>SUMIF(Mikroinvestition!D:D,A33,Mikroinvestition!F:F)</f>
        <v>0</v>
      </c>
      <c r="C33" s="60">
        <f>IFERROR(B33*VLOOKUP(A33,Mikroinvestition!D:I,6,FALSE),0)</f>
        <v>0</v>
      </c>
      <c r="D33" s="61">
        <f>SUMIF(Mikroinvestition!D:D, A33, Mikroinvestition!J:J)</f>
        <v>0</v>
      </c>
      <c r="E33" s="60">
        <f>SUMIF(Mikroinvestition!D:D, A33, Mikroinvestition!M:M)</f>
        <v>0</v>
      </c>
    </row>
    <row r="34" spans="2:5" x14ac:dyDescent="0.2">
      <c r="B34" s="113">
        <f>SUMIF(Mikroinvestition!D:D,A34,Mikroinvestition!F:F)</f>
        <v>0</v>
      </c>
      <c r="C34" s="60">
        <f>IFERROR(B34*VLOOKUP(A34,Mikroinvestition!D:I,6,FALSE),0)</f>
        <v>0</v>
      </c>
      <c r="D34" s="61">
        <f>SUMIF(Mikroinvestition!D:D, A34, Mikroinvestition!J:J)</f>
        <v>0</v>
      </c>
      <c r="E34" s="60">
        <f>SUMIF(Mikroinvestition!D:D, A34, Mikroinvestition!M:M)</f>
        <v>0</v>
      </c>
    </row>
    <row r="35" spans="2:5" x14ac:dyDescent="0.2">
      <c r="B35" s="113">
        <f>SUMIF(Mikroinvestition!D:D,A35,Mikroinvestition!F:F)</f>
        <v>0</v>
      </c>
      <c r="C35" s="60">
        <f>IFERROR(B35*VLOOKUP(A35,Mikroinvestition!D:I,6,FALSE),0)</f>
        <v>0</v>
      </c>
      <c r="D35" s="61">
        <f>SUMIF(Mikroinvestition!D:D, A35, Mikroinvestition!J:J)</f>
        <v>0</v>
      </c>
      <c r="E35" s="60">
        <f>SUMIF(Mikroinvestition!D:D, A35, Mikroinvestition!M:M)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91D-E416-4E46-A392-C6F8A66D63DA}">
  <dimension ref="A1:F21"/>
  <sheetViews>
    <sheetView zoomScale="135" workbookViewId="0">
      <selection activeCell="H8" sqref="H8"/>
    </sheetView>
  </sheetViews>
  <sheetFormatPr baseColWidth="10" defaultRowHeight="16" x14ac:dyDescent="0.2"/>
  <cols>
    <col min="1" max="1" width="39.33203125" style="37" bestFit="1" customWidth="1"/>
    <col min="2" max="2" width="14.5" style="87" bestFit="1" customWidth="1"/>
    <col min="3" max="3" width="10.1640625" style="42" bestFit="1" customWidth="1"/>
    <col min="4" max="4" width="11.6640625" style="40" bestFit="1" customWidth="1"/>
    <col min="5" max="5" width="6.33203125" style="37" bestFit="1" customWidth="1"/>
    <col min="6" max="6" width="18.1640625" style="42" bestFit="1" customWidth="1"/>
    <col min="7" max="16384" width="10.83203125" style="37"/>
  </cols>
  <sheetData>
    <row r="1" spans="1:6" x14ac:dyDescent="0.2">
      <c r="A1" s="120" t="s">
        <v>66</v>
      </c>
      <c r="B1" s="120"/>
      <c r="C1" s="120"/>
      <c r="D1" s="120"/>
      <c r="E1" s="120"/>
      <c r="F1" s="120"/>
    </row>
    <row r="2" spans="1:6" x14ac:dyDescent="0.2">
      <c r="A2" s="43" t="s">
        <v>3</v>
      </c>
      <c r="B2" s="114" t="s">
        <v>67</v>
      </c>
      <c r="C2" s="43" t="s">
        <v>68</v>
      </c>
      <c r="D2" s="44" t="s">
        <v>69</v>
      </c>
      <c r="E2" s="45" t="s">
        <v>70</v>
      </c>
      <c r="F2" s="43" t="s">
        <v>19</v>
      </c>
    </row>
    <row r="3" spans="1:6" x14ac:dyDescent="0.2">
      <c r="A3" s="54" t="s">
        <v>24</v>
      </c>
      <c r="B3" s="115">
        <v>8.86</v>
      </c>
      <c r="C3" s="55" t="s">
        <v>71</v>
      </c>
      <c r="D3" s="56">
        <v>45800</v>
      </c>
      <c r="E3" s="57">
        <v>0.82499999999999996</v>
      </c>
      <c r="F3" s="55" t="s">
        <v>79</v>
      </c>
    </row>
    <row r="4" spans="1:6" x14ac:dyDescent="0.2">
      <c r="A4" s="54" t="s">
        <v>51</v>
      </c>
      <c r="B4" s="115">
        <v>127.62</v>
      </c>
      <c r="C4" s="55" t="s">
        <v>71</v>
      </c>
      <c r="D4" s="56">
        <v>45800</v>
      </c>
      <c r="E4" s="57">
        <v>0.83194444444444449</v>
      </c>
      <c r="F4" s="55" t="s">
        <v>79</v>
      </c>
    </row>
    <row r="5" spans="1:6" x14ac:dyDescent="0.2">
      <c r="A5" s="54" t="s">
        <v>54</v>
      </c>
      <c r="B5" s="115">
        <v>35.29</v>
      </c>
      <c r="C5" s="55" t="s">
        <v>71</v>
      </c>
      <c r="D5" s="56">
        <v>45800</v>
      </c>
      <c r="E5" s="57">
        <v>0.82986111111111116</v>
      </c>
      <c r="F5" s="55" t="s">
        <v>79</v>
      </c>
    </row>
    <row r="6" spans="1:6" x14ac:dyDescent="0.2">
      <c r="A6" s="54" t="s">
        <v>48</v>
      </c>
      <c r="B6" s="115">
        <v>54.61</v>
      </c>
      <c r="C6" s="55" t="s">
        <v>71</v>
      </c>
      <c r="D6" s="56">
        <v>45800</v>
      </c>
      <c r="E6" s="57">
        <v>0.82916666666666672</v>
      </c>
      <c r="F6" s="55" t="s">
        <v>79</v>
      </c>
    </row>
    <row r="7" spans="1:6" x14ac:dyDescent="0.2">
      <c r="A7" s="54" t="s">
        <v>39</v>
      </c>
      <c r="B7" s="115">
        <v>12.26</v>
      </c>
      <c r="C7" s="55" t="s">
        <v>71</v>
      </c>
      <c r="D7" s="56">
        <v>45800</v>
      </c>
      <c r="E7" s="57">
        <v>0.82638888888888884</v>
      </c>
      <c r="F7" s="55" t="s">
        <v>79</v>
      </c>
    </row>
    <row r="8" spans="1:6" x14ac:dyDescent="0.2">
      <c r="A8" s="46" t="s">
        <v>33</v>
      </c>
      <c r="B8" s="87">
        <v>214.35</v>
      </c>
      <c r="C8" s="42" t="s">
        <v>71</v>
      </c>
      <c r="D8" s="40">
        <v>45808</v>
      </c>
      <c r="E8" s="38">
        <v>0.52430555555555558</v>
      </c>
      <c r="F8" s="42" t="s">
        <v>36</v>
      </c>
    </row>
    <row r="9" spans="1:6" x14ac:dyDescent="0.2">
      <c r="A9" s="46" t="s">
        <v>43</v>
      </c>
      <c r="B9" s="87">
        <v>56.36</v>
      </c>
      <c r="C9" s="42" t="s">
        <v>71</v>
      </c>
      <c r="D9" s="40">
        <v>45808</v>
      </c>
      <c r="E9" s="38">
        <v>0.52430555555555558</v>
      </c>
      <c r="F9" s="42" t="s">
        <v>36</v>
      </c>
    </row>
    <row r="10" spans="1:6" x14ac:dyDescent="0.2">
      <c r="A10" s="46" t="s">
        <v>41</v>
      </c>
      <c r="B10" s="87">
        <v>9.17</v>
      </c>
      <c r="C10" s="42" t="s">
        <v>71</v>
      </c>
      <c r="D10" s="40">
        <v>45808</v>
      </c>
      <c r="E10" s="38">
        <v>0.52430555555555558</v>
      </c>
      <c r="F10" s="42" t="s">
        <v>36</v>
      </c>
    </row>
    <row r="11" spans="1:6" x14ac:dyDescent="0.2">
      <c r="A11" s="46" t="s">
        <v>46</v>
      </c>
      <c r="B11" s="87">
        <v>47.22</v>
      </c>
      <c r="C11" s="42" t="s">
        <v>71</v>
      </c>
      <c r="D11" s="40">
        <v>45808</v>
      </c>
      <c r="E11" s="38">
        <v>0.52430555555555558</v>
      </c>
      <c r="F11" s="42" t="s">
        <v>36</v>
      </c>
    </row>
    <row r="12" spans="1:6" x14ac:dyDescent="0.2">
      <c r="A12" s="34" t="s">
        <v>60</v>
      </c>
      <c r="B12" s="87">
        <v>650</v>
      </c>
      <c r="C12" s="42" t="s">
        <v>71</v>
      </c>
      <c r="D12" s="40">
        <v>45808</v>
      </c>
      <c r="E12" s="38">
        <v>0.52430555555555558</v>
      </c>
      <c r="F12" s="42" t="s">
        <v>36</v>
      </c>
    </row>
    <row r="13" spans="1:6" x14ac:dyDescent="0.2">
      <c r="A13" s="46" t="s">
        <v>57</v>
      </c>
      <c r="B13" s="87">
        <v>1882.5</v>
      </c>
      <c r="C13" s="42" t="s">
        <v>71</v>
      </c>
      <c r="D13" s="40">
        <v>45808</v>
      </c>
      <c r="E13" s="38">
        <v>0.52430555555555558</v>
      </c>
      <c r="F13" s="42" t="s">
        <v>36</v>
      </c>
    </row>
    <row r="14" spans="1:6" x14ac:dyDescent="0.2">
      <c r="A14" s="29" t="s">
        <v>95</v>
      </c>
      <c r="B14" s="87">
        <v>7.91</v>
      </c>
      <c r="C14" s="42" t="s">
        <v>71</v>
      </c>
      <c r="D14" s="40">
        <v>45808</v>
      </c>
      <c r="E14" s="38">
        <v>0.52430555555555558</v>
      </c>
      <c r="F14" s="42" t="s">
        <v>106</v>
      </c>
    </row>
    <row r="15" spans="1:6" x14ac:dyDescent="0.2">
      <c r="A15" s="37" t="s">
        <v>99</v>
      </c>
      <c r="B15" s="87">
        <v>5.27</v>
      </c>
      <c r="C15" s="42" t="s">
        <v>71</v>
      </c>
      <c r="D15" s="40">
        <v>45808</v>
      </c>
      <c r="E15" s="86">
        <v>0.52430555555555558</v>
      </c>
      <c r="F15" s="42" t="s">
        <v>113</v>
      </c>
    </row>
    <row r="16" spans="1:6" x14ac:dyDescent="0.2">
      <c r="A16" s="37" t="s">
        <v>112</v>
      </c>
      <c r="B16" s="87">
        <v>7.62</v>
      </c>
      <c r="C16" s="42" t="s">
        <v>71</v>
      </c>
      <c r="D16" s="40">
        <v>45808</v>
      </c>
      <c r="E16" s="86">
        <v>0.52430555555555558</v>
      </c>
      <c r="F16" s="42" t="s">
        <v>103</v>
      </c>
    </row>
    <row r="17" spans="1:6" x14ac:dyDescent="0.2">
      <c r="A17" s="37" t="s">
        <v>104</v>
      </c>
      <c r="B17" s="87">
        <v>4.6399999999999997</v>
      </c>
      <c r="C17" s="42" t="s">
        <v>71</v>
      </c>
      <c r="D17" s="40">
        <v>45808</v>
      </c>
      <c r="E17" s="86">
        <v>0.52430555555555558</v>
      </c>
      <c r="F17" s="42" t="s">
        <v>109</v>
      </c>
    </row>
    <row r="18" spans="1:6" x14ac:dyDescent="0.2">
      <c r="A18" s="37" t="s">
        <v>105</v>
      </c>
      <c r="B18" s="87">
        <v>17.100000000000001</v>
      </c>
      <c r="C18" s="42" t="s">
        <v>71</v>
      </c>
      <c r="D18" s="40">
        <v>45808</v>
      </c>
      <c r="E18" s="86">
        <v>0.52430555555555558</v>
      </c>
      <c r="F18" s="42" t="s">
        <v>108</v>
      </c>
    </row>
    <row r="19" spans="1:6" x14ac:dyDescent="0.2">
      <c r="A19" s="37" t="s">
        <v>107</v>
      </c>
      <c r="B19" s="87">
        <v>330.9</v>
      </c>
      <c r="C19" s="42" t="s">
        <v>71</v>
      </c>
      <c r="D19" s="40">
        <v>45808</v>
      </c>
      <c r="E19" s="86">
        <v>0.52430555555555558</v>
      </c>
      <c r="F19" s="42" t="s">
        <v>102</v>
      </c>
    </row>
    <row r="20" spans="1:6" x14ac:dyDescent="0.2">
      <c r="A20" s="37" t="s">
        <v>110</v>
      </c>
      <c r="B20" s="87">
        <v>18.600000000000001</v>
      </c>
      <c r="C20" s="42" t="s">
        <v>71</v>
      </c>
      <c r="D20" s="40">
        <v>45808</v>
      </c>
      <c r="E20" s="86">
        <v>0.52430555555555558</v>
      </c>
      <c r="F20" s="42" t="s">
        <v>111</v>
      </c>
    </row>
    <row r="21" spans="1:6" x14ac:dyDescent="0.2">
      <c r="E21" s="86"/>
    </row>
  </sheetData>
  <mergeCells count="1">
    <mergeCell ref="A1:F1"/>
  </mergeCells>
  <dataValidations count="1">
    <dataValidation type="list" allowBlank="1" showInputMessage="1" showErrorMessage="1" sqref="C13:C14 C3:C11" xr:uid="{5612EA97-E6F0-6B43-B6CA-4CB200EAED29}">
      <formula1>"EUR,USD"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Portfolio Overview</vt:lpstr>
      <vt:lpstr>Summary</vt:lpstr>
      <vt:lpstr>Fixed Investment Plan</vt:lpstr>
      <vt:lpstr>Mikroinvestition</vt:lpstr>
      <vt:lpstr>Summary-Mikro</vt:lpstr>
      <vt:lpstr>Kurse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2025-05-23T16:09:32Z</dcterms:created>
  <dcterms:modified xsi:type="dcterms:W3CDTF">2025-06-02T15:35:49Z</dcterms:modified>
</cp:coreProperties>
</file>