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Data Analyse\Projekt Z\"/>
    </mc:Choice>
  </mc:AlternateContent>
  <xr:revisionPtr revIDLastSave="0" documentId="13_ncr:1_{05BB0911-3F6C-4E4D-8FDF-4816B2C927CB}" xr6:coauthVersionLast="47" xr6:coauthVersionMax="47" xr10:uidLastSave="{00000000-0000-0000-0000-000000000000}"/>
  <bookViews>
    <workbookView xWindow="-103" yWindow="-103" windowWidth="33120" windowHeight="18000" tabRatio="500" activeTab="1" xr2:uid="{00000000-000D-0000-FFFF-FFFF00000000}"/>
  </bookViews>
  <sheets>
    <sheet name="Portfolio Overview" sheetId="1" r:id="rId1"/>
    <sheet name="Summary" sheetId="2" r:id="rId2"/>
    <sheet name="Fixed Investment Plan" sheetId="3" r:id="rId3"/>
    <sheet name="Kurse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E8" i="3" s="1"/>
  <c r="E6" i="3"/>
  <c r="E4" i="3"/>
  <c r="E3" i="3"/>
  <c r="D8" i="2"/>
  <c r="B8" i="2"/>
  <c r="C8" i="2" s="1"/>
  <c r="D7" i="2"/>
  <c r="B7" i="2"/>
  <c r="C7" i="2" s="1"/>
  <c r="D6" i="2"/>
  <c r="B6" i="2"/>
  <c r="C6" i="2" s="1"/>
  <c r="D5" i="2"/>
  <c r="B5" i="2"/>
  <c r="C5" i="2" s="1"/>
  <c r="D4" i="2"/>
  <c r="B4" i="2"/>
  <c r="C4" i="2" s="1"/>
  <c r="D3" i="2"/>
  <c r="B3" i="2"/>
  <c r="D2" i="2"/>
  <c r="D9" i="2" s="1"/>
  <c r="B2" i="2"/>
  <c r="C2" i="2" s="1"/>
  <c r="Q52" i="1"/>
  <c r="O52" i="1"/>
  <c r="N52" i="1"/>
  <c r="M52" i="1"/>
  <c r="K52" i="1"/>
  <c r="I52" i="1"/>
  <c r="G52" i="1"/>
  <c r="O51" i="1"/>
  <c r="Q51" i="1" s="1"/>
  <c r="N51" i="1"/>
  <c r="M51" i="1"/>
  <c r="K51" i="1"/>
  <c r="I51" i="1"/>
  <c r="G51" i="1"/>
  <c r="O50" i="1"/>
  <c r="Q50" i="1" s="1"/>
  <c r="N50" i="1"/>
  <c r="M50" i="1"/>
  <c r="K50" i="1"/>
  <c r="I50" i="1"/>
  <c r="G50" i="1"/>
  <c r="Q49" i="1"/>
  <c r="O49" i="1"/>
  <c r="N49" i="1"/>
  <c r="M49" i="1"/>
  <c r="K49" i="1"/>
  <c r="I49" i="1"/>
  <c r="G49" i="1"/>
  <c r="O48" i="1"/>
  <c r="Q48" i="1" s="1"/>
  <c r="N48" i="1"/>
  <c r="M48" i="1"/>
  <c r="K48" i="1"/>
  <c r="I48" i="1"/>
  <c r="G48" i="1"/>
  <c r="O47" i="1"/>
  <c r="Q47" i="1" s="1"/>
  <c r="N47" i="1"/>
  <c r="M47" i="1"/>
  <c r="K47" i="1"/>
  <c r="I47" i="1"/>
  <c r="G47" i="1"/>
  <c r="O46" i="1"/>
  <c r="Q46" i="1" s="1"/>
  <c r="M46" i="1"/>
  <c r="K46" i="1"/>
  <c r="I46" i="1"/>
  <c r="G46" i="1"/>
  <c r="O45" i="1"/>
  <c r="Q45" i="1" s="1"/>
  <c r="M45" i="1"/>
  <c r="K45" i="1"/>
  <c r="I45" i="1"/>
  <c r="G45" i="1"/>
  <c r="M44" i="1"/>
  <c r="K44" i="1"/>
  <c r="I44" i="1"/>
  <c r="O44" i="1" s="1"/>
  <c r="Q44" i="1" s="1"/>
  <c r="G44" i="1"/>
  <c r="Q43" i="1"/>
  <c r="O43" i="1"/>
  <c r="M43" i="1"/>
  <c r="K43" i="1"/>
  <c r="I43" i="1"/>
  <c r="G43" i="1"/>
  <c r="O42" i="1"/>
  <c r="Q42" i="1" s="1"/>
  <c r="M42" i="1"/>
  <c r="K42" i="1"/>
  <c r="I42" i="1"/>
  <c r="G42" i="1"/>
  <c r="M41" i="1"/>
  <c r="K41" i="1"/>
  <c r="I41" i="1"/>
  <c r="O41" i="1" s="1"/>
  <c r="Q41" i="1" s="1"/>
  <c r="G41" i="1"/>
  <c r="Q40" i="1"/>
  <c r="O40" i="1"/>
  <c r="M40" i="1"/>
  <c r="K40" i="1"/>
  <c r="I40" i="1"/>
  <c r="G40" i="1"/>
  <c r="M39" i="1"/>
  <c r="K39" i="1"/>
  <c r="I39" i="1"/>
  <c r="O39" i="1" s="1"/>
  <c r="Q39" i="1" s="1"/>
  <c r="G39" i="1"/>
  <c r="Q38" i="1"/>
  <c r="O38" i="1"/>
  <c r="M38" i="1"/>
  <c r="K38" i="1"/>
  <c r="I38" i="1"/>
  <c r="G38" i="1"/>
  <c r="Q37" i="1"/>
  <c r="O37" i="1"/>
  <c r="M37" i="1"/>
  <c r="K37" i="1"/>
  <c r="I37" i="1"/>
  <c r="G37" i="1"/>
  <c r="Q36" i="1"/>
  <c r="O36" i="1"/>
  <c r="M36" i="1"/>
  <c r="K36" i="1"/>
  <c r="I36" i="1"/>
  <c r="G36" i="1"/>
  <c r="Q35" i="1"/>
  <c r="O35" i="1"/>
  <c r="M35" i="1"/>
  <c r="K35" i="1"/>
  <c r="I35" i="1"/>
  <c r="G35" i="1"/>
  <c r="Q34" i="1"/>
  <c r="O34" i="1"/>
  <c r="M34" i="1"/>
  <c r="K34" i="1"/>
  <c r="I34" i="1"/>
  <c r="G34" i="1"/>
  <c r="Q33" i="1"/>
  <c r="O33" i="1"/>
  <c r="N33" i="1"/>
  <c r="M33" i="1"/>
  <c r="K33" i="1"/>
  <c r="I33" i="1"/>
  <c r="G33" i="1"/>
  <c r="Q32" i="1"/>
  <c r="O32" i="1"/>
  <c r="M32" i="1"/>
  <c r="K32" i="1"/>
  <c r="I32" i="1"/>
  <c r="G32" i="1"/>
  <c r="Q31" i="1"/>
  <c r="O31" i="1"/>
  <c r="N31" i="1"/>
  <c r="M31" i="1"/>
  <c r="K31" i="1"/>
  <c r="I31" i="1"/>
  <c r="G31" i="1"/>
  <c r="M30" i="1"/>
  <c r="N30" i="1" s="1"/>
  <c r="K30" i="1"/>
  <c r="I30" i="1"/>
  <c r="O30" i="1" s="1"/>
  <c r="Q30" i="1" s="1"/>
  <c r="G30" i="1"/>
  <c r="Q29" i="1"/>
  <c r="O29" i="1"/>
  <c r="N29" i="1"/>
  <c r="M29" i="1"/>
  <c r="K29" i="1"/>
  <c r="I29" i="1"/>
  <c r="G29" i="1"/>
  <c r="N28" i="1"/>
  <c r="M28" i="1"/>
  <c r="K28" i="1"/>
  <c r="I28" i="1"/>
  <c r="O28" i="1" s="1"/>
  <c r="Q28" i="1" s="1"/>
  <c r="G28" i="1"/>
  <c r="M27" i="1"/>
  <c r="K27" i="1"/>
  <c r="I27" i="1"/>
  <c r="O27" i="1" s="1"/>
  <c r="Q27" i="1" s="1"/>
  <c r="G27" i="1"/>
  <c r="N26" i="1"/>
  <c r="M26" i="1"/>
  <c r="K26" i="1"/>
  <c r="I26" i="1"/>
  <c r="O26" i="1" s="1"/>
  <c r="Q26" i="1" s="1"/>
  <c r="G26" i="1"/>
  <c r="M25" i="1"/>
  <c r="K25" i="1"/>
  <c r="I25" i="1"/>
  <c r="O25" i="1" s="1"/>
  <c r="Q25" i="1" s="1"/>
  <c r="G25" i="1"/>
  <c r="O24" i="1"/>
  <c r="Q24" i="1" s="1"/>
  <c r="M24" i="1"/>
  <c r="K24" i="1"/>
  <c r="I24" i="1"/>
  <c r="G24" i="1"/>
  <c r="N23" i="1"/>
  <c r="M23" i="1"/>
  <c r="K23" i="1"/>
  <c r="I23" i="1"/>
  <c r="O23" i="1" s="1"/>
  <c r="Q23" i="1" s="1"/>
  <c r="G23" i="1"/>
  <c r="O22" i="1"/>
  <c r="Q22" i="1" s="1"/>
  <c r="M22" i="1"/>
  <c r="K22" i="1"/>
  <c r="I22" i="1"/>
  <c r="G22" i="1"/>
  <c r="O21" i="1"/>
  <c r="Q21" i="1" s="1"/>
  <c r="N21" i="1"/>
  <c r="M21" i="1"/>
  <c r="K21" i="1"/>
  <c r="I21" i="1"/>
  <c r="G21" i="1"/>
  <c r="N20" i="1"/>
  <c r="M20" i="1"/>
  <c r="N32" i="1" s="1"/>
  <c r="K20" i="1"/>
  <c r="I20" i="1"/>
  <c r="O20" i="1" s="1"/>
  <c r="Q20" i="1" s="1"/>
  <c r="G20" i="1"/>
  <c r="Q19" i="1"/>
  <c r="O19" i="1"/>
  <c r="N19" i="1"/>
  <c r="M19" i="1"/>
  <c r="K19" i="1"/>
  <c r="I19" i="1"/>
  <c r="G19" i="1"/>
  <c r="O18" i="1"/>
  <c r="Q18" i="1" s="1"/>
  <c r="N18" i="1"/>
  <c r="M18" i="1"/>
  <c r="N41" i="1" s="1"/>
  <c r="K18" i="1"/>
  <c r="I18" i="1"/>
  <c r="G18" i="1"/>
  <c r="M17" i="1"/>
  <c r="K17" i="1"/>
  <c r="I17" i="1"/>
  <c r="O17" i="1" s="1"/>
  <c r="Q17" i="1" s="1"/>
  <c r="G17" i="1"/>
  <c r="O16" i="1"/>
  <c r="Q16" i="1" s="1"/>
  <c r="N16" i="1"/>
  <c r="M16" i="1"/>
  <c r="K16" i="1"/>
  <c r="I16" i="1"/>
  <c r="G16" i="1"/>
  <c r="N15" i="1"/>
  <c r="M15" i="1"/>
  <c r="K15" i="1"/>
  <c r="I15" i="1"/>
  <c r="O15" i="1" s="1"/>
  <c r="Q15" i="1" s="1"/>
  <c r="G15" i="1"/>
  <c r="Q14" i="1"/>
  <c r="O14" i="1"/>
  <c r="M14" i="1"/>
  <c r="N14" i="1" s="1"/>
  <c r="K14" i="1"/>
  <c r="I14" i="1"/>
  <c r="G14" i="1"/>
  <c r="O13" i="1"/>
  <c r="Q13" i="1" s="1"/>
  <c r="N13" i="1"/>
  <c r="M13" i="1"/>
  <c r="E7" i="2" s="1"/>
  <c r="H7" i="2" s="1"/>
  <c r="I13" i="1"/>
  <c r="O12" i="1"/>
  <c r="Q12" i="1" s="1"/>
  <c r="N12" i="1"/>
  <c r="M12" i="1"/>
  <c r="E6" i="2" s="1"/>
  <c r="K12" i="1"/>
  <c r="I12" i="1"/>
  <c r="G12" i="1"/>
  <c r="Q11" i="1"/>
  <c r="O11" i="1"/>
  <c r="N11" i="1"/>
  <c r="M11" i="1"/>
  <c r="K11" i="1"/>
  <c r="I11" i="1"/>
  <c r="G11" i="1"/>
  <c r="O10" i="1"/>
  <c r="Q10" i="1" s="1"/>
  <c r="N10" i="1"/>
  <c r="M10" i="1"/>
  <c r="K10" i="1"/>
  <c r="I10" i="1"/>
  <c r="G10" i="1"/>
  <c r="Q9" i="1"/>
  <c r="O9" i="1"/>
  <c r="N9" i="1"/>
  <c r="M9" i="1"/>
  <c r="K9" i="1"/>
  <c r="I9" i="1"/>
  <c r="G9" i="1"/>
  <c r="O8" i="1"/>
  <c r="Q8" i="1" s="1"/>
  <c r="N8" i="1"/>
  <c r="M8" i="1"/>
  <c r="K8" i="1"/>
  <c r="I8" i="1"/>
  <c r="G8" i="1"/>
  <c r="O7" i="1"/>
  <c r="Q7" i="1" s="1"/>
  <c r="N7" i="1"/>
  <c r="M7" i="1"/>
  <c r="N37" i="1" s="1"/>
  <c r="K7" i="1"/>
  <c r="I7" i="1"/>
  <c r="C3" i="2" s="1"/>
  <c r="G7" i="1"/>
  <c r="N6" i="1"/>
  <c r="M6" i="1"/>
  <c r="N39" i="1" s="1"/>
  <c r="K6" i="1"/>
  <c r="I6" i="1"/>
  <c r="O6" i="1" s="1"/>
  <c r="Q6" i="1" s="1"/>
  <c r="G6" i="1"/>
  <c r="Q5" i="1"/>
  <c r="O5" i="1"/>
  <c r="N5" i="1"/>
  <c r="M5" i="1"/>
  <c r="N22" i="1" s="1"/>
  <c r="K5" i="1"/>
  <c r="I5" i="1"/>
  <c r="G5" i="1"/>
  <c r="O4" i="1"/>
  <c r="Q4" i="1" s="1"/>
  <c r="N4" i="1"/>
  <c r="M4" i="1"/>
  <c r="K4" i="1"/>
  <c r="I4" i="1"/>
  <c r="G4" i="1"/>
  <c r="M3" i="1"/>
  <c r="N40" i="1" s="1"/>
  <c r="K3" i="1"/>
  <c r="I3" i="1"/>
  <c r="O3" i="1" s="1"/>
  <c r="Q3" i="1" s="1"/>
  <c r="G3" i="1"/>
  <c r="O2" i="1"/>
  <c r="Q2" i="1" s="1"/>
  <c r="N2" i="1"/>
  <c r="M2" i="1"/>
  <c r="K2" i="1"/>
  <c r="I2" i="1"/>
  <c r="G2" i="1"/>
  <c r="F2" i="2" l="1"/>
  <c r="C9" i="2"/>
  <c r="F4" i="2"/>
  <c r="F5" i="2"/>
  <c r="F3" i="2"/>
  <c r="G6" i="2"/>
  <c r="F6" i="2"/>
  <c r="G7" i="2"/>
  <c r="F7" i="2"/>
  <c r="G8" i="2"/>
  <c r="F8" i="2"/>
  <c r="H6" i="2"/>
  <c r="N44" i="1"/>
  <c r="N27" i="1"/>
  <c r="N34" i="1"/>
  <c r="N3" i="1"/>
  <c r="N17" i="1"/>
  <c r="N24" i="1"/>
  <c r="E4" i="2"/>
  <c r="H4" i="2" s="1"/>
  <c r="N38" i="1"/>
  <c r="N45" i="1"/>
  <c r="E8" i="2"/>
  <c r="H8" i="2" s="1"/>
  <c r="N35" i="1"/>
  <c r="N42" i="1"/>
  <c r="N25" i="1"/>
  <c r="E5" i="2"/>
  <c r="H5" i="2" s="1"/>
  <c r="N46" i="1"/>
  <c r="E2" i="2"/>
  <c r="N36" i="1"/>
  <c r="N43" i="1"/>
  <c r="E5" i="3"/>
  <c r="E3" i="2"/>
  <c r="H3" i="2" s="1"/>
  <c r="E7" i="3"/>
  <c r="H2" i="2" l="1"/>
  <c r="E9" i="2"/>
  <c r="G3" i="2"/>
  <c r="G5" i="2"/>
  <c r="G4" i="2"/>
  <c r="H9" i="2"/>
  <c r="G2" i="2"/>
  <c r="G9" i="2" s="1"/>
</calcChain>
</file>

<file path=xl/sharedStrings.xml><?xml version="1.0" encoding="utf-8"?>
<sst xmlns="http://schemas.openxmlformats.org/spreadsheetml/2006/main" count="481" uniqueCount="101">
  <si>
    <t>Transaction Date</t>
  </si>
  <si>
    <t>Transaction Time</t>
  </si>
  <si>
    <t>Platform</t>
  </si>
  <si>
    <t>Asset Name</t>
  </si>
  <si>
    <t>ISIN / Ticker Symbol</t>
  </si>
  <si>
    <t>Quantity</t>
  </si>
  <si>
    <t>Cumulativ Quantity</t>
  </si>
  <si>
    <t xml:space="preserve">Unit Price </t>
  </si>
  <si>
    <t>Current Price</t>
  </si>
  <si>
    <t>Invested Amount</t>
  </si>
  <si>
    <t>Cumulativ Invested Amount</t>
  </si>
  <si>
    <t>Transaction Fee</t>
  </si>
  <si>
    <t>Total Cost</t>
  </si>
  <si>
    <t>Cumulative Total Cost</t>
  </si>
  <si>
    <t xml:space="preserve">Portfolio Value </t>
  </si>
  <si>
    <t>Dividend Yield</t>
  </si>
  <si>
    <t>Estimated Dividend</t>
  </si>
  <si>
    <t>Execution Type</t>
  </si>
  <si>
    <t>Investment Strategy</t>
  </si>
  <si>
    <t>Notes</t>
  </si>
  <si>
    <t>Asset Class</t>
  </si>
  <si>
    <t>Aktive</t>
  </si>
  <si>
    <t>Sell Notes</t>
  </si>
  <si>
    <t>Trade Republic</t>
  </si>
  <si>
    <t>Clean Energy USD (Acc)</t>
  </si>
  <si>
    <t>IE00BK5BCH80</t>
  </si>
  <si>
    <t>Sell</t>
  </si>
  <si>
    <t>Learning Only</t>
  </si>
  <si>
    <t>First  ETF - manual test before savings plan</t>
  </si>
  <si>
    <t>ETF</t>
  </si>
  <si>
    <t>No</t>
  </si>
  <si>
    <t>19/05/2025 – ETF sold. Not in final plan. Reinvested in ASML. See line 18 for price and fee (same ETF, sold together).</t>
  </si>
  <si>
    <t>Scalable Capital</t>
  </si>
  <si>
    <t>Amundi Nasdaq 100 EUR (Acc)</t>
  </si>
  <si>
    <t>LU1681038243</t>
  </si>
  <si>
    <t>Savings Plan</t>
  </si>
  <si>
    <t>Core</t>
  </si>
  <si>
    <t>Long-term investment</t>
  </si>
  <si>
    <t>Yes</t>
  </si>
  <si>
    <t>iShares Automation &amp; Robotics (Acc)</t>
  </si>
  <si>
    <t>IE00BYZK4552</t>
  </si>
  <si>
    <t>28/05/2025 – ETF sold (€39.43 – €0.99 fee = €29,55). Not in final plan. Reinvested in Defense.</t>
  </si>
  <si>
    <t>Scalable MSCI AC World Xtrackers (Acc)</t>
  </si>
  <si>
    <t>LU2903252349</t>
  </si>
  <si>
    <t>iShares Physical Gold ETC</t>
  </si>
  <si>
    <t>IE00B4ND3602</t>
  </si>
  <si>
    <t>Commodity</t>
  </si>
  <si>
    <t>VanEck Defense (Acc)</t>
  </si>
  <si>
    <t>IE000YYE6WK5</t>
  </si>
  <si>
    <t>Xtrackers MSCI Emerging Markets (Acc)</t>
  </si>
  <si>
    <t>IE00BTJRMP35</t>
  </si>
  <si>
    <t>19/05/2025 – ETF sold (€28,56 – €0.99 fee = €38.44). Not in final plan. Reinvested in Nasdaq 100 &amp; Defense.</t>
  </si>
  <si>
    <t>19/05/2025 – ETF sold (€20.25 – €1.00 fee = €19.25). Not in final plan. Reinvested in ASML.</t>
  </si>
  <si>
    <t>Xtrackers Artificial Intelligence &amp; Big Data</t>
  </si>
  <si>
    <t>IE00BGV5VN51</t>
  </si>
  <si>
    <t>19/05/2025 – ETF sold (€4.89 – €1.00 fee = €3.89). Not in final plan. Reinvested in ASML.</t>
  </si>
  <si>
    <t>Semiconductor USD (Acc)</t>
  </si>
  <si>
    <t>IE00BMC38736</t>
  </si>
  <si>
    <t>19/05/2025 – ETF sold (€9.63 – €1.00 fee = €8.63). Not in final plan. Reinvested in ASML (€2.86) &amp; XTZ via Bitvavo (€5.77).</t>
  </si>
  <si>
    <t>Rheinmetall AG</t>
  </si>
  <si>
    <t>DE0007030009</t>
  </si>
  <si>
    <t>Equity</t>
  </si>
  <si>
    <t>29/05/2025 – Sold due to broker change (€30.86 - €1 = 29.86) (0,005812)</t>
  </si>
  <si>
    <t>ASML Holding N. V.</t>
  </si>
  <si>
    <t>NL0010273215</t>
  </si>
  <si>
    <t>29/05/2025 – Sold due to broker change (€25.83 - €1 = 24.83)</t>
  </si>
  <si>
    <t>Rebalancing</t>
  </si>
  <si>
    <t>Long-term investment; Final-plan. €0.00 fee + €0,99 from prior sell.</t>
  </si>
  <si>
    <t>Long-term investment; Final-plan.</t>
  </si>
  <si>
    <t>29/05/2025 – Sold due to broker change (0,010435)</t>
  </si>
  <si>
    <t xml:space="preserve"> 10.06.25</t>
  </si>
  <si>
    <t>L&amp;G Artificial Intelligence (ACC)</t>
  </si>
  <si>
    <t>IE00BK5BCD43</t>
  </si>
  <si>
    <t>yes</t>
  </si>
  <si>
    <t>Cumulative Quantity</t>
  </si>
  <si>
    <t>Current Value (€)</t>
  </si>
  <si>
    <t>Invested Amount (€)</t>
  </si>
  <si>
    <t>Total Cost (€)</t>
  </si>
  <si>
    <t>Portfolio Allocation (%)</t>
  </si>
  <si>
    <t>Result (€)</t>
  </si>
  <si>
    <t xml:space="preserve">Return (%) </t>
  </si>
  <si>
    <t>Overall Total</t>
  </si>
  <si>
    <t>Fixed Investment Plan 2025</t>
  </si>
  <si>
    <t>Asset</t>
  </si>
  <si>
    <t>ISIN</t>
  </si>
  <si>
    <t>Amount (€)</t>
  </si>
  <si>
    <t>Allocation %</t>
  </si>
  <si>
    <t>Amundi Nasdaq 100</t>
  </si>
  <si>
    <t>Scalable MSCI AC World</t>
  </si>
  <si>
    <t>VanEck Defense</t>
  </si>
  <si>
    <t>iShares Physical Gold</t>
  </si>
  <si>
    <t>ETC</t>
  </si>
  <si>
    <t>ASML Holding N.V.</t>
  </si>
  <si>
    <t>Summary</t>
  </si>
  <si>
    <t xml:space="preserve">Current Price </t>
  </si>
  <si>
    <t>Currency</t>
  </si>
  <si>
    <t>Date</t>
  </si>
  <si>
    <t>Time</t>
  </si>
  <si>
    <t>EUR</t>
  </si>
  <si>
    <t>30.09.2025</t>
  </si>
  <si>
    <t>22:49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</si>
</sst>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0&quot; €&quot;"/>
    <numFmt numFmtId="165" formatCode="0.00\ %"/>
    <numFmt numFmtId="166" formatCode="h:mm;@"/>
    <numFmt numFmtId="167" formatCode="#,##0.000000000&quot; €&quot;"/>
    <numFmt numFmtId="168" formatCode="#,##0.0000000&quot; €&quot;"/>
    <numFmt numFmtId="169" formatCode="#,##0.0000&quot; €&quot;"/>
    <numFmt numFmtId="170" formatCode="0.000000"/>
    <numFmt numFmtId="171" formatCode="0\ %"/>
    <numFmt numFmtId="172" formatCode="\+0.00000000&quot; €&quot;;\-0.00000000&quot; €&quot;;0.00000000&quot; €&quot;"/>
    <numFmt numFmtId="173" formatCode="#,##0.00&quot; €&quot;;[Red]\-#,##0.00&quot; €&quot;"/>
  </numFmts>
  <fonts count="14">
    <font>
      <sz val="12"/>
      <color theme="1"/>
      <name val="Aptos Narrow"/>
      <family val="2"/>
      <charset val="1"/>
    </font>
    <font>
      <sz val="12"/>
      <color theme="1"/>
      <name val="Arial"/>
      <family val="2"/>
      <charset val="1"/>
    </font>
    <font>
      <b/>
      <sz val="12"/>
      <color rgb="FF350000"/>
      <name val="Arial"/>
      <family val="2"/>
      <charset val="1"/>
    </font>
    <font>
      <b/>
      <sz val="12"/>
      <color theme="1"/>
      <name val="Arial"/>
      <family val="2"/>
      <charset val="1"/>
    </font>
    <font>
      <sz val="12"/>
      <color theme="1"/>
      <name val="Helvetica Neue"/>
      <family val="2"/>
      <charset val="1"/>
    </font>
    <font>
      <sz val="12"/>
      <name val="Arial"/>
      <family val="2"/>
      <charset val="1"/>
    </font>
    <font>
      <b/>
      <sz val="12"/>
      <color theme="0"/>
      <name val="Arial"/>
      <family val="2"/>
      <charset val="1"/>
    </font>
    <font>
      <b/>
      <sz val="12"/>
      <color theme="0"/>
      <name val="Aptos Narrow"/>
      <family val="2"/>
      <charset val="1"/>
    </font>
    <font>
      <b/>
      <sz val="12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rgb="FFD1D1D1"/>
      </patternFill>
    </fill>
    <fill>
      <patternFill patternType="solid">
        <fgColor rgb="FFFDECEA"/>
        <bgColor rgb="FFF2F2F2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rgb="FF393939"/>
        <bgColor rgb="FF3A3A3A"/>
      </patternFill>
    </fill>
    <fill>
      <patternFill patternType="solid">
        <fgColor theme="2" tint="-0.749992370372631"/>
        <bgColor rgb="FF393939"/>
      </patternFill>
    </fill>
  </fills>
  <borders count="5">
    <border>
      <left/>
      <right/>
      <top/>
      <bottom/>
      <diagonal/>
    </border>
    <border>
      <left style="thin">
        <color theme="4" tint="0.39988402966399123"/>
      </left>
      <right/>
      <top style="thin">
        <color theme="4" tint="0.39988402966399123"/>
      </top>
      <bottom/>
      <diagonal/>
    </border>
    <border>
      <left/>
      <right/>
      <top style="thin">
        <color theme="4" tint="0.39988402966399123"/>
      </top>
      <bottom/>
      <diagonal/>
    </border>
    <border>
      <left/>
      <right style="thin">
        <color theme="4" tint="0.39988402966399123"/>
      </right>
      <top style="thin">
        <color theme="4" tint="0.39988402966399123"/>
      </top>
      <bottom/>
      <diagonal/>
    </border>
    <border>
      <left/>
      <right/>
      <top style="thin">
        <color rgb="FFA8A8AC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2" fillId="2" borderId="1" xfId="0" applyNumberFormat="1" applyFont="1" applyFill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7" fontId="2" fillId="2" borderId="2" xfId="0" applyNumberFormat="1" applyFont="1" applyFill="1" applyBorder="1" applyAlignment="1">
      <alignment horizontal="center" vertical="center"/>
    </xf>
    <xf numFmtId="168" fontId="2" fillId="2" borderId="2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9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66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170" fontId="1" fillId="3" borderId="2" xfId="0" applyNumberFormat="1" applyFont="1" applyFill="1" applyBorder="1"/>
    <xf numFmtId="1" fontId="1" fillId="3" borderId="2" xfId="0" applyNumberFormat="1" applyFont="1" applyFill="1" applyBorder="1"/>
    <xf numFmtId="164" fontId="1" fillId="3" borderId="2" xfId="0" applyNumberFormat="1" applyFont="1" applyFill="1" applyBorder="1"/>
    <xf numFmtId="168" fontId="1" fillId="3" borderId="2" xfId="0" applyNumberFormat="1" applyFont="1" applyFill="1" applyBorder="1"/>
    <xf numFmtId="165" fontId="1" fillId="3" borderId="2" xfId="0" applyNumberFormat="1" applyFont="1" applyFill="1" applyBorder="1"/>
    <xf numFmtId="169" fontId="1" fillId="3" borderId="2" xfId="0" applyNumberFormat="1" applyFont="1" applyFill="1" applyBorder="1"/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14" fontId="1" fillId="0" borderId="1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64" fontId="1" fillId="0" borderId="2" xfId="0" applyNumberFormat="1" applyFont="1" applyBorder="1"/>
    <xf numFmtId="168" fontId="1" fillId="0" borderId="2" xfId="0" applyNumberFormat="1" applyFont="1" applyBorder="1"/>
    <xf numFmtId="165" fontId="1" fillId="0" borderId="2" xfId="0" applyNumberFormat="1" applyFont="1" applyBorder="1"/>
    <xf numFmtId="169" fontId="1" fillId="0" borderId="2" xfId="0" applyNumberFormat="1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4" fontId="1" fillId="3" borderId="0" xfId="0" applyNumberFormat="1" applyFont="1" applyFill="1" applyAlignment="1">
      <alignment horizontal="center"/>
    </xf>
    <xf numFmtId="20" fontId="1" fillId="3" borderId="0" xfId="0" applyNumberFormat="1" applyFont="1" applyFill="1" applyAlignment="1">
      <alignment horizontal="center"/>
    </xf>
    <xf numFmtId="170" fontId="1" fillId="3" borderId="0" xfId="0" applyNumberFormat="1" applyFont="1" applyFill="1"/>
    <xf numFmtId="164" fontId="1" fillId="3" borderId="0" xfId="0" applyNumberFormat="1" applyFont="1" applyFill="1"/>
    <xf numFmtId="165" fontId="1" fillId="3" borderId="0" xfId="0" applyNumberFormat="1" applyFont="1" applyFill="1"/>
    <xf numFmtId="20" fontId="1" fillId="0" borderId="0" xfId="0" applyNumberFormat="1" applyFont="1" applyAlignment="1">
      <alignment horizontal="center"/>
    </xf>
    <xf numFmtId="0" fontId="4" fillId="0" borderId="0" xfId="0" applyFont="1"/>
    <xf numFmtId="170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171" fontId="0" fillId="0" borderId="0" xfId="0" applyNumberFormat="1"/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170" fontId="3" fillId="4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71" fontId="3" fillId="4" borderId="0" xfId="0" applyNumberFormat="1" applyFont="1" applyFill="1" applyAlignment="1">
      <alignment horizontal="center"/>
    </xf>
    <xf numFmtId="172" fontId="3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170" fontId="1" fillId="0" borderId="0" xfId="0" applyNumberFormat="1" applyFont="1" applyAlignment="1">
      <alignment horizontal="right"/>
    </xf>
    <xf numFmtId="165" fontId="0" fillId="0" borderId="0" xfId="0" applyNumberFormat="1"/>
    <xf numFmtId="0" fontId="5" fillId="0" borderId="0" xfId="0" applyFont="1" applyAlignment="1">
      <alignment horizontal="left"/>
    </xf>
    <xf numFmtId="0" fontId="6" fillId="5" borderId="0" xfId="0" applyFont="1" applyFill="1" applyAlignment="1">
      <alignment horizontal="left"/>
    </xf>
    <xf numFmtId="170" fontId="7" fillId="5" borderId="0" xfId="0" applyNumberFormat="1" applyFont="1" applyFill="1" applyAlignment="1">
      <alignment horizontal="right"/>
    </xf>
    <xf numFmtId="164" fontId="7" fillId="5" borderId="0" xfId="0" applyNumberFormat="1" applyFont="1" applyFill="1"/>
    <xf numFmtId="164" fontId="7" fillId="5" borderId="0" xfId="0" applyNumberFormat="1" applyFont="1" applyFill="1" applyAlignment="1">
      <alignment horizontal="right"/>
    </xf>
    <xf numFmtId="171" fontId="7" fillId="5" borderId="0" xfId="0" applyNumberFormat="1" applyFont="1" applyFill="1"/>
    <xf numFmtId="165" fontId="7" fillId="5" borderId="0" xfId="0" applyNumberFormat="1" applyFont="1" applyFill="1"/>
    <xf numFmtId="0" fontId="8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71" fontId="10" fillId="0" borderId="0" xfId="0" applyNumberFormat="1" applyFont="1" applyAlignment="1">
      <alignment horizontal="center"/>
    </xf>
    <xf numFmtId="0" fontId="11" fillId="0" borderId="4" xfId="0" applyFont="1" applyBorder="1" applyAlignment="1">
      <alignment horizontal="left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0" fontId="12" fillId="6" borderId="4" xfId="0" applyFont="1" applyFill="1" applyBorder="1" applyAlignment="1">
      <alignment horizontal="left"/>
    </xf>
    <xf numFmtId="0" fontId="12" fillId="6" borderId="0" xfId="0" applyFont="1" applyFill="1" applyAlignment="1">
      <alignment horizontal="center"/>
    </xf>
    <xf numFmtId="164" fontId="12" fillId="6" borderId="0" xfId="0" applyNumberFormat="1" applyFont="1" applyFill="1" applyAlignment="1">
      <alignment horizontal="center"/>
    </xf>
    <xf numFmtId="171" fontId="12" fillId="6" borderId="0" xfId="0" applyNumberFormat="1" applyFont="1" applyFill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71" fontId="12" fillId="0" borderId="0" xfId="0" applyNumberFormat="1" applyFont="1" applyAlignment="1">
      <alignment horizontal="center"/>
    </xf>
    <xf numFmtId="164" fontId="3" fillId="2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73" fontId="1" fillId="0" borderId="0" xfId="0" applyNumberFormat="1" applyFont="1" applyAlignment="1">
      <alignment horizontal="left"/>
    </xf>
    <xf numFmtId="20" fontId="1" fillId="0" borderId="0" xfId="0" applyNumberFormat="1" applyFont="1"/>
    <xf numFmtId="0" fontId="9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350000"/>
      <rgbColor rgb="FF6D8194"/>
      <rgbColor rgb="FF000080"/>
      <rgbColor rgb="FF595959"/>
      <rgbColor rgb="FF800080"/>
      <rgbColor rgb="FF156082"/>
      <rgbColor rgb="FFBFBFBF"/>
      <rgbColor rgb="FF7F7D8A"/>
      <rgbColor rgb="FFA8A8AC"/>
      <rgbColor rgb="FF5C5863"/>
      <rgbColor rgb="FFF2F2F2"/>
      <rgbColor rgb="FFCADFF4"/>
      <rgbColor rgb="FF660066"/>
      <rgbColor rgb="FF8B8B8B"/>
      <rgbColor rgb="FF08597D"/>
      <rgbColor rgb="FFC3CED9"/>
      <rgbColor rgb="FF000080"/>
      <rgbColor rgb="FFFF00FF"/>
      <rgbColor rgb="FFFFFF00"/>
      <rgbColor rgb="FF00FFFF"/>
      <rgbColor rgb="FF800080"/>
      <rgbColor rgb="FF800000"/>
      <rgbColor rgb="FF125573"/>
      <rgbColor rgb="FF0000FF"/>
      <rgbColor rgb="FF7E98AD"/>
      <rgbColor rgb="FFE6E6E6"/>
      <rgbColor rgb="FFD9D9D9"/>
      <rgbColor rgb="FFFDECEA"/>
      <rgbColor rgb="FF99CCFF"/>
      <rgbColor rgb="FFD8C9A3"/>
      <rgbColor rgb="FFADB8CD"/>
      <rgbColor rgb="FFD9C89A"/>
      <rgbColor rgb="FF6B7D92"/>
      <rgbColor rgb="FF46B1E1"/>
      <rgbColor rgb="FFA8B7C5"/>
      <rgbColor rgb="FFD1D1D1"/>
      <rgbColor rgb="FFFF9900"/>
      <rgbColor rgb="FFFF6600"/>
      <rgbColor rgb="FF6D6A75"/>
      <rgbColor rgb="FF8799A9"/>
      <rgbColor rgb="FF0E2841"/>
      <rgbColor rgb="FF4D7491"/>
      <rgbColor rgb="FF3A3A3A"/>
      <rgbColor rgb="FF262626"/>
      <rgbColor rgb="FF993300"/>
      <rgbColor rgb="FF615D6A"/>
      <rgbColor rgb="FF404040"/>
      <rgbColor rgb="FF39393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2000"/>
              <a:t>Investment vs. Current Value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Value</c:v>
          </c:tx>
          <c:spPr>
            <a:gradFill>
              <a:gsLst>
                <a:gs pos="0">
                  <a:schemeClr val="accent1">
                    <a:shade val="76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hade val="78000"/>
                  </a:schemeClr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Summary!$A$2:$A$8</c:f>
              <c:strCache>
                <c:ptCount val="7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  <c:pt idx="4">
                  <c:v>Rheinmetall AG</c:v>
                </c:pt>
                <c:pt idx="5">
                  <c:v>ASML Holding N. V.</c:v>
                </c:pt>
                <c:pt idx="6">
                  <c:v>L&amp;G Artificial Intelligence (ACC)</c:v>
                </c:pt>
              </c:strCache>
            </c:strRef>
          </c:cat>
          <c:val>
            <c:numRef>
              <c:f>Summary!$C$2:$C$8</c:f>
              <c:numCache>
                <c:formatCode>#,##0.00" €"</c:formatCode>
                <c:ptCount val="7"/>
                <c:pt idx="0">
                  <c:v>266.68933899752807</c:v>
                </c:pt>
                <c:pt idx="1">
                  <c:v>452.44119166750716</c:v>
                </c:pt>
                <c:pt idx="2">
                  <c:v>271.79936886227893</c:v>
                </c:pt>
                <c:pt idx="3">
                  <c:v>122.95892445167541</c:v>
                </c:pt>
                <c:pt idx="4">
                  <c:v>120.717135</c:v>
                </c:pt>
                <c:pt idx="5">
                  <c:v>129.42043278442381</c:v>
                </c:pt>
                <c:pt idx="6">
                  <c:v>197.60716347468565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0-4DBC-8DF8-21C614E41449}"/>
            </c:ext>
          </c:extLst>
        </c:ser>
        <c:ser>
          <c:idx val="1"/>
          <c:order val="1"/>
          <c:tx>
            <c:v>Total Cost</c:v>
          </c:tx>
          <c:spPr>
            <a:gradFill>
              <a:gsLst>
                <a:gs pos="0">
                  <a:schemeClr val="accent1">
                    <a:tint val="77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hade val="78000"/>
                  </a:schemeClr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Summary!$A$2:$A$8</c:f>
              <c:strCache>
                <c:ptCount val="7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  <c:pt idx="4">
                  <c:v>Rheinmetall AG</c:v>
                </c:pt>
                <c:pt idx="5">
                  <c:v>ASML Holding N. V.</c:v>
                </c:pt>
                <c:pt idx="6">
                  <c:v>L&amp;G Artificial Intelligence (ACC)</c:v>
                </c:pt>
              </c:strCache>
            </c:strRef>
          </c:cat>
          <c:val>
            <c:numRef>
              <c:f>Summary!$E$2:$E$8</c:f>
              <c:numCache>
                <c:formatCode>#,##0.00" €"</c:formatCode>
                <c:ptCount val="7"/>
                <c:pt idx="0">
                  <c:v>250</c:v>
                </c:pt>
                <c:pt idx="1">
                  <c:v>400.56</c:v>
                </c:pt>
                <c:pt idx="2">
                  <c:v>258.44</c:v>
                </c:pt>
                <c:pt idx="3">
                  <c:v>110</c:v>
                </c:pt>
                <c:pt idx="4">
                  <c:v>110</c:v>
                </c:pt>
                <c:pt idx="5">
                  <c:v>104.71000000000001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0-4DBC-8DF8-21C614E41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702362"/>
        <c:axId val="59382200"/>
      </c:barChart>
      <c:catAx>
        <c:axId val="487023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2200"/>
        <c:crosses val="autoZero"/>
        <c:auto val="1"/>
        <c:lblAlgn val="ctr"/>
        <c:lblOffset val="100"/>
        <c:noMultiLvlLbl val="0"/>
      </c:catAx>
      <c:valAx>
        <c:axId val="5938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&quot; 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23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Result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Summary!$G$1</c:f>
              <c:strCache>
                <c:ptCount val="1"/>
                <c:pt idx="0">
                  <c:v>Result (€)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102000"/>
                    <a:tint val="94000"/>
                  </a:schemeClr>
                </a:gs>
                <a:gs pos="50000">
                  <a:schemeClr val="accent1"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hade val="78000"/>
                  </a:schemeClr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Summary!$A$2:$A$9</c:f>
              <c:strCache>
                <c:ptCount val="8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  <c:pt idx="4">
                  <c:v>Rheinmetall AG</c:v>
                </c:pt>
                <c:pt idx="5">
                  <c:v>ASML Holding N. V.</c:v>
                </c:pt>
                <c:pt idx="6">
                  <c:v>L&amp;G Artificial Intelligence (ACC)</c:v>
                </c:pt>
                <c:pt idx="7">
                  <c:v>Overall Total</c:v>
                </c:pt>
              </c:strCache>
            </c:strRef>
          </c:cat>
          <c:val>
            <c:numRef>
              <c:f>Summary!$G$2:$G$9</c:f>
              <c:numCache>
                <c:formatCode>#,##0.00" €"</c:formatCode>
                <c:ptCount val="8"/>
                <c:pt idx="0">
                  <c:v>16.689338997528068</c:v>
                </c:pt>
                <c:pt idx="1">
                  <c:v>51.881191667507153</c:v>
                </c:pt>
                <c:pt idx="2">
                  <c:v>13.359368862278927</c:v>
                </c:pt>
                <c:pt idx="3">
                  <c:v>12.958924451675415</c:v>
                </c:pt>
                <c:pt idx="4">
                  <c:v>10.717134999999999</c:v>
                </c:pt>
                <c:pt idx="5">
                  <c:v>24.710432784423801</c:v>
                </c:pt>
                <c:pt idx="6">
                  <c:v>17.607163474685649</c:v>
                </c:pt>
                <c:pt idx="7">
                  <c:v>147.92355523809903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B-437E-8FDA-C3A98E88F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643180"/>
        <c:axId val="7261883"/>
      </c:barChart>
      <c:catAx>
        <c:axId val="106431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Asset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883"/>
        <c:crosses val="autoZero"/>
        <c:auto val="1"/>
        <c:lblAlgn val="ctr"/>
        <c:lblOffset val="100"/>
        <c:noMultiLvlLbl val="0"/>
      </c:catAx>
      <c:valAx>
        <c:axId val="72618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Result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&quot; 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1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/>
          <a:lstStyle/>
          <a:p>
            <a:pPr>
              <a:defRPr sz="1300" b="0" strike="noStrike">
                <a:uFillTx/>
                <a:latin typeface="Arial"/>
              </a:defRPr>
            </a:pPr>
            <a:r>
              <a:rPr lang="de-DE" sz="2800" b="1" strike="noStrike">
                <a:solidFill>
                  <a:srgbClr val="0E2841"/>
                </a:solidFill>
                <a:uFillTx/>
                <a:latin typeface="Calibri"/>
              </a:rPr>
              <a:t>Asset Allocation (%)</a:t>
            </a:r>
          </a:p>
        </c:rich>
      </c:tx>
      <c:layout>
        <c:manualLayout>
          <c:xMode val="edge"/>
          <c:yMode val="edge"/>
          <c:x val="0.40390246499494198"/>
          <c:y val="2.2986201597006501E-2"/>
        </c:manualLayout>
      </c:layout>
      <c:overlay val="0"/>
      <c:spPr>
        <a:noFill/>
        <a:ln w="0"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156082"/>
            </a:solidFill>
            <a:ln w="0">
              <a:noFill/>
              <a:prstDash val="solid"/>
            </a:ln>
          </c:spPr>
          <c:dPt>
            <c:idx val="0"/>
            <c:bubble3D val="0"/>
            <c:spPr>
              <a:solidFill>
                <a:srgbClr val="ADB8CD"/>
              </a:solidFill>
              <a:ln w="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A41-49F0-B583-8EA27AA5627A}"/>
              </c:ext>
            </c:extLst>
          </c:dPt>
          <c:dPt>
            <c:idx val="1"/>
            <c:bubble3D val="0"/>
            <c:spPr>
              <a:solidFill>
                <a:srgbClr val="6B7D92"/>
              </a:solidFill>
              <a:ln w="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A41-49F0-B583-8EA27AA5627A}"/>
              </c:ext>
            </c:extLst>
          </c:dPt>
          <c:dPt>
            <c:idx val="2"/>
            <c:bubble3D val="0"/>
            <c:spPr>
              <a:solidFill>
                <a:srgbClr val="7E98AD"/>
              </a:solidFill>
              <a:ln w="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A41-49F0-B583-8EA27AA5627A}"/>
              </c:ext>
            </c:extLst>
          </c:dPt>
          <c:dPt>
            <c:idx val="3"/>
            <c:bubble3D val="0"/>
            <c:spPr>
              <a:solidFill>
                <a:srgbClr val="D9C89A"/>
              </a:solidFill>
              <a:ln w="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A41-49F0-B583-8EA27AA5627A}"/>
              </c:ext>
            </c:extLst>
          </c:dPt>
          <c:dPt>
            <c:idx val="4"/>
            <c:bubble3D val="0"/>
            <c:spPr>
              <a:solidFill>
                <a:srgbClr val="7F7D8A"/>
              </a:solidFill>
              <a:ln w="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A41-49F0-B583-8EA27AA5627A}"/>
              </c:ext>
            </c:extLst>
          </c:dPt>
          <c:dPt>
            <c:idx val="5"/>
            <c:bubble3D val="0"/>
            <c:spPr>
              <a:solidFill>
                <a:srgbClr val="615D6A"/>
              </a:solidFill>
              <a:ln w="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A41-49F0-B583-8EA27AA5627A}"/>
              </c:ext>
            </c:extLst>
          </c:dPt>
          <c:dPt>
            <c:idx val="6"/>
            <c:bubble3D val="0"/>
            <c:spPr>
              <a:solidFill>
                <a:srgbClr val="C3CED9"/>
              </a:solidFill>
              <a:ln w="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A41-49F0-B583-8EA27AA5627A}"/>
              </c:ext>
            </c:extLst>
          </c:dPt>
          <c:dLbls>
            <c:dLbl>
              <c:idx val="0"/>
              <c:spPr>
                <a:ln>
                  <a:prstDash val="solid"/>
                </a:ln>
              </c:spPr>
              <c:txPr>
                <a:bodyPr wrap="square"/>
                <a:lstStyle/>
                <a:p>
                  <a:pPr>
                    <a:defRPr sz="1400" b="0" strike="noStrik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CA41-49F0-B583-8EA27AA5627A}"/>
                </c:ext>
              </c:extLst>
            </c:dLbl>
            <c:dLbl>
              <c:idx val="1"/>
              <c:spPr>
                <a:ln>
                  <a:prstDash val="solid"/>
                </a:ln>
              </c:spPr>
              <c:txPr>
                <a:bodyPr wrap="square"/>
                <a:lstStyle/>
                <a:p>
                  <a:pPr>
                    <a:defRPr sz="1400" b="0" strike="noStrik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CA41-49F0-B583-8EA27AA5627A}"/>
                </c:ext>
              </c:extLst>
            </c:dLbl>
            <c:dLbl>
              <c:idx val="2"/>
              <c:spPr>
                <a:ln>
                  <a:prstDash val="solid"/>
                </a:ln>
              </c:spPr>
              <c:txPr>
                <a:bodyPr wrap="square"/>
                <a:lstStyle/>
                <a:p>
                  <a:pPr>
                    <a:defRPr sz="1400" b="0" strike="noStrik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CA41-49F0-B583-8EA27AA5627A}"/>
                </c:ext>
              </c:extLst>
            </c:dLbl>
            <c:dLbl>
              <c:idx val="3"/>
              <c:spPr>
                <a:ln>
                  <a:prstDash val="solid"/>
                </a:ln>
              </c:spPr>
              <c:txPr>
                <a:bodyPr wrap="square"/>
                <a:lstStyle/>
                <a:p>
                  <a:pPr>
                    <a:defRPr sz="1400" b="0" strike="noStrik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7-CA41-49F0-B583-8EA27AA5627A}"/>
                </c:ext>
              </c:extLst>
            </c:dLbl>
            <c:dLbl>
              <c:idx val="4"/>
              <c:spPr>
                <a:ln>
                  <a:prstDash val="solid"/>
                </a:ln>
              </c:spPr>
              <c:txPr>
                <a:bodyPr wrap="square"/>
                <a:lstStyle/>
                <a:p>
                  <a:pPr>
                    <a:defRPr sz="1400" b="0" strike="noStrik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9-CA41-49F0-B583-8EA27AA5627A}"/>
                </c:ext>
              </c:extLst>
            </c:dLbl>
            <c:dLbl>
              <c:idx val="5"/>
              <c:spPr>
                <a:ln>
                  <a:prstDash val="solid"/>
                </a:ln>
              </c:spPr>
              <c:txPr>
                <a:bodyPr wrap="square"/>
                <a:lstStyle/>
                <a:p>
                  <a:pPr>
                    <a:defRPr sz="1400" b="0" strike="noStrik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B-CA41-49F0-B583-8EA27AA5627A}"/>
                </c:ext>
              </c:extLst>
            </c:dLbl>
            <c:dLbl>
              <c:idx val="6"/>
              <c:spPr>
                <a:ln>
                  <a:prstDash val="solid"/>
                </a:ln>
              </c:spPr>
              <c:txPr>
                <a:bodyPr wrap="square"/>
                <a:lstStyle/>
                <a:p>
                  <a:pPr>
                    <a:defRPr sz="1400" b="0" strike="noStrik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D-CA41-49F0-B583-8EA27AA5627A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wrap="square"/>
              <a:lstStyle/>
              <a:p>
                <a:pPr>
                  <a:defRPr sz="1400" b="0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Summary!$A$2:$A$8</c:f>
              <c:strCache>
                <c:ptCount val="7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  <c:pt idx="4">
                  <c:v>Rheinmetall AG</c:v>
                </c:pt>
                <c:pt idx="5">
                  <c:v>ASML Holding N. V.</c:v>
                </c:pt>
                <c:pt idx="6">
                  <c:v>L&amp;G Artificial Intelligence (ACC)</c:v>
                </c:pt>
              </c:strCache>
            </c:strRef>
          </c:cat>
          <c:val>
            <c:numRef>
              <c:f>Summary!$F$2:$F$8</c:f>
              <c:numCache>
                <c:formatCode>0\ %</c:formatCode>
                <c:ptCount val="7"/>
                <c:pt idx="0">
                  <c:v>0.19551626024827282</c:v>
                </c:pt>
                <c:pt idx="1">
                  <c:v>0.33169533551516639</c:v>
                </c:pt>
                <c:pt idx="2">
                  <c:v>0.19926254396800688</c:v>
                </c:pt>
                <c:pt idx="3">
                  <c:v>9.0144094860741014E-2</c:v>
                </c:pt>
                <c:pt idx="4">
                  <c:v>8.8500586006944396E-2</c:v>
                </c:pt>
                <c:pt idx="5">
                  <c:v>9.4881179400868529E-2</c:v>
                </c:pt>
                <c:pt idx="6">
                  <c:v>0.1448704839348593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A41-49F0-B583-8EA27AA56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1"/>
  </c:chart>
  <c:spPr>
    <a:solidFill>
      <a:srgbClr val="FFFFFF"/>
    </a:solidFill>
    <a:ln w="9360">
      <a:solidFill>
        <a:srgbClr val="CADFF4"/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/>
          <a:lstStyle/>
          <a:p>
            <a:pPr>
              <a:defRPr sz="1300" b="0" strike="noStrike">
                <a:uFillTx/>
                <a:latin typeface="Arial"/>
              </a:defRPr>
            </a:pPr>
            <a:r>
              <a:rPr lang="de-DE" sz="1800" b="1" strike="noStrike">
                <a:solidFill>
                  <a:srgbClr val="000000"/>
                </a:solidFill>
                <a:uFillTx/>
                <a:latin typeface="Arial"/>
              </a:rPr>
              <a:t>Portfolio Allocation – Fixed Plan Starting June 2025</a:t>
            </a:r>
          </a:p>
        </c:rich>
      </c:tx>
      <c:overlay val="0"/>
      <c:spPr>
        <a:noFill/>
        <a:ln w="0"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156082"/>
            </a:solidFill>
            <a:ln w="0">
              <a:noFill/>
              <a:prstDash val="solid"/>
            </a:ln>
          </c:spPr>
          <c:dPt>
            <c:idx val="0"/>
            <c:bubble3D val="0"/>
            <c:spPr>
              <a:solidFill>
                <a:srgbClr val="A8B7C5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1-C57B-4751-A8C9-46E8CC98968C}"/>
              </c:ext>
            </c:extLst>
          </c:dPt>
          <c:dPt>
            <c:idx val="1"/>
            <c:bubble3D val="0"/>
            <c:spPr>
              <a:solidFill>
                <a:srgbClr val="7E98AD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3-C57B-4751-A8C9-46E8CC98968C}"/>
              </c:ext>
            </c:extLst>
          </c:dPt>
          <c:dPt>
            <c:idx val="2"/>
            <c:bubble3D val="0"/>
            <c:spPr>
              <a:solidFill>
                <a:srgbClr val="6D8194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5-C57B-4751-A8C9-46E8CC98968C}"/>
              </c:ext>
            </c:extLst>
          </c:dPt>
          <c:dPt>
            <c:idx val="3"/>
            <c:bubble3D val="0"/>
            <c:spPr>
              <a:solidFill>
                <a:srgbClr val="D8C9A3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7-C57B-4751-A8C9-46E8CC98968C}"/>
              </c:ext>
            </c:extLst>
          </c:dPt>
          <c:dPt>
            <c:idx val="4"/>
            <c:bubble3D val="0"/>
            <c:spPr>
              <a:solidFill>
                <a:srgbClr val="5C5863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9-C57B-4751-A8C9-46E8CC98968C}"/>
              </c:ext>
            </c:extLst>
          </c:dPt>
          <c:dPt>
            <c:idx val="5"/>
            <c:bubble3D val="0"/>
            <c:spPr>
              <a:solidFill>
                <a:srgbClr val="6D6A75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B-C57B-4751-A8C9-46E8CC98968C}"/>
              </c:ext>
            </c:extLst>
          </c:dPt>
          <c:dLbls>
            <c:dLbl>
              <c:idx val="0"/>
              <c:spPr>
                <a:ln>
                  <a:prstDash val="solid"/>
                </a:ln>
              </c:spPr>
              <c:txPr>
                <a:bodyPr wrap="square"/>
                <a:lstStyle/>
                <a:p>
                  <a:pPr>
                    <a:defRPr sz="1000" b="0" strike="noStrike">
                      <a:solidFill>
                        <a:srgbClr val="262626"/>
                      </a:solidFill>
                      <a:uFillTx/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C57B-4751-A8C9-46E8CC98968C}"/>
                </c:ext>
              </c:extLst>
            </c:dLbl>
            <c:dLbl>
              <c:idx val="1"/>
              <c:spPr>
                <a:ln>
                  <a:prstDash val="solid"/>
                </a:ln>
              </c:spPr>
              <c:txPr>
                <a:bodyPr wrap="square"/>
                <a:lstStyle/>
                <a:p>
                  <a:pPr>
                    <a:defRPr sz="1000" b="0" strike="noStrike">
                      <a:solidFill>
                        <a:srgbClr val="262626"/>
                      </a:solidFill>
                      <a:uFillTx/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C57B-4751-A8C9-46E8CC98968C}"/>
                </c:ext>
              </c:extLst>
            </c:dLbl>
            <c:dLbl>
              <c:idx val="2"/>
              <c:spPr>
                <a:ln>
                  <a:prstDash val="solid"/>
                </a:ln>
              </c:spPr>
              <c:txPr>
                <a:bodyPr wrap="square"/>
                <a:lstStyle/>
                <a:p>
                  <a:pPr>
                    <a:defRPr sz="1000" b="0" strike="noStrike">
                      <a:solidFill>
                        <a:srgbClr val="262626"/>
                      </a:solidFill>
                      <a:uFillTx/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C57B-4751-A8C9-46E8CC98968C}"/>
                </c:ext>
              </c:extLst>
            </c:dLbl>
            <c:dLbl>
              <c:idx val="3"/>
              <c:spPr>
                <a:ln>
                  <a:prstDash val="solid"/>
                </a:ln>
              </c:spPr>
              <c:txPr>
                <a:bodyPr wrap="square"/>
                <a:lstStyle/>
                <a:p>
                  <a:pPr>
                    <a:defRPr sz="1000" b="0" strike="noStrike">
                      <a:solidFill>
                        <a:srgbClr val="262626"/>
                      </a:solidFill>
                      <a:uFillTx/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7-C57B-4751-A8C9-46E8CC98968C}"/>
                </c:ext>
              </c:extLst>
            </c:dLbl>
            <c:dLbl>
              <c:idx val="4"/>
              <c:spPr>
                <a:ln>
                  <a:prstDash val="solid"/>
                </a:ln>
              </c:spPr>
              <c:txPr>
                <a:bodyPr wrap="square"/>
                <a:lstStyle/>
                <a:p>
                  <a:pPr>
                    <a:defRPr sz="1000" b="0" strike="noStrike">
                      <a:solidFill>
                        <a:srgbClr val="262626"/>
                      </a:solidFill>
                      <a:uFillTx/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9-C57B-4751-A8C9-46E8CC98968C}"/>
                </c:ext>
              </c:extLst>
            </c:dLbl>
            <c:dLbl>
              <c:idx val="5"/>
              <c:spPr>
                <a:ln>
                  <a:prstDash val="solid"/>
                </a:ln>
              </c:spPr>
              <c:txPr>
                <a:bodyPr wrap="square"/>
                <a:lstStyle/>
                <a:p>
                  <a:pPr>
                    <a:defRPr sz="1000" b="0" strike="noStrike">
                      <a:solidFill>
                        <a:srgbClr val="262626"/>
                      </a:solidFill>
                      <a:uFillTx/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B-C57B-4751-A8C9-46E8CC98968C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wrap="square"/>
              <a:lstStyle/>
              <a:p>
                <a:pPr>
                  <a:defRPr sz="1000" b="0" strike="noStrike">
                    <a:solidFill>
                      <a:srgbClr val="262626"/>
                    </a:solidFill>
                    <a:uFillTx/>
                    <a:latin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('Fixed Investment Plan'!$A$3,'Fixed Investment Plan'!$A$4,'Fixed Investment Plan'!$A$5,'Fixed Investment Plan'!$A$6,'Fixed Investment Plan'!$A$7,'Fixed Investment Plan'!$A$8)</c:f>
              <c:strCache>
                <c:ptCount val="6"/>
                <c:pt idx="0">
                  <c:v>Amundi Nasdaq 100</c:v>
                </c:pt>
                <c:pt idx="1">
                  <c:v>Scalable MSCI AC World</c:v>
                </c:pt>
                <c:pt idx="2">
                  <c:v>VanEck Defense</c:v>
                </c:pt>
                <c:pt idx="3">
                  <c:v>iShares Physical Gold</c:v>
                </c:pt>
                <c:pt idx="4">
                  <c:v>ASML Holding N.V.</c:v>
                </c:pt>
                <c:pt idx="5">
                  <c:v>Rheinmetall AG</c:v>
                </c:pt>
              </c:strCache>
            </c:strRef>
          </c:cat>
          <c:val>
            <c:numRef>
              <c:f>('Fixed Investment Plan'!$E$3,'Fixed Investment Plan'!$E$4,'Fixed Investment Plan'!$E$5,'Fixed Investment Plan'!$E$6,'Fixed Investment Plan'!$E$7,'Fixed Investment Plan'!$E$8)</c:f>
              <c:numCache>
                <c:formatCode>0.00\ %</c:formatCode>
                <c:ptCount val="6"/>
                <c:pt idx="0">
                  <c:v>0.20833333333333334</c:v>
                </c:pt>
                <c:pt idx="1">
                  <c:v>0.20833333333333334</c:v>
                </c:pt>
                <c:pt idx="2">
                  <c:v>0.33333333333333331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7B-4751-A8C9-46E8CC989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1"/>
  </c:chart>
  <c:spPr>
    <a:pattFill prst="ltDnDiag">
      <a:fgClr>
        <a:srgbClr val="FFFFFF"/>
      </a:fgClr>
      <a:bgClr>
        <a:srgbClr val="E6E6E6"/>
      </a:bgClr>
    </a:pattFill>
    <a:ln w="9360">
      <a:solidFill>
        <a:srgbClr val="D9D9D9"/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374400</xdr:colOff>
      <xdr:row>5</xdr:row>
      <xdr:rowOff>183600</xdr:rowOff>
    </xdr:from>
    <xdr:to>
      <xdr:col>46</xdr:col>
      <xdr:colOff>154081</xdr:colOff>
      <xdr:row>55</xdr:row>
      <xdr:rowOff>121320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351000</xdr:colOff>
      <xdr:row>57</xdr:row>
      <xdr:rowOff>179280</xdr:rowOff>
    </xdr:from>
    <xdr:to>
      <xdr:col>41</xdr:col>
      <xdr:colOff>515882</xdr:colOff>
      <xdr:row>84</xdr:row>
      <xdr:rowOff>178560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700200</xdr:colOff>
      <xdr:row>6</xdr:row>
      <xdr:rowOff>4680</xdr:rowOff>
    </xdr:from>
    <xdr:to>
      <xdr:col>23</xdr:col>
      <xdr:colOff>765001</xdr:colOff>
      <xdr:row>59</xdr:row>
      <xdr:rowOff>178200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21600</xdr:colOff>
      <xdr:row>2</xdr:row>
      <xdr:rowOff>130680</xdr:rowOff>
    </xdr:from>
    <xdr:to>
      <xdr:col>17</xdr:col>
      <xdr:colOff>147600</xdr:colOff>
      <xdr:row>46</xdr:row>
      <xdr:rowOff>81000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8B7D31F-689D-4657-BCE1-E11153776646}">
  <we:reference id="wa200007447" version="1.0.0.0" store="en-US" storeType="OMEX"/>
  <we:alternateReferences>
    <we:reference id="wa200007447" version="1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_xldudf_BOARDFLARE_RUNPY</we:customFunctionIds>
        <we:customFunctionIds>_xldudf_BOARDFLARE_EXEC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2"/>
  <sheetViews>
    <sheetView zoomScale="120" zoomScaleNormal="120" workbookViewId="0">
      <pane ySplit="1" topLeftCell="A2" activePane="bottomLeft" state="frozen"/>
      <selection activeCell="Q1" sqref="Q1"/>
      <selection pane="bottomLeft" activeCell="H47" sqref="H47"/>
    </sheetView>
  </sheetViews>
  <sheetFormatPr baseColWidth="10" defaultColWidth="10.85546875" defaultRowHeight="15.75" customHeight="1"/>
  <cols>
    <col min="1" max="1" width="17.640625" style="1" customWidth="1"/>
    <col min="2" max="2" width="17.85546875" style="2" customWidth="1"/>
    <col min="3" max="3" width="16.35546875" style="3" customWidth="1"/>
    <col min="4" max="4" width="39.35546875" style="3" customWidth="1"/>
    <col min="5" max="5" width="20.35546875" style="2" customWidth="1"/>
    <col min="6" max="6" width="10.5" style="4" customWidth="1"/>
    <col min="7" max="7" width="19.5" style="4" customWidth="1"/>
    <col min="8" max="8" width="15" style="5" customWidth="1"/>
    <col min="9" max="9" width="15.640625" style="3" customWidth="1"/>
    <col min="10" max="10" width="17.5" style="5" customWidth="1"/>
    <col min="11" max="11" width="28" style="3" customWidth="1"/>
    <col min="12" max="12" width="16.640625" style="5" customWidth="1"/>
    <col min="13" max="13" width="10.85546875" style="3" customWidth="1"/>
    <col min="14" max="14" width="22.5" style="3" customWidth="1"/>
    <col min="15" max="15" width="15.5" style="3" customWidth="1"/>
    <col min="16" max="16" width="14.640625" style="6" customWidth="1"/>
    <col min="17" max="17" width="19.85546875" style="3" customWidth="1"/>
    <col min="18" max="18" width="15.85546875" style="2" customWidth="1"/>
    <col min="19" max="19" width="20.640625" style="2" customWidth="1"/>
    <col min="20" max="20" width="63" style="3" customWidth="1"/>
    <col min="21" max="21" width="12.85546875" style="2" customWidth="1"/>
    <col min="22" max="22" width="7.35546875" style="2" customWidth="1"/>
    <col min="23" max="23" width="114.140625" style="3" customWidth="1"/>
    <col min="24" max="32" width="10.85546875" style="3" customWidth="1"/>
    <col min="33" max="16384" width="10.85546875" style="3"/>
  </cols>
  <sheetData>
    <row r="1" spans="1:23" ht="15.75" customHeigh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0" t="s">
        <v>6</v>
      </c>
      <c r="H1" s="11" t="s">
        <v>7</v>
      </c>
      <c r="I1" s="12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3" t="s">
        <v>14</v>
      </c>
      <c r="P1" s="14" t="s">
        <v>15</v>
      </c>
      <c r="Q1" s="15" t="s">
        <v>16</v>
      </c>
      <c r="R1" s="9" t="s">
        <v>17</v>
      </c>
      <c r="S1" s="9" t="s">
        <v>18</v>
      </c>
      <c r="T1" s="9" t="s">
        <v>19</v>
      </c>
      <c r="U1" s="16" t="s">
        <v>20</v>
      </c>
      <c r="V1" s="17" t="s">
        <v>21</v>
      </c>
      <c r="W1" s="18" t="s">
        <v>22</v>
      </c>
    </row>
    <row r="2" spans="1:23" ht="15.75" customHeight="1">
      <c r="A2" s="19">
        <v>45786</v>
      </c>
      <c r="B2" s="20">
        <v>0.60763888888888884</v>
      </c>
      <c r="C2" s="21" t="s">
        <v>23</v>
      </c>
      <c r="D2" s="22" t="s">
        <v>24</v>
      </c>
      <c r="E2" s="21" t="s">
        <v>25</v>
      </c>
      <c r="F2" s="23">
        <v>1.155268</v>
      </c>
      <c r="G2" s="24">
        <f>SUMIFS(F$2:F2, D$2:D2, D2, V$2:V2, "Yes")</f>
        <v>0</v>
      </c>
      <c r="H2" s="25">
        <v>8.66</v>
      </c>
      <c r="I2" s="25">
        <f>IFERROR(VLOOKUP(D2,Kurse!$A:$E,2,FALSE()),0)</f>
        <v>0</v>
      </c>
      <c r="J2" s="25">
        <v>10</v>
      </c>
      <c r="K2" s="25">
        <f>SUMIFS($J2:J$3, $D2:D$3, D2, $V2:V$3, "Yes")</f>
        <v>0</v>
      </c>
      <c r="L2" s="25">
        <v>1</v>
      </c>
      <c r="M2" s="25" t="str">
        <f t="shared" ref="M2:M33" si="0">IF(V2="Yes",J2+L2,"")</f>
        <v/>
      </c>
      <c r="N2" s="25">
        <f>SUMIFS($M2:M$3, $D2:D$3, D2, $V2:V$3, "Yes")</f>
        <v>0</v>
      </c>
      <c r="O2" s="26" t="str">
        <f t="shared" ref="O2:O33" si="1">IF(V2="Yes",F2*I2,"")</f>
        <v/>
      </c>
      <c r="P2" s="27">
        <v>0</v>
      </c>
      <c r="Q2" s="28">
        <f t="shared" ref="Q2:Q33" si="2">IFERROR(O2*P2,0)</f>
        <v>0</v>
      </c>
      <c r="R2" s="21" t="s">
        <v>26</v>
      </c>
      <c r="S2" s="21" t="s">
        <v>27</v>
      </c>
      <c r="T2" s="29" t="s">
        <v>28</v>
      </c>
      <c r="U2" s="30" t="s">
        <v>29</v>
      </c>
      <c r="V2" s="31" t="s">
        <v>30</v>
      </c>
      <c r="W2" s="32" t="s">
        <v>31</v>
      </c>
    </row>
    <row r="3" spans="1:23" ht="15.75" customHeight="1">
      <c r="A3" s="33">
        <v>45789</v>
      </c>
      <c r="B3" s="34">
        <v>0.46250000000000002</v>
      </c>
      <c r="C3" s="35" t="s">
        <v>32</v>
      </c>
      <c r="D3" s="36" t="s">
        <v>33</v>
      </c>
      <c r="E3" s="35" t="s">
        <v>34</v>
      </c>
      <c r="F3" s="36">
        <v>9.3785999999999994E-2</v>
      </c>
      <c r="G3" s="36">
        <f>SUMIFS(F$3:F3, D$3:D3, D3, V$3:V3, "Yes")</f>
        <v>9.3785999999999994E-2</v>
      </c>
      <c r="H3" s="37">
        <v>213.25</v>
      </c>
      <c r="I3" s="37">
        <f>IFERROR(VLOOKUP(D3,Kurse!$A:$E,2,FALSE()),0)</f>
        <v>239.19999694824219</v>
      </c>
      <c r="J3" s="37">
        <v>20</v>
      </c>
      <c r="K3" s="37">
        <f>SUMIFS($J$3:J3, $D$3:D3, D3, $V$3:V3, "Yes")</f>
        <v>20</v>
      </c>
      <c r="L3" s="37">
        <v>0</v>
      </c>
      <c r="M3" s="37">
        <f t="shared" si="0"/>
        <v>20</v>
      </c>
      <c r="N3" s="37">
        <f>SUMIFS($M$3:M3, $D$3:D3, D3, $V$3:V3, "Yes")</f>
        <v>20</v>
      </c>
      <c r="O3" s="38">
        <f t="shared" si="1"/>
        <v>22.433610913787842</v>
      </c>
      <c r="P3" s="39">
        <v>0</v>
      </c>
      <c r="Q3" s="40">
        <f t="shared" si="2"/>
        <v>0</v>
      </c>
      <c r="R3" s="35" t="s">
        <v>35</v>
      </c>
      <c r="S3" s="35" t="s">
        <v>36</v>
      </c>
      <c r="T3" s="41" t="s">
        <v>37</v>
      </c>
      <c r="U3" s="42" t="s">
        <v>29</v>
      </c>
      <c r="V3" s="2" t="s">
        <v>38</v>
      </c>
    </row>
    <row r="4" spans="1:23" ht="15.75" customHeight="1">
      <c r="A4" s="19">
        <v>45789</v>
      </c>
      <c r="B4" s="20">
        <v>0.47291666666666671</v>
      </c>
      <c r="C4" s="21" t="s">
        <v>32</v>
      </c>
      <c r="D4" s="22" t="s">
        <v>39</v>
      </c>
      <c r="E4" s="21" t="s">
        <v>40</v>
      </c>
      <c r="F4" s="22">
        <v>2.3581189999999999</v>
      </c>
      <c r="G4" s="22">
        <f>SUMIFS(F$3:F4, D$3:D4, D4, V$3:V4, "Yes")</f>
        <v>0</v>
      </c>
      <c r="H4" s="25">
        <v>12.722</v>
      </c>
      <c r="I4" s="25">
        <f>IFERROR(VLOOKUP(D4,Kurse!$A:$E,2,FALSE()),0)</f>
        <v>0</v>
      </c>
      <c r="J4" s="25">
        <v>30</v>
      </c>
      <c r="K4" s="25">
        <f>SUMIFS($J$3:J4, $D$3:D4, D4, $V$3:V4, "Yes")</f>
        <v>0</v>
      </c>
      <c r="L4" s="25">
        <v>0</v>
      </c>
      <c r="M4" s="25" t="str">
        <f t="shared" si="0"/>
        <v/>
      </c>
      <c r="N4" s="25">
        <f>SUMIFS($M$3:M4, $D$3:D4, D4, $V$3:V4, "Yes")</f>
        <v>0</v>
      </c>
      <c r="O4" s="26" t="str">
        <f t="shared" si="1"/>
        <v/>
      </c>
      <c r="P4" s="27">
        <v>0</v>
      </c>
      <c r="Q4" s="28">
        <f t="shared" si="2"/>
        <v>0</v>
      </c>
      <c r="R4" s="21" t="s">
        <v>35</v>
      </c>
      <c r="S4" s="21" t="s">
        <v>27</v>
      </c>
      <c r="T4" s="29" t="s">
        <v>26</v>
      </c>
      <c r="U4" s="30" t="s">
        <v>29</v>
      </c>
      <c r="V4" s="31" t="s">
        <v>30</v>
      </c>
      <c r="W4" s="32" t="s">
        <v>41</v>
      </c>
    </row>
    <row r="5" spans="1:23" ht="15.75" customHeight="1">
      <c r="A5" s="33">
        <v>45789</v>
      </c>
      <c r="B5" s="34">
        <v>0.47916666666666669</v>
      </c>
      <c r="C5" s="35" t="s">
        <v>32</v>
      </c>
      <c r="D5" s="36" t="s">
        <v>42</v>
      </c>
      <c r="E5" s="35" t="s">
        <v>43</v>
      </c>
      <c r="F5" s="36">
        <v>3.254149</v>
      </c>
      <c r="G5" s="36">
        <f>SUMIFS(F$3:F5, D$3:D5, D5, V$3:V5, "Yes")</f>
        <v>3.254149</v>
      </c>
      <c r="H5" s="37">
        <v>9.2189999999999994</v>
      </c>
      <c r="I5" s="37">
        <f>IFERROR(VLOOKUP(D5,Kurse!$A:$E,2,FALSE()),0)</f>
        <v>9.9739999771118164</v>
      </c>
      <c r="J5" s="37">
        <v>30</v>
      </c>
      <c r="K5" s="37">
        <f>SUMIFS($J$3:J5, $D$3:D5, D5, $V$3:V5, "Yes")</f>
        <v>30</v>
      </c>
      <c r="L5" s="37">
        <v>0</v>
      </c>
      <c r="M5" s="37">
        <f t="shared" si="0"/>
        <v>30</v>
      </c>
      <c r="N5" s="37">
        <f>SUMIFS($M$3:M5, $D$3:D5, D5, $V$3:V5, "Yes")</f>
        <v>30</v>
      </c>
      <c r="O5" s="38">
        <f t="shared" si="1"/>
        <v>32.456882051518441</v>
      </c>
      <c r="P5" s="39">
        <v>0</v>
      </c>
      <c r="Q5" s="40">
        <f t="shared" si="2"/>
        <v>0</v>
      </c>
      <c r="R5" s="35" t="s">
        <v>35</v>
      </c>
      <c r="S5" s="35" t="s">
        <v>36</v>
      </c>
      <c r="T5" s="41" t="s">
        <v>37</v>
      </c>
      <c r="U5" s="42" t="s">
        <v>29</v>
      </c>
      <c r="V5" s="2" t="s">
        <v>38</v>
      </c>
    </row>
    <row r="6" spans="1:23" ht="15.75" customHeight="1">
      <c r="A6" s="33">
        <v>45789</v>
      </c>
      <c r="B6" s="34">
        <v>0.48402777777777778</v>
      </c>
      <c r="C6" s="35" t="s">
        <v>32</v>
      </c>
      <c r="D6" s="36" t="s">
        <v>44</v>
      </c>
      <c r="E6" s="35" t="s">
        <v>45</v>
      </c>
      <c r="F6" s="36">
        <v>0.88920500000000002</v>
      </c>
      <c r="G6" s="36">
        <f>SUMIFS(F$3:F6, D$3:D6, D6, V$3:V6, "Yes")</f>
        <v>0.88920500000000002</v>
      </c>
      <c r="H6" s="37">
        <v>56.23</v>
      </c>
      <c r="I6" s="37">
        <f>IFERROR(VLOOKUP(D6,Kurse!$A:$E,2,FALSE()),0)</f>
        <v>63.540000915527337</v>
      </c>
      <c r="J6" s="37">
        <v>50</v>
      </c>
      <c r="K6" s="37">
        <f>SUMIFS($J$3:J6, $D$3:D6, D6, $V$3:V6, "Yes")</f>
        <v>50</v>
      </c>
      <c r="L6" s="37">
        <v>0</v>
      </c>
      <c r="M6" s="37">
        <f t="shared" si="0"/>
        <v>50</v>
      </c>
      <c r="N6" s="37">
        <f>SUMIFS($M$3:M6, $D$3:D6, D6, $V$3:V6, "Yes")</f>
        <v>50</v>
      </c>
      <c r="O6" s="38">
        <f t="shared" si="1"/>
        <v>56.500086514091485</v>
      </c>
      <c r="P6" s="39">
        <v>0</v>
      </c>
      <c r="Q6" s="40">
        <f t="shared" si="2"/>
        <v>0</v>
      </c>
      <c r="R6" s="35" t="s">
        <v>35</v>
      </c>
      <c r="S6" s="35" t="s">
        <v>36</v>
      </c>
      <c r="T6" s="41" t="s">
        <v>37</v>
      </c>
      <c r="U6" s="42" t="s">
        <v>46</v>
      </c>
      <c r="V6" s="2" t="s">
        <v>38</v>
      </c>
    </row>
    <row r="7" spans="1:23" ht="15.75" customHeight="1">
      <c r="A7" s="33">
        <v>45789</v>
      </c>
      <c r="B7" s="34">
        <v>0.49652777777777779</v>
      </c>
      <c r="C7" s="35" t="s">
        <v>32</v>
      </c>
      <c r="D7" s="36" t="s">
        <v>47</v>
      </c>
      <c r="E7" s="35" t="s">
        <v>48</v>
      </c>
      <c r="F7" s="36">
        <v>0.65416399999999997</v>
      </c>
      <c r="G7" s="36">
        <f>SUMIFS(F$3:F7, D$3:D7, D7, V$3:V7, "Yes")</f>
        <v>0.65416399999999997</v>
      </c>
      <c r="H7" s="37">
        <v>45.86</v>
      </c>
      <c r="I7" s="37">
        <f>IFERROR(VLOOKUP(D7,Kurse!$A:$E,2,FALSE()),0)</f>
        <v>55.340000152587891</v>
      </c>
      <c r="J7" s="37">
        <v>30</v>
      </c>
      <c r="K7" s="37">
        <f>SUMIFS($J$3:J7, $D$3:D7, D7, $V$3:V7, "Yes")</f>
        <v>30</v>
      </c>
      <c r="L7" s="37">
        <v>0</v>
      </c>
      <c r="M7" s="37">
        <f t="shared" si="0"/>
        <v>30</v>
      </c>
      <c r="N7" s="37">
        <f>SUMIFS($M$3:M7, $D$3:D7, D7, $V$3:V7, "Yes")</f>
        <v>30</v>
      </c>
      <c r="O7" s="38">
        <f t="shared" si="1"/>
        <v>36.201435859817501</v>
      </c>
      <c r="P7" s="39">
        <v>0</v>
      </c>
      <c r="Q7" s="40">
        <f t="shared" si="2"/>
        <v>0</v>
      </c>
      <c r="R7" s="35" t="s">
        <v>35</v>
      </c>
      <c r="S7" s="35" t="s">
        <v>36</v>
      </c>
      <c r="T7" s="41" t="s">
        <v>37</v>
      </c>
      <c r="U7" s="42" t="s">
        <v>29</v>
      </c>
      <c r="V7" s="2" t="s">
        <v>38</v>
      </c>
    </row>
    <row r="8" spans="1:23" ht="15.75" customHeight="1">
      <c r="A8" s="19">
        <v>45789</v>
      </c>
      <c r="B8" s="20">
        <v>0.49722222222222218</v>
      </c>
      <c r="C8" s="21" t="s">
        <v>32</v>
      </c>
      <c r="D8" s="22" t="s">
        <v>49</v>
      </c>
      <c r="E8" s="21" t="s">
        <v>50</v>
      </c>
      <c r="F8" s="22">
        <v>0.71658900000000003</v>
      </c>
      <c r="G8" s="22">
        <f>SUMIFS(F$3:F8, D$3:D8, D8, V$3:V8, "Yes")</f>
        <v>0</v>
      </c>
      <c r="H8" s="25">
        <v>55.82</v>
      </c>
      <c r="I8" s="25">
        <f>IFERROR(VLOOKUP(D8,Kurse!$A:$E,2,FALSE()),0)</f>
        <v>0</v>
      </c>
      <c r="J8" s="25">
        <v>40</v>
      </c>
      <c r="K8" s="25">
        <f>SUMIFS($J$3:J8, $D$3:D8, D8, $V$3:V8, "Yes")</f>
        <v>0</v>
      </c>
      <c r="L8" s="25">
        <v>0</v>
      </c>
      <c r="M8" s="25" t="str">
        <f t="shared" si="0"/>
        <v/>
      </c>
      <c r="N8" s="25">
        <f>SUMIFS($M$3:M8, $D$3:D8, D8, $V$3:V8, "Yes")</f>
        <v>0</v>
      </c>
      <c r="O8" s="26" t="str">
        <f t="shared" si="1"/>
        <v/>
      </c>
      <c r="P8" s="27">
        <v>0</v>
      </c>
      <c r="Q8" s="28">
        <f t="shared" si="2"/>
        <v>0</v>
      </c>
      <c r="R8" s="21" t="s">
        <v>26</v>
      </c>
      <c r="S8" s="21" t="s">
        <v>27</v>
      </c>
      <c r="T8" s="29" t="s">
        <v>26</v>
      </c>
      <c r="U8" s="30" t="s">
        <v>29</v>
      </c>
      <c r="V8" s="31" t="s">
        <v>30</v>
      </c>
      <c r="W8" s="32" t="s">
        <v>51</v>
      </c>
    </row>
    <row r="9" spans="1:23" ht="15.75" customHeight="1">
      <c r="A9" s="19">
        <v>45793</v>
      </c>
      <c r="B9" s="20">
        <v>0.5805555555555556</v>
      </c>
      <c r="C9" s="21" t="s">
        <v>23</v>
      </c>
      <c r="D9" s="22" t="s">
        <v>24</v>
      </c>
      <c r="E9" s="21" t="s">
        <v>25</v>
      </c>
      <c r="F9" s="22">
        <v>1.0745750000000001</v>
      </c>
      <c r="G9" s="22">
        <f>SUMIFS(F$3:F9, D$3:D9, D9, V$3:V9, "Yes")</f>
        <v>0</v>
      </c>
      <c r="H9" s="25">
        <v>9.31</v>
      </c>
      <c r="I9" s="25">
        <f>IFERROR(VLOOKUP(D9,Kurse!$A:$E,2,FALSE()),0)</f>
        <v>0</v>
      </c>
      <c r="J9" s="25">
        <v>10</v>
      </c>
      <c r="K9" s="25">
        <f>SUMIFS($J$3:J9, $D$3:D9, D9, $V$3:V9, "Yes")</f>
        <v>0</v>
      </c>
      <c r="L9" s="25">
        <v>0</v>
      </c>
      <c r="M9" s="25" t="str">
        <f t="shared" si="0"/>
        <v/>
      </c>
      <c r="N9" s="25">
        <f>SUMIFS($M$3:M9, $D$3:D9, D9, $V$3:V9, "Yes")</f>
        <v>0</v>
      </c>
      <c r="O9" s="26" t="str">
        <f t="shared" si="1"/>
        <v/>
      </c>
      <c r="P9" s="27">
        <v>0</v>
      </c>
      <c r="Q9" s="28">
        <f t="shared" si="2"/>
        <v>0</v>
      </c>
      <c r="R9" s="21" t="s">
        <v>26</v>
      </c>
      <c r="S9" s="21" t="s">
        <v>27</v>
      </c>
      <c r="T9" s="29" t="s">
        <v>26</v>
      </c>
      <c r="U9" s="30" t="s">
        <v>29</v>
      </c>
      <c r="V9" s="31" t="s">
        <v>30</v>
      </c>
      <c r="W9" s="32" t="s">
        <v>52</v>
      </c>
    </row>
    <row r="10" spans="1:23" ht="15.75" customHeight="1">
      <c r="A10" s="19">
        <v>45793</v>
      </c>
      <c r="B10" s="20">
        <v>0.66736111111111107</v>
      </c>
      <c r="C10" s="21" t="s">
        <v>23</v>
      </c>
      <c r="D10" s="22" t="s">
        <v>53</v>
      </c>
      <c r="E10" s="21" t="s">
        <v>54</v>
      </c>
      <c r="F10" s="22">
        <v>3.7919000000000001E-2</v>
      </c>
      <c r="G10" s="22">
        <f>SUMIFS(F$3:F10, D$3:D10, D10, V$3:V10, "Yes")</f>
        <v>0</v>
      </c>
      <c r="H10" s="25">
        <v>131.86000000000001</v>
      </c>
      <c r="I10" s="25">
        <f>IFERROR(VLOOKUP(D10,Kurse!$A:$E,2,FALSE()),0)</f>
        <v>0</v>
      </c>
      <c r="J10" s="25">
        <v>5</v>
      </c>
      <c r="K10" s="25">
        <f>SUMIFS($J$3:J10, $D$3:D10, D10, $V$3:V10, "Yes")</f>
        <v>0</v>
      </c>
      <c r="L10" s="25">
        <v>0</v>
      </c>
      <c r="M10" s="25" t="str">
        <f t="shared" si="0"/>
        <v/>
      </c>
      <c r="N10" s="25">
        <f>SUMIFS($M$3:M10, $D$3:D10, D10, $V$3:V10, "Yes")</f>
        <v>0</v>
      </c>
      <c r="O10" s="26" t="str">
        <f t="shared" si="1"/>
        <v/>
      </c>
      <c r="P10" s="27">
        <v>0</v>
      </c>
      <c r="Q10" s="28">
        <f t="shared" si="2"/>
        <v>0</v>
      </c>
      <c r="R10" s="21" t="s">
        <v>26</v>
      </c>
      <c r="S10" s="21" t="s">
        <v>27</v>
      </c>
      <c r="T10" s="29" t="s">
        <v>26</v>
      </c>
      <c r="U10" s="30" t="s">
        <v>29</v>
      </c>
      <c r="V10" s="31" t="s">
        <v>30</v>
      </c>
      <c r="W10" s="32" t="s">
        <v>55</v>
      </c>
    </row>
    <row r="11" spans="1:23" ht="15.75" customHeight="1">
      <c r="A11" s="19">
        <v>45793</v>
      </c>
      <c r="B11" s="20">
        <v>0.56736111111111109</v>
      </c>
      <c r="C11" s="21" t="s">
        <v>23</v>
      </c>
      <c r="D11" s="22" t="s">
        <v>56</v>
      </c>
      <c r="E11" s="21" t="s">
        <v>57</v>
      </c>
      <c r="F11" s="22">
        <v>0.266347</v>
      </c>
      <c r="G11" s="22">
        <f>SUMIFS(F$3:F11, D$3:D11, D11, V$3:V11, "Yes")</f>
        <v>0</v>
      </c>
      <c r="H11" s="25">
        <v>37.549999999999997</v>
      </c>
      <c r="I11" s="25">
        <f>IFERROR(VLOOKUP(D11,Kurse!$A:$E,2,FALSE()),0)</f>
        <v>0</v>
      </c>
      <c r="J11" s="25">
        <v>10</v>
      </c>
      <c r="K11" s="25">
        <f>SUMIFS($J$3:J11, $D$3:D11, D11, $V$3:V11, "Yes")</f>
        <v>0</v>
      </c>
      <c r="L11" s="25">
        <v>0</v>
      </c>
      <c r="M11" s="25" t="str">
        <f t="shared" si="0"/>
        <v/>
      </c>
      <c r="N11" s="25">
        <f>SUMIFS($M$3:M11, $D$3:D11, D11, $V$3:V11, "Yes")</f>
        <v>0</v>
      </c>
      <c r="O11" s="26" t="str">
        <f t="shared" si="1"/>
        <v/>
      </c>
      <c r="P11" s="27">
        <v>0</v>
      </c>
      <c r="Q11" s="28">
        <f t="shared" si="2"/>
        <v>0</v>
      </c>
      <c r="R11" s="21" t="s">
        <v>26</v>
      </c>
      <c r="S11" s="21" t="s">
        <v>27</v>
      </c>
      <c r="T11" s="29" t="s">
        <v>26</v>
      </c>
      <c r="U11" s="30" t="s">
        <v>29</v>
      </c>
      <c r="V11" s="31" t="s">
        <v>30</v>
      </c>
      <c r="W11" s="32" t="s">
        <v>58</v>
      </c>
    </row>
    <row r="12" spans="1:23" ht="15.75" customHeight="1">
      <c r="A12" s="19">
        <v>45793</v>
      </c>
      <c r="B12" s="20">
        <v>0.47916666666666669</v>
      </c>
      <c r="C12" s="21" t="s">
        <v>23</v>
      </c>
      <c r="D12" s="22" t="s">
        <v>59</v>
      </c>
      <c r="E12" s="21" t="s">
        <v>60</v>
      </c>
      <c r="F12" s="22">
        <v>0</v>
      </c>
      <c r="G12" s="22">
        <f>SUMIFS(F$3:F12, D$3:D12, D12, V$3:V12, "Yes")</f>
        <v>0</v>
      </c>
      <c r="H12" s="25">
        <v>1720.5</v>
      </c>
      <c r="I12" s="25">
        <f>IFERROR(VLOOKUP(D12,Kurse!$A:$E,2,FALSE()),0)</f>
        <v>1984.5</v>
      </c>
      <c r="J12" s="25">
        <v>0</v>
      </c>
      <c r="K12" s="25">
        <f>SUMIFS($J$3:J12, $D$3:D12, D12, $V$3:V12, "Yes")</f>
        <v>0</v>
      </c>
      <c r="L12" s="25">
        <v>0</v>
      </c>
      <c r="M12" s="25" t="str">
        <f t="shared" si="0"/>
        <v/>
      </c>
      <c r="N12" s="25">
        <f>SUMIFS($M$3:M12, $D$3:D12, D12, $V$3:V12, "Yes")</f>
        <v>0</v>
      </c>
      <c r="O12" s="26" t="str">
        <f t="shared" si="1"/>
        <v/>
      </c>
      <c r="P12" s="27">
        <v>0</v>
      </c>
      <c r="Q12" s="28">
        <f t="shared" si="2"/>
        <v>0</v>
      </c>
      <c r="R12" s="21" t="s">
        <v>26</v>
      </c>
      <c r="S12" s="21" t="s">
        <v>36</v>
      </c>
      <c r="T12" s="29" t="s">
        <v>26</v>
      </c>
      <c r="U12" s="30" t="s">
        <v>61</v>
      </c>
      <c r="V12" s="31" t="s">
        <v>30</v>
      </c>
      <c r="W12" s="32" t="s">
        <v>62</v>
      </c>
    </row>
    <row r="13" spans="1:23" ht="15.75" customHeight="1">
      <c r="A13" s="19">
        <v>45796</v>
      </c>
      <c r="B13" s="20">
        <v>0.46875</v>
      </c>
      <c r="C13" s="21" t="s">
        <v>23</v>
      </c>
      <c r="D13" s="22" t="s">
        <v>63</v>
      </c>
      <c r="E13" s="21" t="s">
        <v>64</v>
      </c>
      <c r="F13" s="22">
        <v>0</v>
      </c>
      <c r="G13" s="22">
        <v>3.8137999999999998E-2</v>
      </c>
      <c r="H13" s="25">
        <v>681.72</v>
      </c>
      <c r="I13" s="25">
        <f>IFERROR(VLOOKUP(D13,Kurse!$A:$E,2,FALSE()),0)</f>
        <v>828.0999755859375</v>
      </c>
      <c r="J13" s="25">
        <v>0</v>
      </c>
      <c r="K13" s="25">
        <v>25</v>
      </c>
      <c r="L13" s="25">
        <v>1</v>
      </c>
      <c r="M13" s="25" t="str">
        <f t="shared" si="0"/>
        <v/>
      </c>
      <c r="N13" s="25">
        <f>SUMIFS($M$3:M13, $D$3:D13, D13, $V$3:V13, "Yes")</f>
        <v>0</v>
      </c>
      <c r="O13" s="26" t="str">
        <f t="shared" si="1"/>
        <v/>
      </c>
      <c r="P13" s="27">
        <v>9.7000000000000003E-3</v>
      </c>
      <c r="Q13" s="28">
        <f t="shared" si="2"/>
        <v>0</v>
      </c>
      <c r="R13" s="21" t="s">
        <v>26</v>
      </c>
      <c r="S13" s="21" t="s">
        <v>36</v>
      </c>
      <c r="T13" s="29" t="s">
        <v>26</v>
      </c>
      <c r="U13" s="30" t="s">
        <v>61</v>
      </c>
      <c r="V13" s="31" t="s">
        <v>30</v>
      </c>
      <c r="W13" s="32" t="s">
        <v>65</v>
      </c>
    </row>
    <row r="14" spans="1:23" ht="15.75" customHeight="1">
      <c r="A14" s="33">
        <v>45799</v>
      </c>
      <c r="B14" s="34">
        <v>0.49583333333333329</v>
      </c>
      <c r="C14" s="35" t="s">
        <v>32</v>
      </c>
      <c r="D14" s="36" t="s">
        <v>33</v>
      </c>
      <c r="E14" s="35" t="s">
        <v>34</v>
      </c>
      <c r="F14" s="36">
        <v>0.14099999999999999</v>
      </c>
      <c r="G14" s="36">
        <f>SUMIFS(F$3:F14, D$3:D14, D14, V$3:V14, "Yes")</f>
        <v>0.23478599999999999</v>
      </c>
      <c r="H14" s="37">
        <v>213.5</v>
      </c>
      <c r="I14" s="37">
        <f>IFERROR(VLOOKUP(D14,Kurse!$A:$E,2,FALSE()),0)</f>
        <v>239.19999694824219</v>
      </c>
      <c r="J14" s="37">
        <v>30</v>
      </c>
      <c r="K14" s="37">
        <f>SUMIFS($J$3:J14, $D$3:D14, D14, $V$3:V14, "Yes")</f>
        <v>50</v>
      </c>
      <c r="L14" s="37">
        <v>0</v>
      </c>
      <c r="M14" s="37">
        <f t="shared" si="0"/>
        <v>30</v>
      </c>
      <c r="N14" s="37">
        <f>SUMIFS($M$3:M14, $D$3:D14, D14, $V$3:V14, "Yes")</f>
        <v>50</v>
      </c>
      <c r="O14" s="38">
        <f t="shared" si="1"/>
        <v>33.727199569702144</v>
      </c>
      <c r="P14" s="39">
        <v>0</v>
      </c>
      <c r="Q14" s="40">
        <f t="shared" si="2"/>
        <v>0</v>
      </c>
      <c r="R14" s="35" t="s">
        <v>66</v>
      </c>
      <c r="S14" s="35" t="s">
        <v>36</v>
      </c>
      <c r="T14" s="41" t="s">
        <v>67</v>
      </c>
      <c r="U14" s="42" t="s">
        <v>29</v>
      </c>
      <c r="V14" s="2" t="s">
        <v>38</v>
      </c>
    </row>
    <row r="15" spans="1:23" ht="15.75" customHeight="1">
      <c r="A15" s="33">
        <v>45799</v>
      </c>
      <c r="B15" s="43">
        <v>0.46597222222222218</v>
      </c>
      <c r="C15" s="35" t="s">
        <v>32</v>
      </c>
      <c r="D15" s="36" t="s">
        <v>42</v>
      </c>
      <c r="E15" s="35" t="s">
        <v>43</v>
      </c>
      <c r="F15" s="36">
        <v>0.92</v>
      </c>
      <c r="G15" s="36">
        <f>SUMIFS(F$3:F15, D$3:D15, D15, V$3:V15, "Yes")</f>
        <v>4.1741489999999999</v>
      </c>
      <c r="H15" s="37">
        <v>9.17</v>
      </c>
      <c r="I15" s="37">
        <f>IFERROR(VLOOKUP(D15,Kurse!$A:$E,2,FALSE()),0)</f>
        <v>9.9739999771118164</v>
      </c>
      <c r="J15" s="37">
        <v>8.44</v>
      </c>
      <c r="K15" s="37">
        <f>SUMIFS($J$3:J15, $D$3:D15, D15, $V$3:V15, "Yes")</f>
        <v>38.44</v>
      </c>
      <c r="L15" s="37">
        <v>0</v>
      </c>
      <c r="M15" s="37">
        <f t="shared" si="0"/>
        <v>8.44</v>
      </c>
      <c r="N15" s="37">
        <f>SUMIFS($M$3:M15, $D$3:D15, D15, $V$3:V15, "Yes")</f>
        <v>38.44</v>
      </c>
      <c r="O15" s="38">
        <f t="shared" si="1"/>
        <v>9.1760799789428713</v>
      </c>
      <c r="P15" s="39">
        <v>0</v>
      </c>
      <c r="Q15" s="40">
        <f t="shared" si="2"/>
        <v>0</v>
      </c>
      <c r="R15" s="35" t="s">
        <v>66</v>
      </c>
      <c r="S15" s="35" t="s">
        <v>36</v>
      </c>
      <c r="T15" s="41" t="s">
        <v>68</v>
      </c>
      <c r="U15" s="42" t="s">
        <v>29</v>
      </c>
      <c r="V15" s="2" t="s">
        <v>38</v>
      </c>
    </row>
    <row r="16" spans="1:23" ht="15.75" customHeight="1">
      <c r="A16" s="44">
        <v>45805</v>
      </c>
      <c r="B16" s="45"/>
      <c r="C16" s="31"/>
      <c r="D16" s="32" t="s">
        <v>59</v>
      </c>
      <c r="E16" s="31" t="s">
        <v>60</v>
      </c>
      <c r="F16" s="46">
        <v>0</v>
      </c>
      <c r="G16" s="22">
        <f>SUMIFS(F$3:F16, D$3:D16, D16, V$3:V16, "Yes")</f>
        <v>0</v>
      </c>
      <c r="H16" s="47">
        <v>1916.5</v>
      </c>
      <c r="I16" s="25">
        <f>IFERROR(VLOOKUP(D16,Kurse!$A:$E,2,FALSE()),0)</f>
        <v>1984.5</v>
      </c>
      <c r="J16" s="47">
        <v>0</v>
      </c>
      <c r="K16" s="25">
        <f>SUMIFS($J$3:J16, $D$3:D16, D16, $V$3:V16, "Yes")</f>
        <v>0</v>
      </c>
      <c r="L16" s="47">
        <v>1</v>
      </c>
      <c r="M16" s="25" t="str">
        <f t="shared" si="0"/>
        <v/>
      </c>
      <c r="N16" s="25">
        <f>SUMIFS($M$3:M16, $D$3:D16, D16, $V$3:V16, "Yes")</f>
        <v>0</v>
      </c>
      <c r="O16" s="26" t="str">
        <f t="shared" si="1"/>
        <v/>
      </c>
      <c r="P16" s="48">
        <v>0</v>
      </c>
      <c r="Q16" s="28">
        <f t="shared" si="2"/>
        <v>0</v>
      </c>
      <c r="R16" s="31" t="s">
        <v>26</v>
      </c>
      <c r="S16" s="31" t="s">
        <v>36</v>
      </c>
      <c r="T16" s="32" t="s">
        <v>26</v>
      </c>
      <c r="U16" s="31" t="s">
        <v>61</v>
      </c>
      <c r="V16" s="31" t="s">
        <v>30</v>
      </c>
      <c r="W16" s="32" t="s">
        <v>69</v>
      </c>
    </row>
    <row r="17" spans="1:22" ht="15.75" customHeight="1">
      <c r="A17" s="1" t="s">
        <v>70</v>
      </c>
      <c r="B17" s="49">
        <v>0.50555555555555554</v>
      </c>
      <c r="C17" s="3" t="s">
        <v>32</v>
      </c>
      <c r="D17" s="3" t="s">
        <v>33</v>
      </c>
      <c r="E17" s="2" t="s">
        <v>34</v>
      </c>
      <c r="F17" s="4">
        <v>0.22919999999999999</v>
      </c>
      <c r="G17" s="36">
        <f>SUMIFS(F$3:F17, D$3:D17, D17, V$3:V17, "Yes")</f>
        <v>0.46398600000000001</v>
      </c>
      <c r="H17" s="5">
        <v>218.15</v>
      </c>
      <c r="I17" s="37">
        <f>IFERROR(VLOOKUP(D17,Kurse!$A:$E,2,FALSE()),0)</f>
        <v>239.19999694824219</v>
      </c>
      <c r="J17" s="5">
        <v>50</v>
      </c>
      <c r="K17" s="37">
        <f>SUMIFS($J$3:J17, $D$3:D17, D17, $V$3:V17, "Yes")</f>
        <v>100</v>
      </c>
      <c r="L17" s="5">
        <v>0</v>
      </c>
      <c r="M17" s="37">
        <f t="shared" si="0"/>
        <v>50</v>
      </c>
      <c r="N17" s="37">
        <f>SUMIFS($M$3:M17, $D$3:D17, D17, $V$3:V17, "Yes")</f>
        <v>100</v>
      </c>
      <c r="O17" s="38">
        <f t="shared" si="1"/>
        <v>54.824639300537108</v>
      </c>
      <c r="P17" s="6">
        <v>0</v>
      </c>
      <c r="Q17" s="40">
        <f t="shared" si="2"/>
        <v>0</v>
      </c>
      <c r="R17" s="2" t="s">
        <v>35</v>
      </c>
      <c r="S17" s="2" t="s">
        <v>36</v>
      </c>
      <c r="T17" s="3" t="s">
        <v>68</v>
      </c>
      <c r="U17" s="2" t="s">
        <v>29</v>
      </c>
      <c r="V17" s="2" t="s">
        <v>38</v>
      </c>
    </row>
    <row r="18" spans="1:22" ht="15.75" customHeight="1">
      <c r="A18" s="1">
        <v>45812</v>
      </c>
      <c r="B18" s="2">
        <v>11.52</v>
      </c>
      <c r="C18" s="3" t="s">
        <v>32</v>
      </c>
      <c r="D18" s="3" t="s">
        <v>63</v>
      </c>
      <c r="E18" s="2" t="s">
        <v>64</v>
      </c>
      <c r="F18" s="4">
        <v>3.7173999999999999E-2</v>
      </c>
      <c r="G18" s="36">
        <f>SUMIFS(F$3:F18, D$3:D18, D18, V$3:V18, "Yes")</f>
        <v>3.7173999999999999E-2</v>
      </c>
      <c r="H18" s="5">
        <v>664.7</v>
      </c>
      <c r="I18" s="37">
        <f>IFERROR(VLOOKUP(D18,Kurse!$A:$E,2,FALSE()),0)</f>
        <v>828.0999755859375</v>
      </c>
      <c r="J18" s="5">
        <v>24.71</v>
      </c>
      <c r="K18" s="37">
        <f>SUMIFS($J$3:J18, $D$3:D18, D18, $V$3:V18, "Yes")</f>
        <v>24.71</v>
      </c>
      <c r="L18" s="5">
        <v>0</v>
      </c>
      <c r="M18" s="37">
        <f t="shared" si="0"/>
        <v>24.71</v>
      </c>
      <c r="N18" s="37">
        <f>SUMIFS($M$3:M18, $D$3:D18, D18, $V$3:V18, "Yes")</f>
        <v>24.71</v>
      </c>
      <c r="O18" s="38">
        <f t="shared" si="1"/>
        <v>30.78378849243164</v>
      </c>
      <c r="P18" s="6">
        <v>0</v>
      </c>
      <c r="Q18" s="40">
        <f t="shared" si="2"/>
        <v>0</v>
      </c>
      <c r="R18" s="2" t="s">
        <v>35</v>
      </c>
      <c r="S18" s="2" t="s">
        <v>36</v>
      </c>
      <c r="T18" s="3" t="s">
        <v>68</v>
      </c>
      <c r="U18" s="2" t="s">
        <v>61</v>
      </c>
      <c r="V18" s="2" t="s">
        <v>38</v>
      </c>
    </row>
    <row r="19" spans="1:22" ht="15.75" customHeight="1">
      <c r="A19" s="1">
        <v>45818</v>
      </c>
      <c r="B19" s="49">
        <v>0.4826388888888889</v>
      </c>
      <c r="C19" s="3" t="s">
        <v>32</v>
      </c>
      <c r="D19" s="3" t="s">
        <v>63</v>
      </c>
      <c r="E19" s="2" t="s">
        <v>64</v>
      </c>
      <c r="F19" s="4">
        <v>2.9506999999999999E-2</v>
      </c>
      <c r="G19" s="36">
        <f>SUMIFS(F$3:F19, D$3:D19, D19, V$3:V19, "Yes")</f>
        <v>6.668099999999999E-2</v>
      </c>
      <c r="H19" s="5">
        <v>677.8</v>
      </c>
      <c r="I19" s="37">
        <f>IFERROR(VLOOKUP(D19,Kurse!$A:$E,2,FALSE()),0)</f>
        <v>828.0999755859375</v>
      </c>
      <c r="J19" s="5">
        <v>20</v>
      </c>
      <c r="K19" s="37">
        <f>SUMIFS($J$3:J19, $D$3:D19, D19, $V$3:V19, "Yes")</f>
        <v>44.71</v>
      </c>
      <c r="L19" s="5">
        <v>0</v>
      </c>
      <c r="M19" s="37">
        <f t="shared" si="0"/>
        <v>20</v>
      </c>
      <c r="N19" s="37">
        <f>SUMIFS($M$3:M19, $D$3:D19, D19, $V$3:V19, "Yes")</f>
        <v>44.71</v>
      </c>
      <c r="O19" s="38">
        <f t="shared" si="1"/>
        <v>24.434745979614256</v>
      </c>
      <c r="P19" s="6">
        <v>0</v>
      </c>
      <c r="Q19" s="40">
        <f t="shared" si="2"/>
        <v>0</v>
      </c>
      <c r="R19" s="2" t="s">
        <v>35</v>
      </c>
      <c r="S19" s="2" t="s">
        <v>36</v>
      </c>
      <c r="T19" s="3" t="s">
        <v>68</v>
      </c>
      <c r="U19" s="2" t="s">
        <v>61</v>
      </c>
      <c r="V19" s="2" t="s">
        <v>38</v>
      </c>
    </row>
    <row r="20" spans="1:22" ht="15.75" customHeight="1">
      <c r="A20" s="1">
        <v>45812</v>
      </c>
      <c r="B20" s="49">
        <v>0.48055555555555562</v>
      </c>
      <c r="C20" s="3" t="s">
        <v>32</v>
      </c>
      <c r="D20" s="3" t="s">
        <v>59</v>
      </c>
      <c r="E20" s="2" t="s">
        <v>60</v>
      </c>
      <c r="F20" s="4">
        <v>1.6295E-2</v>
      </c>
      <c r="G20" s="36">
        <f>SUMIFS(F$3:F20, D$3:D20, D20, V$3:V20, "Yes")</f>
        <v>1.6295E-2</v>
      </c>
      <c r="H20" s="5">
        <v>1841</v>
      </c>
      <c r="I20" s="37">
        <f>IFERROR(VLOOKUP(D20,Kurse!$A:$E,2,FALSE()),0)</f>
        <v>1984.5</v>
      </c>
      <c r="J20" s="5">
        <v>30</v>
      </c>
      <c r="K20" s="37">
        <f>SUMIFS($J$3:J20, $D$3:D20, D20, $V$3:V20, "Yes")</f>
        <v>30</v>
      </c>
      <c r="L20" s="5">
        <v>0</v>
      </c>
      <c r="M20" s="37">
        <f t="shared" si="0"/>
        <v>30</v>
      </c>
      <c r="N20" s="37">
        <f>SUMIFS($M$3:M20, $D$3:D20, D20, $V$3:V20, "Yes")</f>
        <v>30</v>
      </c>
      <c r="O20" s="38">
        <f t="shared" si="1"/>
        <v>32.337427500000004</v>
      </c>
      <c r="P20" s="6">
        <v>0</v>
      </c>
      <c r="Q20" s="40">
        <f t="shared" si="2"/>
        <v>0</v>
      </c>
      <c r="R20" s="2" t="s">
        <v>35</v>
      </c>
      <c r="S20" s="2" t="s">
        <v>36</v>
      </c>
      <c r="T20" s="3" t="s">
        <v>68</v>
      </c>
      <c r="U20" s="2" t="s">
        <v>61</v>
      </c>
      <c r="V20" s="2" t="s">
        <v>38</v>
      </c>
    </row>
    <row r="21" spans="1:22" ht="15.75" customHeight="1">
      <c r="A21" s="1">
        <v>45818</v>
      </c>
      <c r="B21" s="49">
        <v>0.51180555555555551</v>
      </c>
      <c r="C21" s="3" t="s">
        <v>32</v>
      </c>
      <c r="D21" s="3" t="s">
        <v>59</v>
      </c>
      <c r="E21" s="2" t="s">
        <v>60</v>
      </c>
      <c r="F21" s="4">
        <v>1.1573999999999999E-2</v>
      </c>
      <c r="G21" s="36">
        <f>SUMIFS(F$3:F21, D$3:D21, D21, V$3:V21, "Yes")</f>
        <v>2.7868999999999998E-2</v>
      </c>
      <c r="H21" s="5">
        <v>1728</v>
      </c>
      <c r="I21" s="37">
        <f>IFERROR(VLOOKUP(D21,Kurse!$A:$E,2,FALSE()),0)</f>
        <v>1984.5</v>
      </c>
      <c r="J21" s="5">
        <v>20</v>
      </c>
      <c r="K21" s="37">
        <f>SUMIFS($J$3:J21, $D$3:D21, D21, $V$3:V21, "Yes")</f>
        <v>50</v>
      </c>
      <c r="L21" s="5">
        <v>0</v>
      </c>
      <c r="M21" s="37">
        <f t="shared" si="0"/>
        <v>20</v>
      </c>
      <c r="N21" s="37">
        <f>SUMIFS($M$3:M21, $D$3:D21, D21, $V$3:V21, "Yes")</f>
        <v>50</v>
      </c>
      <c r="O21" s="38">
        <f t="shared" si="1"/>
        <v>22.968602999999998</v>
      </c>
      <c r="P21" s="6">
        <v>0</v>
      </c>
      <c r="Q21" s="40">
        <f t="shared" si="2"/>
        <v>0</v>
      </c>
      <c r="R21" s="2" t="s">
        <v>35</v>
      </c>
      <c r="S21" s="2" t="s">
        <v>36</v>
      </c>
      <c r="T21" s="3" t="s">
        <v>68</v>
      </c>
      <c r="U21" s="2" t="s">
        <v>61</v>
      </c>
      <c r="V21" s="2" t="s">
        <v>38</v>
      </c>
    </row>
    <row r="22" spans="1:22" ht="15.75" customHeight="1">
      <c r="A22" s="1">
        <v>45810</v>
      </c>
      <c r="B22" s="49">
        <v>0.47013888888888888</v>
      </c>
      <c r="C22" s="3" t="s">
        <v>32</v>
      </c>
      <c r="D22" s="3" t="s">
        <v>42</v>
      </c>
      <c r="E22" s="2" t="s">
        <v>43</v>
      </c>
      <c r="F22" s="4">
        <v>2.1971340000000001</v>
      </c>
      <c r="G22" s="36">
        <f>SUMIFS(F$3:F22, D$3:D22, D22, V$3:V22, "Yes")</f>
        <v>6.371283</v>
      </c>
      <c r="H22" s="5">
        <v>9.1028000000000002</v>
      </c>
      <c r="I22" s="37">
        <f>IFERROR(VLOOKUP(D22,Kurse!$A:$E,2,FALSE()),0)</f>
        <v>9.9739999771118164</v>
      </c>
      <c r="J22" s="5">
        <v>20</v>
      </c>
      <c r="K22" s="37">
        <f>SUMIFS($J$3:J22, $D$3:D22, D22, $V$3:V22, "Yes")</f>
        <v>58.44</v>
      </c>
      <c r="L22" s="5">
        <v>0</v>
      </c>
      <c r="M22" s="37">
        <f t="shared" si="0"/>
        <v>20</v>
      </c>
      <c r="N22" s="37">
        <f>SUMIFS($M$3:M22, $D$3:D22, D22, $V$3:V22, "Yes")</f>
        <v>58.44</v>
      </c>
      <c r="O22" s="38">
        <f t="shared" si="1"/>
        <v>21.914214465711595</v>
      </c>
      <c r="P22" s="6">
        <v>0</v>
      </c>
      <c r="Q22" s="40">
        <f t="shared" si="2"/>
        <v>0</v>
      </c>
      <c r="R22" s="2" t="s">
        <v>35</v>
      </c>
      <c r="S22" s="2" t="s">
        <v>36</v>
      </c>
      <c r="T22" s="3" t="s">
        <v>68</v>
      </c>
      <c r="U22" s="2" t="s">
        <v>29</v>
      </c>
      <c r="V22" s="2" t="s">
        <v>38</v>
      </c>
    </row>
    <row r="23" spans="1:22" ht="15.75" customHeight="1">
      <c r="A23" s="1">
        <v>45818</v>
      </c>
      <c r="B23" s="49">
        <v>0.5180555555555556</v>
      </c>
      <c r="C23" s="3" t="s">
        <v>32</v>
      </c>
      <c r="D23" s="3" t="s">
        <v>42</v>
      </c>
      <c r="E23" s="2" t="s">
        <v>43</v>
      </c>
      <c r="F23" s="4">
        <v>5.3699919999999999</v>
      </c>
      <c r="G23" s="36">
        <f>SUMIFS(F$3:F23, D$3:D23, D23, V$3:V23, "Yes")</f>
        <v>11.741275</v>
      </c>
      <c r="H23" s="5">
        <v>9.3109999999999999</v>
      </c>
      <c r="I23" s="37">
        <f>IFERROR(VLOOKUP(D23,Kurse!$A:$E,2,FALSE()),0)</f>
        <v>9.9739999771118164</v>
      </c>
      <c r="J23" s="5">
        <v>50</v>
      </c>
      <c r="K23" s="37">
        <f>SUMIFS($J$3:J23, $D$3:D23, D23, $V$3:V23, "Yes")</f>
        <v>108.44</v>
      </c>
      <c r="L23" s="5">
        <v>0</v>
      </c>
      <c r="M23" s="37">
        <f t="shared" si="0"/>
        <v>50</v>
      </c>
      <c r="N23" s="37">
        <f>SUMIFS($M$3:M23, $D$3:D23, D23, $V$3:V23, "Yes")</f>
        <v>108.44</v>
      </c>
      <c r="O23" s="38">
        <f t="shared" si="1"/>
        <v>53.560300085090638</v>
      </c>
      <c r="P23" s="6">
        <v>0</v>
      </c>
      <c r="Q23" s="40">
        <f t="shared" si="2"/>
        <v>0</v>
      </c>
      <c r="R23" s="2" t="s">
        <v>35</v>
      </c>
      <c r="S23" s="2" t="s">
        <v>36</v>
      </c>
      <c r="T23" s="3" t="s">
        <v>68</v>
      </c>
      <c r="U23" s="2" t="s">
        <v>29</v>
      </c>
      <c r="V23" s="2" t="s">
        <v>38</v>
      </c>
    </row>
    <row r="24" spans="1:22" ht="15.75" customHeight="1">
      <c r="A24" s="1">
        <v>45810</v>
      </c>
      <c r="B24" s="49">
        <v>0.49791666666666667</v>
      </c>
      <c r="C24" s="3" t="s">
        <v>32</v>
      </c>
      <c r="D24" s="3" t="s">
        <v>47</v>
      </c>
      <c r="E24" s="2" t="s">
        <v>48</v>
      </c>
      <c r="F24" s="4">
        <v>0.64329999999999998</v>
      </c>
      <c r="G24" s="36">
        <f>SUMIFS(F$3:F24, D$3:D24, D24, V$3:V24, "Yes")</f>
        <v>1.297464</v>
      </c>
      <c r="H24" s="5">
        <v>30.56</v>
      </c>
      <c r="I24" s="37">
        <f>IFERROR(VLOOKUP(D24,Kurse!$A:$E,2,FALSE()),0)</f>
        <v>55.340000152587891</v>
      </c>
      <c r="J24" s="5">
        <v>30.56</v>
      </c>
      <c r="K24" s="37">
        <f>SUMIFS($J$3:J24, $D$3:D24, D24, $V$3:V24, "Yes")</f>
        <v>60.56</v>
      </c>
      <c r="L24" s="5">
        <v>0</v>
      </c>
      <c r="M24" s="37">
        <f t="shared" si="0"/>
        <v>30.56</v>
      </c>
      <c r="N24" s="37">
        <f>SUMIFS($M$3:M24, $D$3:D24, D24, $V$3:V24, "Yes")</f>
        <v>60.56</v>
      </c>
      <c r="O24" s="38">
        <f t="shared" si="1"/>
        <v>35.60022209815979</v>
      </c>
      <c r="P24" s="6">
        <v>0</v>
      </c>
      <c r="Q24" s="40">
        <f t="shared" si="2"/>
        <v>0</v>
      </c>
      <c r="R24" s="2" t="s">
        <v>35</v>
      </c>
      <c r="S24" s="2" t="s">
        <v>36</v>
      </c>
      <c r="T24" s="3" t="s">
        <v>68</v>
      </c>
      <c r="U24" s="2" t="s">
        <v>29</v>
      </c>
      <c r="V24" s="2" t="s">
        <v>38</v>
      </c>
    </row>
    <row r="25" spans="1:22" ht="15.75" customHeight="1">
      <c r="A25" s="1">
        <v>45818</v>
      </c>
      <c r="B25" s="49">
        <v>0.50555555555555554</v>
      </c>
      <c r="C25" s="3" t="s">
        <v>32</v>
      </c>
      <c r="D25" s="3" t="s">
        <v>47</v>
      </c>
      <c r="E25" s="2" t="s">
        <v>48</v>
      </c>
      <c r="F25" s="4">
        <v>2.0977549999999998</v>
      </c>
      <c r="G25" s="36">
        <f>SUMIFS(F$3:F25, D$3:D25, D25, V$3:V25, "Yes")</f>
        <v>3.395219</v>
      </c>
      <c r="H25" s="5">
        <v>47.67</v>
      </c>
      <c r="I25" s="37">
        <f>IFERROR(VLOOKUP(D25,Kurse!$A:$E,2,FALSE()),0)</f>
        <v>55.340000152587891</v>
      </c>
      <c r="J25" s="5">
        <v>100</v>
      </c>
      <c r="K25" s="37">
        <f>SUMIFS($J$3:J25, $D$3:D25, D25, $V$3:V25, "Yes")</f>
        <v>160.56</v>
      </c>
      <c r="L25" s="5">
        <v>0</v>
      </c>
      <c r="M25" s="37">
        <f t="shared" si="0"/>
        <v>100</v>
      </c>
      <c r="N25" s="37">
        <f>SUMIFS($M$3:M25, $D$3:D25, D25, $V$3:V25, "Yes")</f>
        <v>160.56</v>
      </c>
      <c r="O25" s="38">
        <f t="shared" si="1"/>
        <v>116.089762020092</v>
      </c>
      <c r="P25" s="6">
        <v>0</v>
      </c>
      <c r="Q25" s="40">
        <f t="shared" si="2"/>
        <v>0</v>
      </c>
      <c r="R25" s="2" t="s">
        <v>35</v>
      </c>
      <c r="S25" s="2" t="s">
        <v>36</v>
      </c>
      <c r="T25" s="3" t="s">
        <v>68</v>
      </c>
      <c r="U25" s="2" t="s">
        <v>29</v>
      </c>
      <c r="V25" s="2" t="s">
        <v>38</v>
      </c>
    </row>
    <row r="26" spans="1:22" ht="15.75" customHeight="1">
      <c r="A26" s="1">
        <v>45854</v>
      </c>
      <c r="B26" s="49">
        <v>0.47013888888888888</v>
      </c>
      <c r="C26" s="3" t="s">
        <v>32</v>
      </c>
      <c r="D26" s="3" t="s">
        <v>63</v>
      </c>
      <c r="E26" s="2" t="s">
        <v>64</v>
      </c>
      <c r="F26" s="4">
        <v>3.1E-2</v>
      </c>
      <c r="G26" s="36">
        <f>SUMIFS(F$3:F26, D$3:D26, D26, V$3:V26, "Yes")</f>
        <v>9.768099999999999E-2</v>
      </c>
      <c r="H26" s="5">
        <v>648.5</v>
      </c>
      <c r="I26" s="37">
        <f>IFERROR(VLOOKUP(D26,Kurse!$A:$E,2,FALSE()),0)</f>
        <v>828.0999755859375</v>
      </c>
      <c r="J26" s="5">
        <v>20</v>
      </c>
      <c r="K26" s="37">
        <f>SUMIFS($J$3:J26, $D$3:D26, D26, $V$3:V26, "Yes")</f>
        <v>64.710000000000008</v>
      </c>
      <c r="L26" s="5">
        <v>0</v>
      </c>
      <c r="M26" s="37">
        <f t="shared" si="0"/>
        <v>20</v>
      </c>
      <c r="N26" s="37">
        <f>SUMIFS($M$3:M26, $D$3:D26, D26, $V$3:V26, "Yes")</f>
        <v>64.710000000000008</v>
      </c>
      <c r="O26" s="38">
        <f t="shared" si="1"/>
        <v>25.671099243164061</v>
      </c>
      <c r="P26" s="6">
        <v>0</v>
      </c>
      <c r="Q26" s="40">
        <f t="shared" si="2"/>
        <v>0</v>
      </c>
      <c r="R26" s="2" t="s">
        <v>35</v>
      </c>
      <c r="S26" s="2" t="s">
        <v>36</v>
      </c>
      <c r="T26" s="3" t="s">
        <v>68</v>
      </c>
      <c r="U26" s="2" t="s">
        <v>61</v>
      </c>
      <c r="V26" s="2" t="s">
        <v>38</v>
      </c>
    </row>
    <row r="27" spans="1:22" ht="15.75" customHeight="1">
      <c r="A27" s="1">
        <v>45854</v>
      </c>
      <c r="B27" s="49">
        <v>0.47222222222222221</v>
      </c>
      <c r="C27" s="3" t="s">
        <v>32</v>
      </c>
      <c r="D27" s="3" t="s">
        <v>44</v>
      </c>
      <c r="E27" s="2" t="s">
        <v>45</v>
      </c>
      <c r="F27" s="4">
        <v>0.35799999999999998</v>
      </c>
      <c r="G27" s="36">
        <f>SUMIFS(F$3:F27, D$3:D27, D27, V$3:V27, "Yes")</f>
        <v>1.2472050000000001</v>
      </c>
      <c r="H27" s="5">
        <v>55.844900000000003</v>
      </c>
      <c r="I27" s="37">
        <f>IFERROR(VLOOKUP(D27,Kurse!$A:$E,2,FALSE()),0)</f>
        <v>63.540000915527337</v>
      </c>
      <c r="J27" s="5">
        <v>20</v>
      </c>
      <c r="K27" s="37">
        <f>SUMIFS($J$3:J27, $D$3:D27, D27, $V$3:V27, "Yes")</f>
        <v>70</v>
      </c>
      <c r="L27" s="5">
        <v>0</v>
      </c>
      <c r="M27" s="37">
        <f t="shared" si="0"/>
        <v>20</v>
      </c>
      <c r="N27" s="37">
        <f>SUMIFS($M$3:M27, $D$3:D27, D27, $V$3:V27, "Yes")</f>
        <v>70</v>
      </c>
      <c r="O27" s="38">
        <f t="shared" si="1"/>
        <v>22.747320327758786</v>
      </c>
      <c r="P27" s="6">
        <v>0</v>
      </c>
      <c r="Q27" s="40">
        <f t="shared" si="2"/>
        <v>0</v>
      </c>
      <c r="R27" s="2" t="s">
        <v>35</v>
      </c>
      <c r="S27" s="2" t="s">
        <v>36</v>
      </c>
      <c r="T27" s="3" t="s">
        <v>68</v>
      </c>
      <c r="U27" s="2" t="s">
        <v>46</v>
      </c>
      <c r="V27" s="2" t="s">
        <v>38</v>
      </c>
    </row>
    <row r="28" spans="1:22" ht="15.75" customHeight="1">
      <c r="A28" s="1">
        <v>45854</v>
      </c>
      <c r="B28" s="49">
        <v>0.48402777777777778</v>
      </c>
      <c r="C28" s="3" t="s">
        <v>32</v>
      </c>
      <c r="D28" s="3" t="s">
        <v>42</v>
      </c>
      <c r="E28" s="2" t="s">
        <v>43</v>
      </c>
      <c r="F28" s="4">
        <v>5.3019999999999996</v>
      </c>
      <c r="G28" s="36">
        <f>SUMIFS(F$3:F28, D$3:D28, D28, V$3:V28, "Yes")</f>
        <v>17.043275000000001</v>
      </c>
      <c r="H28" s="5">
        <v>9.43</v>
      </c>
      <c r="I28" s="37">
        <f>IFERROR(VLOOKUP(D28,Kurse!$A:$E,2,FALSE()),0)</f>
        <v>9.9739999771118164</v>
      </c>
      <c r="J28" s="5">
        <v>50</v>
      </c>
      <c r="K28" s="37">
        <f>SUMIFS($J$3:J28, $D$3:D28, D28, $V$3:V28, "Yes")</f>
        <v>158.44</v>
      </c>
      <c r="L28" s="5">
        <v>0</v>
      </c>
      <c r="M28" s="37">
        <f t="shared" si="0"/>
        <v>50</v>
      </c>
      <c r="N28" s="37">
        <f>SUMIFS($M$3:M28, $D$3:D28, D28, $V$3:V28, "Yes")</f>
        <v>158.44</v>
      </c>
      <c r="O28" s="38">
        <f t="shared" si="1"/>
        <v>52.882147878646848</v>
      </c>
      <c r="P28" s="6">
        <v>0</v>
      </c>
      <c r="Q28" s="40">
        <f t="shared" si="2"/>
        <v>0</v>
      </c>
      <c r="R28" s="2" t="s">
        <v>35</v>
      </c>
      <c r="S28" s="2" t="s">
        <v>36</v>
      </c>
      <c r="T28" s="3" t="s">
        <v>68</v>
      </c>
      <c r="U28" s="2" t="s">
        <v>29</v>
      </c>
      <c r="V28" s="2" t="s">
        <v>38</v>
      </c>
    </row>
    <row r="29" spans="1:22" ht="15.75" customHeight="1">
      <c r="A29" s="1">
        <v>45854</v>
      </c>
      <c r="B29" s="49">
        <v>0.48819444444444438</v>
      </c>
      <c r="C29" s="3" t="s">
        <v>32</v>
      </c>
      <c r="D29" s="3" t="s">
        <v>33</v>
      </c>
      <c r="E29" s="2" t="s">
        <v>34</v>
      </c>
      <c r="F29" s="4">
        <v>0.223</v>
      </c>
      <c r="G29" s="36">
        <f>SUMIFS(F$3:F29, D$3:D29, D29, V$3:V29, "Yes")</f>
        <v>0.68698599999999999</v>
      </c>
      <c r="H29" s="5">
        <v>224.3</v>
      </c>
      <c r="I29" s="37">
        <f>IFERROR(VLOOKUP(D29,Kurse!$A:$E,2,FALSE()),0)</f>
        <v>239.19999694824219</v>
      </c>
      <c r="J29" s="5">
        <v>50</v>
      </c>
      <c r="K29" s="37">
        <f>SUMIFS($J$3:J29, $D$3:D29, D29, $V$3:V29, "Yes")</f>
        <v>150</v>
      </c>
      <c r="L29" s="5">
        <v>0</v>
      </c>
      <c r="M29" s="37">
        <f t="shared" si="0"/>
        <v>50</v>
      </c>
      <c r="N29" s="37">
        <f>SUMIFS($M$3:M29, $D$3:D29, D29, $V$3:V29, "Yes")</f>
        <v>150</v>
      </c>
      <c r="O29" s="38">
        <f t="shared" si="1"/>
        <v>53.341599319458005</v>
      </c>
      <c r="P29" s="6">
        <v>0</v>
      </c>
      <c r="Q29" s="40">
        <f t="shared" si="2"/>
        <v>0</v>
      </c>
      <c r="R29" s="2" t="s">
        <v>35</v>
      </c>
      <c r="S29" s="2" t="s">
        <v>36</v>
      </c>
      <c r="T29" s="3" t="s">
        <v>68</v>
      </c>
      <c r="U29" s="2" t="s">
        <v>29</v>
      </c>
      <c r="V29" s="2" t="s">
        <v>38</v>
      </c>
    </row>
    <row r="30" spans="1:22" ht="15.75" customHeight="1">
      <c r="A30" s="1">
        <v>45854</v>
      </c>
      <c r="B30" s="49">
        <v>0.49583333333333329</v>
      </c>
      <c r="C30" s="3" t="s">
        <v>32</v>
      </c>
      <c r="D30" s="3" t="s">
        <v>71</v>
      </c>
      <c r="E30" s="2" t="s">
        <v>72</v>
      </c>
      <c r="F30" s="4">
        <v>2.92</v>
      </c>
      <c r="G30" s="36">
        <f>SUMIFS(F$3:F30, D$3:D30, D30, V$3:V30, "Yes")</f>
        <v>2.92</v>
      </c>
      <c r="H30" s="5">
        <v>20.545000000000002</v>
      </c>
      <c r="I30" s="37">
        <f>IFERROR(VLOOKUP(D30,Kurse!$A:$E,2,FALSE()),0)</f>
        <v>23.989999771118161</v>
      </c>
      <c r="J30" s="5">
        <v>60</v>
      </c>
      <c r="K30" s="37">
        <f>SUMIFS($J$3:J30, $D$3:D30, D30, $V$3:V30, "Yes")</f>
        <v>60</v>
      </c>
      <c r="L30" s="5">
        <v>0</v>
      </c>
      <c r="M30" s="37">
        <f t="shared" si="0"/>
        <v>60</v>
      </c>
      <c r="N30" s="37">
        <f>SUMIFS($M$3:M30, $D$3:D30, D30, $V$3:V30, "Yes")</f>
        <v>60</v>
      </c>
      <c r="O30" s="38">
        <f t="shared" si="1"/>
        <v>70.050799331665033</v>
      </c>
      <c r="P30" s="6">
        <v>0</v>
      </c>
      <c r="Q30" s="40">
        <f t="shared" si="2"/>
        <v>0</v>
      </c>
      <c r="R30" s="2" t="s">
        <v>35</v>
      </c>
      <c r="S30" s="2" t="s">
        <v>36</v>
      </c>
      <c r="T30" s="3" t="s">
        <v>68</v>
      </c>
      <c r="U30" s="2" t="s">
        <v>29</v>
      </c>
      <c r="V30" s="2" t="s">
        <v>38</v>
      </c>
    </row>
    <row r="31" spans="1:22" ht="15.75" customHeight="1">
      <c r="A31" s="1">
        <v>45854</v>
      </c>
      <c r="B31" s="49">
        <v>0.50069444444444444</v>
      </c>
      <c r="C31" s="3" t="s">
        <v>32</v>
      </c>
      <c r="D31" s="3" t="s">
        <v>47</v>
      </c>
      <c r="E31" s="2" t="s">
        <v>48</v>
      </c>
      <c r="F31" s="4">
        <v>1.653</v>
      </c>
      <c r="G31" s="36">
        <f>SUMIFS(F$3:F31, D$3:D31, D31, V$3:V31, "Yes")</f>
        <v>5.0482189999999996</v>
      </c>
      <c r="H31" s="5">
        <v>48.405000000000001</v>
      </c>
      <c r="I31" s="37">
        <f>IFERROR(VLOOKUP(D31,Kurse!$A:$E,2,FALSE()),0)</f>
        <v>55.340000152587891</v>
      </c>
      <c r="J31" s="5">
        <v>80</v>
      </c>
      <c r="K31" s="37">
        <f>SUMIFS($J$3:J31, $D$3:D31, D31, $V$3:V31, "Yes")</f>
        <v>240.56</v>
      </c>
      <c r="L31" s="5">
        <v>0</v>
      </c>
      <c r="M31" s="37">
        <f t="shared" si="0"/>
        <v>80</v>
      </c>
      <c r="N31" s="37">
        <f>SUMIFS($M$3:M31, $D$3:D31, D31, $V$3:V31, "Yes")</f>
        <v>240.56</v>
      </c>
      <c r="O31" s="38">
        <f t="shared" si="1"/>
        <v>91.477020252227788</v>
      </c>
      <c r="P31" s="6">
        <v>0</v>
      </c>
      <c r="Q31" s="40">
        <f t="shared" si="2"/>
        <v>0</v>
      </c>
      <c r="R31" s="2" t="s">
        <v>35</v>
      </c>
      <c r="S31" s="2" t="s">
        <v>36</v>
      </c>
      <c r="T31" s="3" t="s">
        <v>68</v>
      </c>
      <c r="U31" s="2" t="s">
        <v>29</v>
      </c>
      <c r="V31" s="2" t="s">
        <v>38</v>
      </c>
    </row>
    <row r="32" spans="1:22" ht="15.75" customHeight="1">
      <c r="A32" s="1">
        <v>45854</v>
      </c>
      <c r="B32" s="49">
        <v>0.50972222222222219</v>
      </c>
      <c r="C32" s="3" t="s">
        <v>32</v>
      </c>
      <c r="D32" s="3" t="s">
        <v>59</v>
      </c>
      <c r="E32" s="2" t="s">
        <v>60</v>
      </c>
      <c r="F32" s="4">
        <v>1.0999999999999999E-2</v>
      </c>
      <c r="G32" s="36">
        <f>SUMIFS(F$3:F32, D$3:D32, D32, V$3:V32, "Yes")</f>
        <v>3.8869000000000001E-2</v>
      </c>
      <c r="H32" s="5">
        <v>1823</v>
      </c>
      <c r="I32" s="37">
        <f>IFERROR(VLOOKUP(D32,Kurse!$A:$E,2,FALSE()),0)</f>
        <v>1984.5</v>
      </c>
      <c r="J32" s="5">
        <v>20</v>
      </c>
      <c r="K32" s="37">
        <f>SUMIFS($J$3:J32, $D$3:D32, D32, $V$3:V32, "Yes")</f>
        <v>70</v>
      </c>
      <c r="L32" s="5">
        <v>0</v>
      </c>
      <c r="M32" s="37">
        <f t="shared" si="0"/>
        <v>20</v>
      </c>
      <c r="N32" s="37">
        <f>SUMIFS($M$3:M32, $D$3:D32, D32, $V$3:V32, "Yes")</f>
        <v>70</v>
      </c>
      <c r="O32" s="38">
        <f t="shared" si="1"/>
        <v>21.829499999999999</v>
      </c>
      <c r="P32" s="6">
        <v>0</v>
      </c>
      <c r="Q32" s="40">
        <f t="shared" si="2"/>
        <v>0</v>
      </c>
      <c r="R32" s="2" t="s">
        <v>35</v>
      </c>
      <c r="S32" s="2" t="s">
        <v>36</v>
      </c>
      <c r="T32" s="3" t="s">
        <v>68</v>
      </c>
      <c r="U32" s="2" t="s">
        <v>61</v>
      </c>
      <c r="V32" s="2" t="s">
        <v>38</v>
      </c>
    </row>
    <row r="33" spans="1:22" ht="15.75" customHeight="1">
      <c r="A33" s="1">
        <v>45887</v>
      </c>
      <c r="B33" s="49">
        <v>0.47638888888888892</v>
      </c>
      <c r="C33" s="3" t="s">
        <v>32</v>
      </c>
      <c r="D33" s="3" t="s">
        <v>59</v>
      </c>
      <c r="E33" s="2" t="s">
        <v>60</v>
      </c>
      <c r="F33" s="50">
        <v>1.1960999999999999E-2</v>
      </c>
      <c r="G33" s="36">
        <f>SUMIFS(F$3:F33, D$3:D33, D33, V$3:V33, "Yes")</f>
        <v>5.083E-2</v>
      </c>
      <c r="H33" s="5">
        <v>1672</v>
      </c>
      <c r="I33" s="37">
        <f>IFERROR(VLOOKUP(D33,Kurse!$A:$E,2,FALSE()),0)</f>
        <v>1984.5</v>
      </c>
      <c r="J33" s="5">
        <v>20</v>
      </c>
      <c r="K33" s="37">
        <f>SUMIFS($J$3:J33, $D$3:D33, D33, $V$3:V33, "Yes")</f>
        <v>90</v>
      </c>
      <c r="L33" s="5">
        <v>0</v>
      </c>
      <c r="M33" s="37">
        <f t="shared" si="0"/>
        <v>20</v>
      </c>
      <c r="N33" s="37">
        <f>SUMIFS($M$3:M33, $D$3:D33, D33, $V$3:V33, "Yes")</f>
        <v>90</v>
      </c>
      <c r="O33" s="38">
        <f t="shared" si="1"/>
        <v>23.736604499999999</v>
      </c>
      <c r="P33" s="6">
        <v>0</v>
      </c>
      <c r="Q33" s="40">
        <f t="shared" si="2"/>
        <v>0</v>
      </c>
      <c r="R33" s="2" t="s">
        <v>35</v>
      </c>
      <c r="S33" s="2" t="s">
        <v>36</v>
      </c>
      <c r="T33" s="3" t="s">
        <v>68</v>
      </c>
      <c r="U33" s="2" t="s">
        <v>61</v>
      </c>
      <c r="V33" s="2" t="s">
        <v>38</v>
      </c>
    </row>
    <row r="34" spans="1:22" ht="15.75" customHeight="1">
      <c r="A34" s="1">
        <v>45887</v>
      </c>
      <c r="B34" s="49">
        <v>0.47916666666666669</v>
      </c>
      <c r="C34" s="3" t="s">
        <v>32</v>
      </c>
      <c r="D34" s="3" t="s">
        <v>63</v>
      </c>
      <c r="E34" s="2" t="s">
        <v>64</v>
      </c>
      <c r="F34" s="4">
        <v>3.1605000000000001E-2</v>
      </c>
      <c r="G34" s="36">
        <f>SUMIFS(F$3:F34, D$3:D34, D34, V$3:V34, "Yes")</f>
        <v>0.12928599999999998</v>
      </c>
      <c r="H34" s="5">
        <v>632.79999999999995</v>
      </c>
      <c r="I34" s="37">
        <f>IFERROR(VLOOKUP(D34,Kurse!$A:$E,2,FALSE()),0)</f>
        <v>828.0999755859375</v>
      </c>
      <c r="J34" s="5">
        <v>20</v>
      </c>
      <c r="K34" s="37">
        <f>SUMIFS($J$3:J34, $D$3:D34, D34, $V$3:V34, "Yes")</f>
        <v>84.710000000000008</v>
      </c>
      <c r="L34" s="5">
        <v>0</v>
      </c>
      <c r="M34" s="37">
        <f t="shared" ref="M34:M65" si="3">IF(V34="Yes",J34+L34,"")</f>
        <v>20</v>
      </c>
      <c r="N34" s="37">
        <f>SUMIFS($M$3:M34, $D$3:D34, D34, $V$3:V34, "Yes")</f>
        <v>84.710000000000008</v>
      </c>
      <c r="O34" s="38">
        <f t="shared" ref="O34:O52" si="4">IF(V34="Yes",F34*I34,"")</f>
        <v>26.172099728393555</v>
      </c>
      <c r="P34" s="6">
        <v>0</v>
      </c>
      <c r="Q34" s="40">
        <f t="shared" ref="Q34:Q65" si="5">IFERROR(O34*P34,0)</f>
        <v>0</v>
      </c>
      <c r="R34" s="2" t="s">
        <v>35</v>
      </c>
      <c r="S34" s="2" t="s">
        <v>36</v>
      </c>
      <c r="T34" s="3" t="s">
        <v>68</v>
      </c>
      <c r="U34" s="2" t="s">
        <v>61</v>
      </c>
      <c r="V34" s="2" t="s">
        <v>38</v>
      </c>
    </row>
    <row r="35" spans="1:22" ht="15.75" customHeight="1">
      <c r="A35" s="1">
        <v>45887</v>
      </c>
      <c r="B35" s="49">
        <v>0.49236111111111108</v>
      </c>
      <c r="C35" s="3" t="s">
        <v>32</v>
      </c>
      <c r="D35" s="3" t="s">
        <v>42</v>
      </c>
      <c r="E35" s="2" t="s">
        <v>43</v>
      </c>
      <c r="F35" s="4">
        <v>5.152514</v>
      </c>
      <c r="G35" s="36">
        <f>SUMIFS(F$3:F35, D$3:D35, D35, V$3:V35, "Yes")</f>
        <v>22.195789000000001</v>
      </c>
      <c r="H35" s="5">
        <v>9.7040000000000006</v>
      </c>
      <c r="I35" s="37">
        <f>IFERROR(VLOOKUP(D35,Kurse!$A:$E,2,FALSE()),0)</f>
        <v>9.9739999771118164</v>
      </c>
      <c r="J35" s="5">
        <v>50</v>
      </c>
      <c r="K35" s="37">
        <f>SUMIFS($J$3:J35, $D$3:D35, D35, $V$3:V35, "Yes")</f>
        <v>208.44</v>
      </c>
      <c r="L35" s="5">
        <v>0</v>
      </c>
      <c r="M35" s="37">
        <f t="shared" si="3"/>
        <v>50</v>
      </c>
      <c r="N35" s="37">
        <f>SUMIFS($M$3:M35, $D$3:D35, D35, $V$3:V35, "Yes")</f>
        <v>208.44</v>
      </c>
      <c r="O35" s="38">
        <f t="shared" si="4"/>
        <v>51.391174518068311</v>
      </c>
      <c r="P35" s="6">
        <v>0</v>
      </c>
      <c r="Q35" s="40">
        <f t="shared" si="5"/>
        <v>0</v>
      </c>
      <c r="R35" s="2" t="s">
        <v>35</v>
      </c>
      <c r="S35" s="2" t="s">
        <v>36</v>
      </c>
      <c r="T35" s="3" t="s">
        <v>68</v>
      </c>
      <c r="U35" s="2" t="s">
        <v>29</v>
      </c>
      <c r="V35" s="2" t="s">
        <v>38</v>
      </c>
    </row>
    <row r="36" spans="1:22" ht="15.75" customHeight="1">
      <c r="A36" s="1">
        <v>45887</v>
      </c>
      <c r="B36" s="49">
        <v>0.49861111111111112</v>
      </c>
      <c r="C36" s="3" t="s">
        <v>32</v>
      </c>
      <c r="D36" s="3" t="s">
        <v>33</v>
      </c>
      <c r="E36" s="2" t="s">
        <v>34</v>
      </c>
      <c r="F36" s="4">
        <v>0.21593599999999999</v>
      </c>
      <c r="G36" s="36">
        <f>SUMIFS(F$3:F36, D$3:D36, D36, V$3:V36, "Yes")</f>
        <v>0.902922</v>
      </c>
      <c r="H36" s="5">
        <v>231.55</v>
      </c>
      <c r="I36" s="37">
        <f>IFERROR(VLOOKUP(D36,Kurse!$A:$E,2,FALSE()),0)</f>
        <v>239.19999694824219</v>
      </c>
      <c r="J36" s="5">
        <v>50</v>
      </c>
      <c r="K36" s="37">
        <f>SUMIFS($J$3:J36, $D$3:D36, D36, $V$3:V36, "Yes")</f>
        <v>200</v>
      </c>
      <c r="L36" s="5">
        <v>0</v>
      </c>
      <c r="M36" s="37">
        <f t="shared" si="3"/>
        <v>50</v>
      </c>
      <c r="N36" s="37">
        <f>SUMIFS($M$3:M36, $D$3:D36, D36, $V$3:V36, "Yes")</f>
        <v>200</v>
      </c>
      <c r="O36" s="38">
        <f t="shared" si="4"/>
        <v>51.651890541015625</v>
      </c>
      <c r="P36" s="6">
        <v>0</v>
      </c>
      <c r="Q36" s="40">
        <f t="shared" si="5"/>
        <v>0</v>
      </c>
      <c r="R36" s="2" t="s">
        <v>35</v>
      </c>
      <c r="S36" s="2" t="s">
        <v>36</v>
      </c>
      <c r="T36" s="3" t="s">
        <v>68</v>
      </c>
      <c r="U36" s="2" t="s">
        <v>29</v>
      </c>
      <c r="V36" s="2" t="s">
        <v>38</v>
      </c>
    </row>
    <row r="37" spans="1:22" ht="15.75" customHeight="1">
      <c r="A37" s="1">
        <v>45887</v>
      </c>
      <c r="B37" s="49">
        <v>0.50208333333333333</v>
      </c>
      <c r="C37" s="3" t="s">
        <v>32</v>
      </c>
      <c r="D37" s="3" t="s">
        <v>47</v>
      </c>
      <c r="E37" s="2" t="s">
        <v>48</v>
      </c>
      <c r="F37" s="4">
        <v>1.5974440000000001</v>
      </c>
      <c r="G37" s="36">
        <f>SUMIFS(F$3:F37, D$3:D37, D37, V$3:V37, "Yes")</f>
        <v>6.6456629999999999</v>
      </c>
      <c r="H37" s="5">
        <v>50.08</v>
      </c>
      <c r="I37" s="37">
        <f>IFERROR(VLOOKUP(D37,Kurse!$A:$E,2,FALSE()),0)</f>
        <v>55.340000152587891</v>
      </c>
      <c r="J37" s="5">
        <v>80</v>
      </c>
      <c r="K37" s="37">
        <f>SUMIFS($J$3:J37, $D$3:D37, D37, $V$3:V37, "Yes")</f>
        <v>320.56</v>
      </c>
      <c r="L37" s="5">
        <v>0</v>
      </c>
      <c r="M37" s="37">
        <f t="shared" si="3"/>
        <v>80</v>
      </c>
      <c r="N37" s="37">
        <f>SUMIFS($M$3:M37, $D$3:D37, D37, $V$3:V37, "Yes")</f>
        <v>320.56</v>
      </c>
      <c r="O37" s="38">
        <f t="shared" si="4"/>
        <v>88.402551203750619</v>
      </c>
      <c r="P37" s="6">
        <v>0</v>
      </c>
      <c r="Q37" s="40">
        <f t="shared" si="5"/>
        <v>0</v>
      </c>
      <c r="R37" s="2" t="s">
        <v>35</v>
      </c>
      <c r="S37" s="2" t="s">
        <v>36</v>
      </c>
      <c r="T37" s="3" t="s">
        <v>68</v>
      </c>
      <c r="U37" s="2" t="s">
        <v>29</v>
      </c>
      <c r="V37" s="2" t="s">
        <v>38</v>
      </c>
    </row>
    <row r="38" spans="1:22" ht="15.75" customHeight="1">
      <c r="A38" s="1">
        <v>45887</v>
      </c>
      <c r="B38" s="49">
        <v>0.50486111111111109</v>
      </c>
      <c r="C38" s="3" t="s">
        <v>32</v>
      </c>
      <c r="D38" s="3" t="s">
        <v>71</v>
      </c>
      <c r="E38" s="2" t="s">
        <v>72</v>
      </c>
      <c r="F38" s="4">
        <v>2.779064</v>
      </c>
      <c r="G38" s="36">
        <f>SUMIFS(F$3:F38, D$3:D38, D38, V$3:V38, "Yes")</f>
        <v>5.6990639999999999</v>
      </c>
      <c r="H38" s="5">
        <v>21.59</v>
      </c>
      <c r="I38" s="37">
        <f>IFERROR(VLOOKUP(D38,Kurse!$A:$E,2,FALSE()),0)</f>
        <v>23.989999771118161</v>
      </c>
      <c r="J38" s="5">
        <v>60</v>
      </c>
      <c r="K38" s="37">
        <f>SUMIFS($J$3:J38, $D$3:D38, D38, $V$3:V38, "Yes")</f>
        <v>120</v>
      </c>
      <c r="L38" s="5">
        <v>0</v>
      </c>
      <c r="M38" s="37">
        <f t="shared" si="3"/>
        <v>60</v>
      </c>
      <c r="N38" s="37">
        <f>SUMIFS($M$3:M38, $D$3:D38, D38, $V$3:V38, "Yes")</f>
        <v>120</v>
      </c>
      <c r="O38" s="38">
        <f t="shared" si="4"/>
        <v>66.669744723922719</v>
      </c>
      <c r="P38" s="6">
        <v>0</v>
      </c>
      <c r="Q38" s="40">
        <f t="shared" si="5"/>
        <v>0</v>
      </c>
      <c r="R38" s="2" t="s">
        <v>35</v>
      </c>
      <c r="S38" s="2" t="s">
        <v>36</v>
      </c>
      <c r="T38" s="3" t="s">
        <v>68</v>
      </c>
      <c r="U38" s="2" t="s">
        <v>29</v>
      </c>
      <c r="V38" s="2" t="s">
        <v>38</v>
      </c>
    </row>
    <row r="39" spans="1:22" ht="15.75" customHeight="1">
      <c r="A39" s="1">
        <v>45887</v>
      </c>
      <c r="B39" s="49">
        <v>0.51041666666666663</v>
      </c>
      <c r="C39" s="3" t="s">
        <v>32</v>
      </c>
      <c r="D39" s="3" t="s">
        <v>44</v>
      </c>
      <c r="E39" s="2" t="s">
        <v>45</v>
      </c>
      <c r="F39" s="4">
        <v>0.35893700000000001</v>
      </c>
      <c r="G39" s="36">
        <f>SUMIFS(F$3:F39, D$3:D39, D39, V$3:V39, "Yes")</f>
        <v>1.6061420000000002</v>
      </c>
      <c r="H39" s="5">
        <v>55.72</v>
      </c>
      <c r="I39" s="37">
        <f>IFERROR(VLOOKUP(D39,Kurse!$A:$E,2,FALSE()),0)</f>
        <v>63.540000915527337</v>
      </c>
      <c r="J39" s="5">
        <v>20</v>
      </c>
      <c r="K39" s="37">
        <f>SUMIFS($J$3:J39, $D$3:D39, D39, $V$3:V39, "Yes")</f>
        <v>90</v>
      </c>
      <c r="L39" s="5">
        <v>0</v>
      </c>
      <c r="M39" s="37">
        <f t="shared" si="3"/>
        <v>20</v>
      </c>
      <c r="N39" s="37">
        <f>SUMIFS($M$3:M39, $D$3:D39, D39, $V$3:V39, "Yes")</f>
        <v>90</v>
      </c>
      <c r="O39" s="38">
        <f t="shared" si="4"/>
        <v>22.806857308616635</v>
      </c>
      <c r="P39" s="6">
        <v>0</v>
      </c>
      <c r="Q39" s="40">
        <f t="shared" si="5"/>
        <v>0</v>
      </c>
      <c r="R39" s="2" t="s">
        <v>35</v>
      </c>
      <c r="S39" s="2" t="s">
        <v>36</v>
      </c>
      <c r="T39" s="3" t="s">
        <v>68</v>
      </c>
      <c r="U39" s="2" t="s">
        <v>46</v>
      </c>
      <c r="V39" s="2" t="s">
        <v>38</v>
      </c>
    </row>
    <row r="40" spans="1:22" ht="15.75" customHeight="1">
      <c r="A40" s="1">
        <v>45916</v>
      </c>
      <c r="B40" s="49">
        <v>0.48680555555555549</v>
      </c>
      <c r="C40" s="3" t="s">
        <v>32</v>
      </c>
      <c r="D40" s="3" t="s">
        <v>33</v>
      </c>
      <c r="E40" s="2" t="s">
        <v>34</v>
      </c>
      <c r="F40" s="4">
        <v>0.21199999999999999</v>
      </c>
      <c r="G40" s="36">
        <f>SUMIFS(F$3:F40, D$3:D40, D40, V$3:V40, "Yes")</f>
        <v>1.114922</v>
      </c>
      <c r="H40" s="5">
        <v>235.75</v>
      </c>
      <c r="I40" s="37">
        <f>IFERROR(VLOOKUP(D40,Kurse!$A:$E,2,FALSE()),0)</f>
        <v>239.19999694824219</v>
      </c>
      <c r="J40" s="5">
        <v>50</v>
      </c>
      <c r="K40" s="37">
        <f>SUMIFS($J$3:J40, $D$3:D40, D40, $V$3:V40, "Yes")</f>
        <v>250</v>
      </c>
      <c r="L40" s="5">
        <v>0</v>
      </c>
      <c r="M40" s="37">
        <f t="shared" si="3"/>
        <v>50</v>
      </c>
      <c r="N40" s="37">
        <f>SUMIFS($M$3:M40, $D$3:D40, D40, $V$3:V40, "Yes")</f>
        <v>250</v>
      </c>
      <c r="O40" s="38">
        <f t="shared" si="4"/>
        <v>50.710399353027341</v>
      </c>
      <c r="P40" s="6">
        <v>0</v>
      </c>
      <c r="Q40" s="40">
        <f t="shared" si="5"/>
        <v>0</v>
      </c>
      <c r="R40" s="2" t="s">
        <v>35</v>
      </c>
      <c r="S40" s="2" t="s">
        <v>36</v>
      </c>
      <c r="T40" s="3" t="s">
        <v>68</v>
      </c>
      <c r="U40" s="2" t="s">
        <v>29</v>
      </c>
      <c r="V40" s="2" t="s">
        <v>38</v>
      </c>
    </row>
    <row r="41" spans="1:22" ht="15.75" customHeight="1">
      <c r="A41" s="1">
        <v>45916</v>
      </c>
      <c r="B41" s="49">
        <v>0.47222222222222221</v>
      </c>
      <c r="C41" s="3" t="s">
        <v>32</v>
      </c>
      <c r="D41" s="3" t="s">
        <v>63</v>
      </c>
      <c r="E41" s="2" t="s">
        <v>64</v>
      </c>
      <c r="F41" s="4">
        <v>2.7E-2</v>
      </c>
      <c r="G41" s="36">
        <f>SUMIFS(F$3:F41, D$3:D41, D41, V$3:V41, "Yes")</f>
        <v>0.15628599999999998</v>
      </c>
      <c r="H41" s="5">
        <v>750.2</v>
      </c>
      <c r="I41" s="37">
        <f>IFERROR(VLOOKUP(D41,Kurse!$A:$E,2,FALSE()),0)</f>
        <v>828.0999755859375</v>
      </c>
      <c r="J41" s="5">
        <v>20</v>
      </c>
      <c r="K41" s="37">
        <f>SUMIFS($J$3:J41, $D$3:D41, D41, $V$3:V41, "Yes")</f>
        <v>104.71000000000001</v>
      </c>
      <c r="L41" s="5">
        <v>0</v>
      </c>
      <c r="M41" s="37">
        <f t="shared" si="3"/>
        <v>20</v>
      </c>
      <c r="N41" s="37">
        <f>SUMIFS($M$3:M41, $D$3:D41, D41, $V$3:V41, "Yes")</f>
        <v>104.71000000000001</v>
      </c>
      <c r="O41" s="38">
        <f t="shared" si="4"/>
        <v>22.358699340820312</v>
      </c>
      <c r="P41" s="6">
        <v>0</v>
      </c>
      <c r="Q41" s="40">
        <f t="shared" si="5"/>
        <v>0</v>
      </c>
      <c r="R41" s="2" t="s">
        <v>35</v>
      </c>
      <c r="S41" s="2" t="s">
        <v>36</v>
      </c>
      <c r="T41" s="3" t="s">
        <v>68</v>
      </c>
      <c r="U41" s="2" t="s">
        <v>61</v>
      </c>
      <c r="V41" s="2" t="s">
        <v>38</v>
      </c>
    </row>
    <row r="42" spans="1:22" ht="15.75" customHeight="1">
      <c r="A42" s="1">
        <v>45916</v>
      </c>
      <c r="B42" s="49">
        <v>0.50208333333333333</v>
      </c>
      <c r="C42" s="3" t="s">
        <v>32</v>
      </c>
      <c r="D42" s="3" t="s">
        <v>44</v>
      </c>
      <c r="E42" s="2" t="s">
        <v>45</v>
      </c>
      <c r="F42" s="4">
        <v>0.32900000000000001</v>
      </c>
      <c r="G42" s="36">
        <f>SUMIFS(F$3:F42, D$3:D42, D42, V$3:V42, "Yes")</f>
        <v>1.9351420000000001</v>
      </c>
      <c r="H42" s="5">
        <v>60.8</v>
      </c>
      <c r="I42" s="37">
        <f>IFERROR(VLOOKUP(D42,Kurse!$A:$E,2,FALSE()),0)</f>
        <v>63.540000915527337</v>
      </c>
      <c r="J42" s="5">
        <v>20</v>
      </c>
      <c r="K42" s="37">
        <f>SUMIFS($J$3:J42, $D$3:D42, D42, $V$3:V42, "Yes")</f>
        <v>110</v>
      </c>
      <c r="L42" s="5">
        <v>0</v>
      </c>
      <c r="M42" s="37">
        <f t="shared" si="3"/>
        <v>20</v>
      </c>
      <c r="N42" s="37">
        <f>SUMIFS($M$3:M42, $D$3:D42, D42, $V$3:V42, "Yes")</f>
        <v>110</v>
      </c>
      <c r="O42" s="38">
        <f t="shared" si="4"/>
        <v>20.904660301208494</v>
      </c>
      <c r="P42" s="6">
        <v>0</v>
      </c>
      <c r="Q42" s="40">
        <f t="shared" si="5"/>
        <v>0</v>
      </c>
      <c r="R42" s="2" t="s">
        <v>35</v>
      </c>
      <c r="S42" s="2" t="s">
        <v>36</v>
      </c>
      <c r="T42" s="3" t="s">
        <v>37</v>
      </c>
      <c r="U42" s="2" t="s">
        <v>46</v>
      </c>
      <c r="V42" s="2" t="s">
        <v>38</v>
      </c>
    </row>
    <row r="43" spans="1:22" ht="15.75" customHeight="1">
      <c r="A43" s="1">
        <v>45916</v>
      </c>
      <c r="B43" s="49">
        <v>0.51666666666666672</v>
      </c>
      <c r="C43" s="3" t="s">
        <v>32</v>
      </c>
      <c r="D43" s="3" t="s">
        <v>71</v>
      </c>
      <c r="E43" s="2" t="s">
        <v>72</v>
      </c>
      <c r="F43" s="4">
        <v>2.5379999999999998</v>
      </c>
      <c r="G43" s="36">
        <f>SUMIFS(F$3:F43, D$3:D43, D43, V$3:V43, "Yes")</f>
        <v>8.2370640000000002</v>
      </c>
      <c r="H43" s="5">
        <v>23.64</v>
      </c>
      <c r="I43" s="37">
        <f>IFERROR(VLOOKUP(D43,Kurse!$A:$E,2,FALSE()),0)</f>
        <v>23.989999771118161</v>
      </c>
      <c r="J43" s="5">
        <v>60</v>
      </c>
      <c r="K43" s="37">
        <f>SUMIFS($J$3:J43, $D$3:D43, D43, $V$3:V43, "Yes")</f>
        <v>180</v>
      </c>
      <c r="L43" s="5">
        <v>0</v>
      </c>
      <c r="M43" s="37">
        <f t="shared" si="3"/>
        <v>60</v>
      </c>
      <c r="N43" s="37">
        <f>SUMIFS($M$3:M43, $D$3:D43, D43, $V$3:V43, "Yes")</f>
        <v>180</v>
      </c>
      <c r="O43" s="38">
        <f t="shared" si="4"/>
        <v>60.88661941909789</v>
      </c>
      <c r="P43" s="6">
        <v>0</v>
      </c>
      <c r="Q43" s="40">
        <f t="shared" si="5"/>
        <v>0</v>
      </c>
      <c r="R43" s="2" t="s">
        <v>35</v>
      </c>
      <c r="S43" s="2" t="s">
        <v>36</v>
      </c>
      <c r="T43" s="3" t="s">
        <v>37</v>
      </c>
      <c r="U43" s="2" t="s">
        <v>29</v>
      </c>
      <c r="V43" s="2" t="s">
        <v>73</v>
      </c>
    </row>
    <row r="44" spans="1:22" ht="15.75" customHeight="1">
      <c r="A44" s="1">
        <v>45916</v>
      </c>
      <c r="B44" s="49">
        <v>0.49166666666666659</v>
      </c>
      <c r="C44" s="3" t="s">
        <v>32</v>
      </c>
      <c r="D44" s="3" t="s">
        <v>59</v>
      </c>
      <c r="E44" s="2" t="s">
        <v>60</v>
      </c>
      <c r="F44" s="4">
        <v>0.01</v>
      </c>
      <c r="G44" s="36">
        <f>SUMIFS(F$3:F44, D$3:D44, D44, V$3:V44, "Yes")</f>
        <v>6.0830000000000002E-2</v>
      </c>
      <c r="H44" s="5">
        <v>1968.5</v>
      </c>
      <c r="I44" s="37">
        <f>IFERROR(VLOOKUP(D44,Kurse!$A:$E,2,FALSE()),0)</f>
        <v>1984.5</v>
      </c>
      <c r="J44" s="5">
        <v>20</v>
      </c>
      <c r="K44" s="37">
        <f>SUMIFS($J$3:J44, $D$3:D44, D44, $V$3:V44, "Yes")</f>
        <v>110</v>
      </c>
      <c r="L44" s="5">
        <v>0</v>
      </c>
      <c r="M44" s="37">
        <f t="shared" si="3"/>
        <v>20</v>
      </c>
      <c r="N44" s="37">
        <f>SUMIFS($M$3:M44, $D$3:D44, D44, $V$3:V44, "Yes")</f>
        <v>110</v>
      </c>
      <c r="O44" s="38">
        <f t="shared" si="4"/>
        <v>19.844999999999999</v>
      </c>
      <c r="P44" s="6">
        <v>0</v>
      </c>
      <c r="Q44" s="40">
        <f t="shared" si="5"/>
        <v>0</v>
      </c>
      <c r="R44" s="2" t="s">
        <v>35</v>
      </c>
      <c r="S44" s="2" t="s">
        <v>36</v>
      </c>
      <c r="T44" s="3" t="s">
        <v>37</v>
      </c>
      <c r="U44" s="2" t="s">
        <v>61</v>
      </c>
      <c r="V44" s="2" t="s">
        <v>73</v>
      </c>
    </row>
    <row r="45" spans="1:22" ht="15.75" customHeight="1">
      <c r="A45" s="1">
        <v>45916</v>
      </c>
      <c r="B45" s="49">
        <v>0.50624999999999998</v>
      </c>
      <c r="C45" s="3" t="s">
        <v>32</v>
      </c>
      <c r="D45" s="3" t="s">
        <v>42</v>
      </c>
      <c r="E45" s="2" t="s">
        <v>43</v>
      </c>
      <c r="F45" s="4">
        <v>5.0549999999999997</v>
      </c>
      <c r="G45" s="36">
        <f>SUMIFS(F$3:F45, D$3:D45, D45, V$3:V45, "Yes")</f>
        <v>27.250789000000001</v>
      </c>
      <c r="H45" s="5">
        <v>9.891</v>
      </c>
      <c r="I45" s="37">
        <f>IFERROR(VLOOKUP(D45,Kurse!$A:$E,2,FALSE()),0)</f>
        <v>9.9739999771118164</v>
      </c>
      <c r="J45" s="5">
        <v>50</v>
      </c>
      <c r="K45" s="37">
        <f>SUMIFS($J$3:J45, $D$3:D45, D45, $V$3:V45, "Yes")</f>
        <v>258.44</v>
      </c>
      <c r="L45" s="5">
        <v>0</v>
      </c>
      <c r="M45" s="37">
        <f t="shared" si="3"/>
        <v>50</v>
      </c>
      <c r="N45" s="37">
        <f>SUMIFS($M$3:M45, $D$3:D45, D45, $V$3:V45, "Yes")</f>
        <v>258.44</v>
      </c>
      <c r="O45" s="38">
        <f t="shared" si="4"/>
        <v>50.418569884300226</v>
      </c>
      <c r="P45" s="6">
        <v>0</v>
      </c>
      <c r="Q45" s="40">
        <f t="shared" si="5"/>
        <v>0</v>
      </c>
      <c r="R45" s="2" t="s">
        <v>35</v>
      </c>
      <c r="S45" s="2" t="s">
        <v>36</v>
      </c>
      <c r="T45" s="3" t="s">
        <v>37</v>
      </c>
      <c r="U45" s="2" t="s">
        <v>29</v>
      </c>
      <c r="V45" s="2" t="s">
        <v>73</v>
      </c>
    </row>
    <row r="46" spans="1:22" ht="15.75" customHeight="1">
      <c r="A46" s="1">
        <v>45916</v>
      </c>
      <c r="B46" s="49">
        <v>0.48541666666666672</v>
      </c>
      <c r="C46" s="3" t="s">
        <v>32</v>
      </c>
      <c r="D46" s="3" t="s">
        <v>47</v>
      </c>
      <c r="E46" s="2" t="s">
        <v>48</v>
      </c>
      <c r="F46" s="4">
        <v>1.53</v>
      </c>
      <c r="G46" s="36">
        <f>SUMIFS(F$3:F46, D$3:D46, D46, V$3:V46, "Yes")</f>
        <v>8.1756630000000001</v>
      </c>
      <c r="H46" s="5">
        <v>52.3</v>
      </c>
      <c r="I46" s="37">
        <f>IFERROR(VLOOKUP(D46,Kurse!$A:$E,2,FALSE()),0)</f>
        <v>55.340000152587891</v>
      </c>
      <c r="J46" s="5">
        <v>80</v>
      </c>
      <c r="K46" s="37">
        <f>SUMIFS($J$3:J46, $D$3:D46, D46, $V$3:V46, "Yes")</f>
        <v>400.56</v>
      </c>
      <c r="L46" s="5">
        <v>0</v>
      </c>
      <c r="M46" s="37">
        <f t="shared" si="3"/>
        <v>80</v>
      </c>
      <c r="N46" s="37">
        <f>SUMIFS($M$3:M46, $D$3:D46, D46, $V$3:V46, "Yes")</f>
        <v>400.56</v>
      </c>
      <c r="O46" s="38">
        <f t="shared" si="4"/>
        <v>84.670200233459468</v>
      </c>
      <c r="P46" s="6">
        <v>0</v>
      </c>
      <c r="Q46" s="40">
        <f t="shared" si="5"/>
        <v>0</v>
      </c>
      <c r="R46" s="2" t="s">
        <v>35</v>
      </c>
      <c r="S46" s="2" t="s">
        <v>36</v>
      </c>
      <c r="T46" s="3" t="s">
        <v>37</v>
      </c>
      <c r="U46" s="2" t="s">
        <v>29</v>
      </c>
      <c r="V46" s="2" t="s">
        <v>38</v>
      </c>
    </row>
    <row r="47" spans="1:22" ht="15.75" customHeight="1">
      <c r="G47" s="36">
        <f>SUMIFS(F$3:F47, D$3:D47, D47, V$3:V47, "Yes")</f>
        <v>0</v>
      </c>
      <c r="I47" s="37">
        <f>IFERROR(VLOOKUP(D47,Kurse!$A:$E,2,FALSE()),0)</f>
        <v>0</v>
      </c>
      <c r="K47" s="37">
        <f>SUMIFS($J$3:J47, $D$3:D47, D47, $V$3:V47, "Yes")</f>
        <v>0</v>
      </c>
      <c r="M47" s="37" t="str">
        <f t="shared" si="3"/>
        <v/>
      </c>
      <c r="N47" s="37">
        <f>SUMIFS($M$3:M47, $D$3:D47, D47, $V$3:V47, "Yes")</f>
        <v>0</v>
      </c>
      <c r="O47" s="38" t="str">
        <f t="shared" si="4"/>
        <v/>
      </c>
      <c r="Q47" s="40">
        <f t="shared" si="5"/>
        <v>0</v>
      </c>
    </row>
    <row r="48" spans="1:22" ht="15.75" customHeight="1">
      <c r="G48" s="36">
        <f>SUMIFS(F$3:F48, D$3:D48, D48, V$3:V48, "Yes")</f>
        <v>0</v>
      </c>
      <c r="I48" s="37">
        <f>IFERROR(VLOOKUP(D48,Kurse!$A:$E,2,FALSE()),0)</f>
        <v>0</v>
      </c>
      <c r="K48" s="37">
        <f>SUMIFS($J$3:J48, $D$3:D48, D48, $V$3:V48, "Yes")</f>
        <v>0</v>
      </c>
      <c r="M48" s="37" t="str">
        <f t="shared" si="3"/>
        <v/>
      </c>
      <c r="N48" s="37">
        <f>SUMIFS($M$3:M48, $D$3:D48, D48, $V$3:V48, "Yes")</f>
        <v>0</v>
      </c>
      <c r="O48" s="38" t="str">
        <f t="shared" si="4"/>
        <v/>
      </c>
      <c r="Q48" s="40">
        <f t="shared" si="5"/>
        <v>0</v>
      </c>
    </row>
    <row r="49" spans="7:17" ht="15.75" customHeight="1">
      <c r="G49" s="36">
        <f>SUMIFS(F$3:F49, D$3:D49, D49, V$3:V49, "Yes")</f>
        <v>0</v>
      </c>
      <c r="I49" s="37">
        <f>IFERROR(VLOOKUP(D49,Kurse!$A:$E,2,FALSE()),0)</f>
        <v>0</v>
      </c>
      <c r="K49" s="37">
        <f>SUMIFS($J$3:J49, $D$3:D49, D49, $V$3:V49, "Yes")</f>
        <v>0</v>
      </c>
      <c r="M49" s="37" t="str">
        <f t="shared" si="3"/>
        <v/>
      </c>
      <c r="N49" s="37">
        <f>SUMIFS($M$3:M49, $D$3:D49, D49, $V$3:V49, "Yes")</f>
        <v>0</v>
      </c>
      <c r="O49" s="38" t="str">
        <f t="shared" si="4"/>
        <v/>
      </c>
      <c r="Q49" s="40">
        <f t="shared" si="5"/>
        <v>0</v>
      </c>
    </row>
    <row r="50" spans="7:17" ht="15.75" customHeight="1">
      <c r="G50" s="36">
        <f>SUMIFS(F$3:F50, D$3:D50, D50, V$3:V50, "Yes")</f>
        <v>0</v>
      </c>
      <c r="I50" s="37">
        <f>IFERROR(VLOOKUP(D50,Kurse!$A:$E,2,FALSE()),0)</f>
        <v>0</v>
      </c>
      <c r="K50" s="37">
        <f>SUMIFS($J$3:J50, $D$3:D50, D50, $V$3:V50, "Yes")</f>
        <v>0</v>
      </c>
      <c r="M50" s="37" t="str">
        <f t="shared" si="3"/>
        <v/>
      </c>
      <c r="N50" s="37">
        <f>SUMIFS($M$3:M50, $D$3:D50, D50, $V$3:V50, "Yes")</f>
        <v>0</v>
      </c>
      <c r="O50" s="38" t="str">
        <f t="shared" si="4"/>
        <v/>
      </c>
      <c r="Q50" s="40">
        <f t="shared" si="5"/>
        <v>0</v>
      </c>
    </row>
    <row r="51" spans="7:17" ht="15.75" customHeight="1">
      <c r="G51" s="36">
        <f>SUMIFS(F$3:F51, D$3:D51, D51, V$3:V51, "Yes")</f>
        <v>0</v>
      </c>
      <c r="I51" s="37">
        <f>IFERROR(VLOOKUP(D51,Kurse!$A:$E,2,FALSE()),0)</f>
        <v>0</v>
      </c>
      <c r="K51" s="37">
        <f>SUMIFS($J$3:J51, $D$3:D51, D51, $V$3:V51, "Yes")</f>
        <v>0</v>
      </c>
      <c r="M51" s="37" t="str">
        <f t="shared" si="3"/>
        <v/>
      </c>
      <c r="N51" s="37">
        <f>SUMIFS($M$3:M51, $D$3:D51, D51, $V$3:V51, "Yes")</f>
        <v>0</v>
      </c>
      <c r="O51" s="38" t="str">
        <f t="shared" si="4"/>
        <v/>
      </c>
      <c r="Q51" s="40">
        <f t="shared" si="5"/>
        <v>0</v>
      </c>
    </row>
    <row r="52" spans="7:17" ht="15.75" customHeight="1">
      <c r="G52" s="36">
        <f>SUMIFS(F$3:F52, D$3:D52, D52, V$3:V52, "Yes")</f>
        <v>0</v>
      </c>
      <c r="I52" s="37">
        <f>IFERROR(VLOOKUP(D52,Kurse!$A:$E,2,FALSE()),0)</f>
        <v>0</v>
      </c>
      <c r="K52" s="37">
        <f>SUMIFS($J$3:J52, $D$3:D52, D52, $V$3:V52, "Yes")</f>
        <v>0</v>
      </c>
      <c r="M52" s="37" t="str">
        <f t="shared" si="3"/>
        <v/>
      </c>
      <c r="N52" s="37">
        <f>SUMIFS($M$3:M52, $D$3:D52, D52, $V$3:V52, "Yes")</f>
        <v>0</v>
      </c>
      <c r="O52" s="38" t="str">
        <f t="shared" si="4"/>
        <v/>
      </c>
      <c r="Q52" s="40">
        <f t="shared" si="5"/>
        <v>0</v>
      </c>
    </row>
  </sheetData>
  <dataValidations count="6">
    <dataValidation type="list" allowBlank="1" showInputMessage="1" showErrorMessage="1" sqref="V2:V15" xr:uid="{00000000-0002-0000-0000-000000000000}">
      <formula1>"Yes,No"</formula1>
      <formula2>0</formula2>
    </dataValidation>
    <dataValidation type="list" allowBlank="1" showInputMessage="1" showErrorMessage="1" sqref="U2:U12" xr:uid="{00000000-0002-0000-0000-000001000000}">
      <formula1>"ETF,Cryptocurrency,Commodity,Cash,Other,Equity"</formula1>
      <formula2>0</formula2>
    </dataValidation>
    <dataValidation type="list" allowBlank="1" showInputMessage="1" showErrorMessage="1" sqref="S2:S15" xr:uid="{00000000-0002-0000-0000-000002000000}">
      <formula1>"Core,Satellite,Speculative,Mini,Learning Only"</formula1>
      <formula2>0</formula2>
    </dataValidation>
    <dataValidation type="list" allowBlank="1" showInputMessage="1" showErrorMessage="1" sqref="U14:U15" xr:uid="{00000000-0002-0000-0000-000003000000}">
      <formula1>"ETF,Stock,Cryptocurrency,Commodity,Cash,Other"</formula1>
      <formula2>0</formula2>
    </dataValidation>
    <dataValidation type="list" allowBlank="1" showInputMessage="1" showErrorMessage="1" sqref="C2:C301" xr:uid="{00000000-0002-0000-0000-000004000000}">
      <formula1>"Scalable Capital,Trade Republic,Other"</formula1>
      <formula2>0</formula2>
    </dataValidation>
    <dataValidation type="list" allowBlank="1" showInputMessage="1" showErrorMessage="1" sqref="R2:R50" xr:uid="{00000000-0002-0000-0000-000005000000}">
      <formula1>"Savings Plan,One-Time Purchase,Sell,Rebalancing,Test,Dividend"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topLeftCell="P1" zoomScale="72" zoomScaleNormal="72" workbookViewId="0">
      <pane ySplit="1" topLeftCell="A2" activePane="bottomLeft" state="frozen"/>
      <selection pane="bottomLeft" activeCell="AO3" sqref="AO3"/>
    </sheetView>
  </sheetViews>
  <sheetFormatPr baseColWidth="10" defaultColWidth="10.35546875" defaultRowHeight="15.75" customHeight="1"/>
  <cols>
    <col min="1" max="1" width="37.640625" bestFit="1" customWidth="1"/>
    <col min="2" max="2" width="20.640625" style="51" bestFit="1" customWidth="1"/>
    <col min="3" max="3" width="17.0703125" style="52" bestFit="1" customWidth="1"/>
    <col min="4" max="4" width="20.28515625" style="53" bestFit="1" customWidth="1"/>
    <col min="5" max="5" width="13.640625" style="54" bestFit="1" customWidth="1"/>
    <col min="6" max="6" width="23.5703125" style="55" bestFit="1" customWidth="1"/>
    <col min="7" max="7" width="10" bestFit="1" customWidth="1"/>
    <col min="8" max="8" width="11.5703125" style="55" bestFit="1" customWidth="1"/>
  </cols>
  <sheetData>
    <row r="1" spans="1:8" s="56" customFormat="1" ht="15.75" customHeight="1">
      <c r="A1" s="57" t="s">
        <v>3</v>
      </c>
      <c r="B1" s="58" t="s">
        <v>74</v>
      </c>
      <c r="C1" s="59" t="s">
        <v>75</v>
      </c>
      <c r="D1" s="59" t="s">
        <v>76</v>
      </c>
      <c r="E1" s="59" t="s">
        <v>77</v>
      </c>
      <c r="F1" s="60" t="s">
        <v>78</v>
      </c>
      <c r="G1" s="61" t="s">
        <v>79</v>
      </c>
      <c r="H1" s="60" t="s">
        <v>80</v>
      </c>
    </row>
    <row r="2" spans="1:8" ht="15.75" customHeight="1">
      <c r="A2" s="62" t="s">
        <v>33</v>
      </c>
      <c r="B2" s="63">
        <f>SUMIF('Portfolio Overview'!D:D, A2, 'Portfolio Overview'!F:F)</f>
        <v>1.114922</v>
      </c>
      <c r="C2" s="52">
        <f>B2 * VLOOKUP(A2, 'Portfolio Overview'!D:I, 6, FALSE())</f>
        <v>266.68933899752807</v>
      </c>
      <c r="D2" s="53">
        <f>SUMIF('Portfolio Overview'!D:D, A2, 'Portfolio Overview'!J:J)</f>
        <v>250</v>
      </c>
      <c r="E2" s="52">
        <f>SUMIF('Portfolio Overview'!D:D, A2, 'Portfolio Overview'!M:M)</f>
        <v>250</v>
      </c>
      <c r="F2" s="55">
        <f t="shared" ref="F2:F8" si="0">IFERROR(C2/SUM($C$2:$C$7),0)</f>
        <v>0.19551626024827282</v>
      </c>
      <c r="G2" s="52">
        <f t="shared" ref="G2:G8" si="1">C2-E2</f>
        <v>16.689338997528068</v>
      </c>
      <c r="H2" s="64">
        <f t="shared" ref="H2:H8" si="2">IF(E2=0, "", (C2 - E2)/E2)</f>
        <v>6.6757355990112274E-2</v>
      </c>
    </row>
    <row r="3" spans="1:8" ht="15.75" customHeight="1">
      <c r="A3" s="62" t="s">
        <v>47</v>
      </c>
      <c r="B3" s="63">
        <f>SUMIF('Portfolio Overview'!D:D, A3, 'Portfolio Overview'!F:F)</f>
        <v>8.1756630000000001</v>
      </c>
      <c r="C3" s="52">
        <f>B3 * VLOOKUP(A3, 'Portfolio Overview'!D:I, 6, FALSE())</f>
        <v>452.44119166750716</v>
      </c>
      <c r="D3" s="53">
        <f>SUMIF('Portfolio Overview'!D:D, A3, 'Portfolio Overview'!J:J)</f>
        <v>400.56</v>
      </c>
      <c r="E3" s="52">
        <f>SUMIF('Portfolio Overview'!D:D, A3, 'Portfolio Overview'!M:M)</f>
        <v>400.56</v>
      </c>
      <c r="F3" s="55">
        <f t="shared" si="0"/>
        <v>0.33169533551516639</v>
      </c>
      <c r="G3" s="52">
        <f t="shared" si="1"/>
        <v>51.881191667507153</v>
      </c>
      <c r="H3" s="64">
        <f t="shared" si="2"/>
        <v>0.12952164886036338</v>
      </c>
    </row>
    <row r="4" spans="1:8" ht="15.75" customHeight="1">
      <c r="A4" s="62" t="s">
        <v>42</v>
      </c>
      <c r="B4" s="63">
        <f>SUMIF('Portfolio Overview'!D:D, A4, 'Portfolio Overview'!F:F)</f>
        <v>27.250789000000001</v>
      </c>
      <c r="C4" s="52">
        <f>B4 * VLOOKUP(A4, 'Portfolio Overview'!D:I, 6, FALSE())</f>
        <v>271.79936886227893</v>
      </c>
      <c r="D4" s="53">
        <f>SUMIF('Portfolio Overview'!D:D, A4, 'Portfolio Overview'!J:J)</f>
        <v>258.44</v>
      </c>
      <c r="E4" s="52">
        <f>SUMIF('Portfolio Overview'!D:D, A4, 'Portfolio Overview'!M:M)</f>
        <v>258.44</v>
      </c>
      <c r="F4" s="55">
        <f t="shared" si="0"/>
        <v>0.19926254396800688</v>
      </c>
      <c r="G4" s="52">
        <f t="shared" si="1"/>
        <v>13.359368862278927</v>
      </c>
      <c r="H4" s="64">
        <f t="shared" si="2"/>
        <v>5.1692341983744498E-2</v>
      </c>
    </row>
    <row r="5" spans="1:8" ht="15.75" customHeight="1">
      <c r="A5" s="62" t="s">
        <v>44</v>
      </c>
      <c r="B5" s="63">
        <f>SUMIF('Portfolio Overview'!D:D, A5, 'Portfolio Overview'!F:F)</f>
        <v>1.9351420000000001</v>
      </c>
      <c r="C5" s="52">
        <f>B5 * VLOOKUP(A5, 'Portfolio Overview'!D:I, 6, FALSE())</f>
        <v>122.95892445167541</v>
      </c>
      <c r="D5" s="53">
        <f>SUMIF('Portfolio Overview'!D:D, A5, 'Portfolio Overview'!J:J)</f>
        <v>110</v>
      </c>
      <c r="E5" s="52">
        <f>SUMIF('Portfolio Overview'!D:D, A5, 'Portfolio Overview'!M:M)</f>
        <v>110</v>
      </c>
      <c r="F5" s="55">
        <f t="shared" si="0"/>
        <v>9.0144094860741014E-2</v>
      </c>
      <c r="G5" s="52">
        <f t="shared" si="1"/>
        <v>12.958924451675415</v>
      </c>
      <c r="H5" s="64">
        <f t="shared" si="2"/>
        <v>0.11780840410614013</v>
      </c>
    </row>
    <row r="6" spans="1:8" ht="15.75" customHeight="1">
      <c r="A6" s="62" t="s">
        <v>59</v>
      </c>
      <c r="B6" s="63">
        <f>SUMIF('Portfolio Overview'!D:D, A6, 'Portfolio Overview'!F:F)</f>
        <v>6.0830000000000002E-2</v>
      </c>
      <c r="C6" s="52">
        <f>B6 * VLOOKUP(A6, 'Portfolio Overview'!D:I, 6, FALSE())</f>
        <v>120.717135</v>
      </c>
      <c r="D6" s="53">
        <f>SUMIF('Portfolio Overview'!D:D, A6, 'Portfolio Overview'!J:J)</f>
        <v>110</v>
      </c>
      <c r="E6" s="52">
        <f>SUMIF('Portfolio Overview'!D:D, A6, 'Portfolio Overview'!M:M)</f>
        <v>110</v>
      </c>
      <c r="F6" s="55">
        <f t="shared" si="0"/>
        <v>8.8500586006944396E-2</v>
      </c>
      <c r="G6" s="52">
        <f t="shared" si="1"/>
        <v>10.717134999999999</v>
      </c>
      <c r="H6" s="64">
        <f t="shared" si="2"/>
        <v>9.7428499999999987E-2</v>
      </c>
    </row>
    <row r="7" spans="1:8" ht="15.75" customHeight="1">
      <c r="A7" s="62" t="s">
        <v>63</v>
      </c>
      <c r="B7" s="63">
        <f>SUMIF('Portfolio Overview'!D:D, A7, 'Portfolio Overview'!F:F)</f>
        <v>0.15628599999999998</v>
      </c>
      <c r="C7" s="52">
        <f>B7 * VLOOKUP(A7, 'Portfolio Overview'!D:I, 6, FALSE())</f>
        <v>129.42043278442381</v>
      </c>
      <c r="D7" s="53">
        <f>SUMIF('Portfolio Overview'!D:D, A7, 'Portfolio Overview'!J:J)</f>
        <v>104.71000000000001</v>
      </c>
      <c r="E7" s="52">
        <f>SUMIF('Portfolio Overview'!D:D, A7, 'Portfolio Overview'!M:M)</f>
        <v>104.71000000000001</v>
      </c>
      <c r="F7" s="55">
        <f t="shared" si="0"/>
        <v>9.4881179400868529E-2</v>
      </c>
      <c r="G7" s="52">
        <f t="shared" si="1"/>
        <v>24.710432784423801</v>
      </c>
      <c r="H7" s="64">
        <f t="shared" si="2"/>
        <v>0.23598923488132748</v>
      </c>
    </row>
    <row r="8" spans="1:8" ht="15.75" customHeight="1">
      <c r="A8" s="65" t="s">
        <v>71</v>
      </c>
      <c r="B8" s="63">
        <f>SUMIF('Portfolio Overview'!D:D, A8, 'Portfolio Overview'!F:F)</f>
        <v>8.2370640000000002</v>
      </c>
      <c r="C8" s="52">
        <f>B8 * VLOOKUP(A8, 'Portfolio Overview'!D:I, 6, FALSE())</f>
        <v>197.60716347468565</v>
      </c>
      <c r="D8" s="53">
        <f>SUMIF('Portfolio Overview'!D:D, A8, 'Portfolio Overview'!J:J)</f>
        <v>180</v>
      </c>
      <c r="E8" s="52">
        <f>SUMIF('Portfolio Overview'!D:D, A8, 'Portfolio Overview'!M:M)</f>
        <v>180</v>
      </c>
      <c r="F8" s="55">
        <f t="shared" si="0"/>
        <v>0.1448704839348593</v>
      </c>
      <c r="G8" s="52">
        <f t="shared" si="1"/>
        <v>17.607163474685649</v>
      </c>
      <c r="H8" s="64">
        <f t="shared" si="2"/>
        <v>9.7817574859364723E-2</v>
      </c>
    </row>
    <row r="9" spans="1:8" ht="15.75" customHeight="1">
      <c r="A9" s="66" t="s">
        <v>81</v>
      </c>
      <c r="B9" s="67"/>
      <c r="C9" s="68">
        <f>SUM(C2:C8)</f>
        <v>1561.633555238099</v>
      </c>
      <c r="D9" s="69">
        <f>SUM(D2:D8)</f>
        <v>1413.71</v>
      </c>
      <c r="E9" s="69">
        <f>SUM(E2:E8)</f>
        <v>1413.71</v>
      </c>
      <c r="F9" s="70"/>
      <c r="G9" s="68">
        <f>SUM(G2:G8)</f>
        <v>147.92355523809903</v>
      </c>
      <c r="H9" s="71">
        <f>(C9-E9)/E9</f>
        <v>0.10463500664075304</v>
      </c>
    </row>
    <row r="10" spans="1:8" ht="15.75" customHeight="1">
      <c r="A10" s="72"/>
      <c r="B10" s="72"/>
      <c r="C10" s="72"/>
      <c r="D10" s="72"/>
      <c r="E10" s="72"/>
      <c r="F10" s="72"/>
      <c r="G10" s="72"/>
      <c r="H10" s="72"/>
    </row>
    <row r="19" spans="1:7" ht="15.75" customHeight="1">
      <c r="B19" s="63"/>
      <c r="E19" s="52"/>
      <c r="G19" s="52"/>
    </row>
    <row r="20" spans="1:7" ht="15.75" customHeight="1">
      <c r="A20" s="62"/>
    </row>
  </sheetData>
  <conditionalFormatting sqref="H2:H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zoomScale="94" zoomScaleNormal="94" workbookViewId="0">
      <selection activeCell="U43" sqref="U43"/>
    </sheetView>
  </sheetViews>
  <sheetFormatPr baseColWidth="10" defaultColWidth="10.85546875" defaultRowHeight="15.75" customHeight="1"/>
  <cols>
    <col min="1" max="1" width="39.640625" style="2" customWidth="1"/>
    <col min="2" max="3" width="16.35546875" style="2" customWidth="1"/>
    <col min="4" max="4" width="11.85546875" style="73" customWidth="1"/>
    <col min="5" max="5" width="13.35546875" style="74" customWidth="1"/>
    <col min="6" max="6" width="12.85546875" style="2" customWidth="1"/>
    <col min="7" max="15" width="10.85546875" style="3" customWidth="1"/>
    <col min="16" max="16384" width="10.85546875" style="3"/>
  </cols>
  <sheetData>
    <row r="1" spans="1:6" ht="18" customHeight="1">
      <c r="A1" s="96" t="s">
        <v>82</v>
      </c>
      <c r="B1" s="97"/>
      <c r="C1" s="97"/>
      <c r="D1" s="98"/>
      <c r="E1" s="99"/>
      <c r="F1" s="97"/>
    </row>
    <row r="2" spans="1:6" ht="15.75" customHeight="1">
      <c r="A2" s="75" t="s">
        <v>83</v>
      </c>
      <c r="B2" s="75" t="s">
        <v>84</v>
      </c>
      <c r="C2" s="75" t="s">
        <v>2</v>
      </c>
      <c r="D2" s="76" t="s">
        <v>85</v>
      </c>
      <c r="E2" s="77" t="s">
        <v>86</v>
      </c>
      <c r="F2" s="75" t="s">
        <v>20</v>
      </c>
    </row>
    <row r="3" spans="1:6" ht="15.75" customHeight="1">
      <c r="A3" s="78" t="s">
        <v>87</v>
      </c>
      <c r="B3" s="79" t="s">
        <v>34</v>
      </c>
      <c r="C3" s="79" t="s">
        <v>32</v>
      </c>
      <c r="D3" s="80">
        <v>50</v>
      </c>
      <c r="E3" s="81">
        <f t="shared" ref="E3:E8" si="0">D3/$D$9</f>
        <v>0.20833333333333334</v>
      </c>
      <c r="F3" s="79" t="s">
        <v>29</v>
      </c>
    </row>
    <row r="4" spans="1:6" ht="15.75" customHeight="1">
      <c r="A4" s="78" t="s">
        <v>88</v>
      </c>
      <c r="B4" s="79" t="s">
        <v>43</v>
      </c>
      <c r="C4" s="79" t="s">
        <v>32</v>
      </c>
      <c r="D4" s="80">
        <v>50</v>
      </c>
      <c r="E4" s="81">
        <f t="shared" si="0"/>
        <v>0.20833333333333334</v>
      </c>
      <c r="F4" s="79" t="s">
        <v>29</v>
      </c>
    </row>
    <row r="5" spans="1:6" ht="15.75" customHeight="1">
      <c r="A5" s="78" t="s">
        <v>89</v>
      </c>
      <c r="B5" s="79" t="s">
        <v>48</v>
      </c>
      <c r="C5" s="79" t="s">
        <v>32</v>
      </c>
      <c r="D5" s="80">
        <v>80</v>
      </c>
      <c r="E5" s="81">
        <f t="shared" si="0"/>
        <v>0.33333333333333331</v>
      </c>
      <c r="F5" s="79" t="s">
        <v>29</v>
      </c>
    </row>
    <row r="6" spans="1:6" ht="15.75" customHeight="1">
      <c r="A6" s="78" t="s">
        <v>90</v>
      </c>
      <c r="B6" s="79" t="s">
        <v>48</v>
      </c>
      <c r="C6" s="79" t="s">
        <v>32</v>
      </c>
      <c r="D6" s="80">
        <v>20</v>
      </c>
      <c r="E6" s="81">
        <f t="shared" si="0"/>
        <v>8.3333333333333329E-2</v>
      </c>
      <c r="F6" s="79" t="s">
        <v>91</v>
      </c>
    </row>
    <row r="7" spans="1:6" ht="15.75" customHeight="1">
      <c r="A7" s="78" t="s">
        <v>92</v>
      </c>
      <c r="B7" s="79" t="s">
        <v>60</v>
      </c>
      <c r="C7" s="79" t="s">
        <v>32</v>
      </c>
      <c r="D7" s="80">
        <v>20</v>
      </c>
      <c r="E7" s="81">
        <f t="shared" si="0"/>
        <v>8.3333333333333329E-2</v>
      </c>
      <c r="F7" s="79" t="s">
        <v>61</v>
      </c>
    </row>
    <row r="8" spans="1:6" ht="15.75" customHeight="1">
      <c r="A8" s="78" t="s">
        <v>59</v>
      </c>
      <c r="B8" s="79" t="s">
        <v>48</v>
      </c>
      <c r="C8" s="79" t="s">
        <v>32</v>
      </c>
      <c r="D8" s="80">
        <v>20</v>
      </c>
      <c r="E8" s="81">
        <f t="shared" si="0"/>
        <v>8.3333333333333329E-2</v>
      </c>
      <c r="F8" s="79" t="s">
        <v>61</v>
      </c>
    </row>
    <row r="9" spans="1:6" ht="15.75" customHeight="1">
      <c r="A9" s="82" t="s">
        <v>93</v>
      </c>
      <c r="B9" s="83"/>
      <c r="C9" s="83"/>
      <c r="D9" s="84">
        <f>SUM(D3:D8)</f>
        <v>240</v>
      </c>
      <c r="E9" s="85"/>
      <c r="F9" s="83"/>
    </row>
    <row r="10" spans="1:6" ht="15.75" customHeight="1">
      <c r="A10" s="86"/>
      <c r="B10" s="87"/>
      <c r="C10" s="88"/>
      <c r="D10" s="89"/>
      <c r="E10" s="90"/>
      <c r="F10" s="88"/>
    </row>
    <row r="11" spans="1:6" ht="15.75" customHeight="1">
      <c r="A11" s="86"/>
      <c r="B11" s="87"/>
      <c r="C11" s="88"/>
      <c r="D11" s="89"/>
      <c r="E11" s="90"/>
      <c r="F11" s="88"/>
    </row>
  </sheetData>
  <mergeCells count="1">
    <mergeCell ref="A1:F1"/>
  </mergeCells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zoomScale="135" zoomScaleNormal="135" workbookViewId="0">
      <selection activeCell="I11" sqref="I11"/>
    </sheetView>
  </sheetViews>
  <sheetFormatPr baseColWidth="10" defaultColWidth="10.85546875" defaultRowHeight="15.75" customHeight="1"/>
  <cols>
    <col min="1" max="1" width="39.35546875" style="3" customWidth="1"/>
    <col min="2" max="2" width="14.5" style="5" customWidth="1"/>
    <col min="3" max="3" width="10.140625" style="2" customWidth="1"/>
    <col min="4" max="4" width="11.640625" style="1" customWidth="1"/>
    <col min="5" max="5" width="6.35546875" style="3" customWidth="1"/>
    <col min="6" max="6" width="18.140625" style="2" customWidth="1"/>
    <col min="7" max="15" width="10.85546875" style="3" customWidth="1"/>
    <col min="16" max="16384" width="10.85546875" style="3"/>
  </cols>
  <sheetData>
    <row r="1" spans="1:6" ht="15.75" customHeight="1">
      <c r="A1" s="17" t="s">
        <v>3</v>
      </c>
      <c r="B1" s="91" t="s">
        <v>94</v>
      </c>
      <c r="C1" s="17" t="s">
        <v>95</v>
      </c>
      <c r="D1" s="92" t="s">
        <v>96</v>
      </c>
      <c r="E1" s="93" t="s">
        <v>97</v>
      </c>
      <c r="F1" s="17" t="s">
        <v>19</v>
      </c>
    </row>
    <row r="2" spans="1:6" ht="15.75" customHeight="1">
      <c r="A2" s="62" t="s">
        <v>33</v>
      </c>
      <c r="B2" s="5">
        <v>239.19999694824219</v>
      </c>
      <c r="C2" s="2" t="s">
        <v>98</v>
      </c>
      <c r="D2" s="1" t="s">
        <v>99</v>
      </c>
      <c r="E2" s="43" t="s">
        <v>100</v>
      </c>
      <c r="F2" s="2" t="s">
        <v>36</v>
      </c>
    </row>
    <row r="3" spans="1:6" ht="15.75" customHeight="1">
      <c r="A3" s="62" t="s">
        <v>44</v>
      </c>
      <c r="B3" s="5">
        <v>63.540000915527337</v>
      </c>
      <c r="C3" s="2" t="s">
        <v>98</v>
      </c>
      <c r="D3" s="1" t="s">
        <v>99</v>
      </c>
      <c r="E3" s="43" t="s">
        <v>100</v>
      </c>
      <c r="F3" s="2" t="s">
        <v>36</v>
      </c>
    </row>
    <row r="4" spans="1:6" ht="15.75" customHeight="1">
      <c r="A4" s="62" t="s">
        <v>42</v>
      </c>
      <c r="B4" s="5">
        <v>9.9739999771118164</v>
      </c>
      <c r="C4" s="2" t="s">
        <v>98</v>
      </c>
      <c r="D4" s="1" t="s">
        <v>99</v>
      </c>
      <c r="E4" s="43" t="s">
        <v>100</v>
      </c>
      <c r="F4" s="2" t="s">
        <v>36</v>
      </c>
    </row>
    <row r="5" spans="1:6" ht="15.75" customHeight="1">
      <c r="A5" s="62" t="s">
        <v>47</v>
      </c>
      <c r="B5" s="5">
        <v>55.340000152587891</v>
      </c>
      <c r="C5" s="2" t="s">
        <v>98</v>
      </c>
      <c r="D5" s="1" t="s">
        <v>99</v>
      </c>
      <c r="E5" s="43" t="s">
        <v>100</v>
      </c>
      <c r="F5" s="2" t="s">
        <v>36</v>
      </c>
    </row>
    <row r="6" spans="1:6" ht="15.75" customHeight="1">
      <c r="A6" s="41" t="s">
        <v>63</v>
      </c>
      <c r="B6" s="5">
        <v>828.0999755859375</v>
      </c>
      <c r="C6" s="2" t="s">
        <v>98</v>
      </c>
      <c r="D6" s="1" t="s">
        <v>99</v>
      </c>
      <c r="E6" s="43" t="s">
        <v>100</v>
      </c>
      <c r="F6" s="2" t="s">
        <v>36</v>
      </c>
    </row>
    <row r="7" spans="1:6" ht="15.75" customHeight="1">
      <c r="A7" s="94" t="s">
        <v>59</v>
      </c>
      <c r="B7" s="5">
        <v>1984.5</v>
      </c>
      <c r="C7" s="2" t="s">
        <v>98</v>
      </c>
      <c r="D7" s="1" t="s">
        <v>99</v>
      </c>
      <c r="E7" s="43" t="s">
        <v>100</v>
      </c>
      <c r="F7" s="2" t="s">
        <v>36</v>
      </c>
    </row>
    <row r="8" spans="1:6" ht="15.75" customHeight="1">
      <c r="A8" s="36" t="s">
        <v>71</v>
      </c>
      <c r="B8" s="5">
        <v>23.989999771118161</v>
      </c>
      <c r="C8" s="2" t="s">
        <v>98</v>
      </c>
      <c r="D8" s="1" t="s">
        <v>99</v>
      </c>
      <c r="E8" s="43" t="s">
        <v>100</v>
      </c>
      <c r="F8" s="2" t="s">
        <v>36</v>
      </c>
    </row>
    <row r="9" spans="1:6" ht="15.75" customHeight="1">
      <c r="E9" s="95"/>
    </row>
    <row r="10" spans="1:6" ht="15.75" customHeight="1">
      <c r="E10" s="95"/>
    </row>
    <row r="11" spans="1:6" ht="15.75" customHeight="1">
      <c r="E11" s="95"/>
    </row>
    <row r="12" spans="1:6" ht="15.75" customHeight="1">
      <c r="E12" s="95"/>
    </row>
    <row r="13" spans="1:6" ht="15.75" customHeight="1">
      <c r="E13" s="95"/>
    </row>
    <row r="14" spans="1:6" ht="15.75" customHeight="1">
      <c r="E14" s="95"/>
    </row>
    <row r="16" spans="1:6" ht="15.75" customHeight="1">
      <c r="E16" s="95"/>
    </row>
    <row r="17" spans="5:5" ht="15.75" customHeight="1">
      <c r="E17" s="95"/>
    </row>
    <row r="18" spans="5:5" ht="15.75" customHeight="1">
      <c r="E18" s="95"/>
    </row>
    <row r="19" spans="5:5" ht="15.75" customHeight="1">
      <c r="E19" s="95"/>
    </row>
    <row r="20" spans="5:5" ht="15.75" customHeight="1">
      <c r="E20" s="95"/>
    </row>
    <row r="21" spans="5:5" ht="15.75" customHeight="1">
      <c r="E21" s="95"/>
    </row>
  </sheetData>
  <dataValidations count="1">
    <dataValidation type="list" allowBlank="1" showInputMessage="1" showErrorMessage="1" sqref="C2:C5 C7:C8" xr:uid="{00000000-0002-0000-0300-000000000000}">
      <formula1>"EUR,USD"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Portfolio Overview</vt:lpstr>
      <vt:lpstr>Summary</vt:lpstr>
      <vt:lpstr>Fixed Investment Plan</vt:lpstr>
      <vt:lpstr>Kurse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Amirhoushang Rahmannejad</dc:creator>
  <cp:lastModifiedBy>Amirhoushang Rahmannejad</cp:lastModifiedBy>
  <cp:revision>2</cp:revision>
  <dcterms:created xsi:type="dcterms:W3CDTF">2025-05-23T16:09:32Z</dcterms:created>
  <dcterms:modified xsi:type="dcterms:W3CDTF">2025-09-30T21:24:59Z</dcterms:modified>
</cp:coreProperties>
</file>