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houshang/Desktop/Meine Z/"/>
    </mc:Choice>
  </mc:AlternateContent>
  <xr:revisionPtr revIDLastSave="0" documentId="13_ncr:1_{FF473C04-AB08-714E-8195-F9E893D8446C}" xr6:coauthVersionLast="47" xr6:coauthVersionMax="47" xr10:uidLastSave="{00000000-0000-0000-0000-000000000000}"/>
  <bookViews>
    <workbookView xWindow="0" yWindow="500" windowWidth="28800" windowHeight="16020" activeTab="1" xr2:uid="{016DBADC-76D9-AE44-81C6-6D940A00045E}"/>
  </bookViews>
  <sheets>
    <sheet name="Portfolio Overview" sheetId="1" r:id="rId1"/>
    <sheet name="Summary" sheetId="3" r:id="rId2"/>
    <sheet name="Fixed Investment Plan" sheetId="4" r:id="rId3"/>
    <sheet name="Kurse" sheetId="2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C6" i="3" s="1"/>
  <c r="D6" i="3"/>
  <c r="E6" i="3"/>
  <c r="B4" i="3"/>
  <c r="C4" i="3" s="1"/>
  <c r="D4" i="3"/>
  <c r="E4" i="3"/>
  <c r="E3" i="3"/>
  <c r="E5" i="3"/>
  <c r="E7" i="3"/>
  <c r="E8" i="3"/>
  <c r="E2" i="3"/>
  <c r="D3" i="3"/>
  <c r="D5" i="3"/>
  <c r="D7" i="3"/>
  <c r="D8" i="3"/>
  <c r="D2" i="3"/>
  <c r="B3" i="3"/>
  <c r="B5" i="3"/>
  <c r="B7" i="3"/>
  <c r="C7" i="3" s="1"/>
  <c r="G7" i="3" s="1"/>
  <c r="B8" i="3"/>
  <c r="C8" i="3" s="1"/>
  <c r="H8" i="3" s="1"/>
  <c r="B2" i="3"/>
  <c r="N3" i="1"/>
  <c r="I3" i="1"/>
  <c r="O3" i="1" s="1"/>
  <c r="Q3" i="1" s="1"/>
  <c r="I4" i="1"/>
  <c r="O4" i="1" s="1"/>
  <c r="Q4" i="1" s="1"/>
  <c r="I5" i="1"/>
  <c r="O5" i="1" s="1"/>
  <c r="Q5" i="1" s="1"/>
  <c r="I6" i="1"/>
  <c r="O6" i="1" s="1"/>
  <c r="Q6" i="1" s="1"/>
  <c r="I7" i="1"/>
  <c r="O7" i="1" s="1"/>
  <c r="Q7" i="1" s="1"/>
  <c r="I8" i="1"/>
  <c r="I9" i="1"/>
  <c r="I10" i="1"/>
  <c r="I11" i="1"/>
  <c r="I12" i="1"/>
  <c r="O12" i="1" s="1"/>
  <c r="Q12" i="1" s="1"/>
  <c r="I13" i="1"/>
  <c r="O13" i="1" s="1"/>
  <c r="Q13" i="1" s="1"/>
  <c r="I14" i="1"/>
  <c r="O14" i="1" s="1"/>
  <c r="Q14" i="1" s="1"/>
  <c r="I15" i="1"/>
  <c r="O15" i="1" s="1"/>
  <c r="Q15" i="1" s="1"/>
  <c r="I16" i="1"/>
  <c r="I17" i="1"/>
  <c r="I18" i="1"/>
  <c r="I19" i="1"/>
  <c r="I20" i="1"/>
  <c r="I21" i="1"/>
  <c r="I22" i="1"/>
  <c r="I2" i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N16" i="1"/>
  <c r="N17" i="1"/>
  <c r="N18" i="1"/>
  <c r="N19" i="1"/>
  <c r="N20" i="1"/>
  <c r="N21" i="1"/>
  <c r="N22" i="1"/>
  <c r="M16" i="1"/>
  <c r="M17" i="1"/>
  <c r="M18" i="1"/>
  <c r="M19" i="1"/>
  <c r="M20" i="1"/>
  <c r="M21" i="1"/>
  <c r="M22" i="1"/>
  <c r="K16" i="1"/>
  <c r="K17" i="1"/>
  <c r="K18" i="1"/>
  <c r="K19" i="1"/>
  <c r="K20" i="1"/>
  <c r="K21" i="1"/>
  <c r="K22" i="1"/>
  <c r="G16" i="1"/>
  <c r="G17" i="1"/>
  <c r="G18" i="1"/>
  <c r="G19" i="1"/>
  <c r="G20" i="1"/>
  <c r="G21" i="1"/>
  <c r="G22" i="1"/>
  <c r="G3" i="1"/>
  <c r="G4" i="1"/>
  <c r="G5" i="1"/>
  <c r="G6" i="1"/>
  <c r="G7" i="1"/>
  <c r="G8" i="1"/>
  <c r="G9" i="1"/>
  <c r="G10" i="1"/>
  <c r="G11" i="1"/>
  <c r="G12" i="1"/>
  <c r="G14" i="1"/>
  <c r="G15" i="1"/>
  <c r="G2" i="1"/>
  <c r="M15" i="1"/>
  <c r="K15" i="1"/>
  <c r="M14" i="1"/>
  <c r="N14" i="1" s="1"/>
  <c r="K14" i="1"/>
  <c r="M13" i="1"/>
  <c r="N13" i="1" s="1"/>
  <c r="N12" i="1"/>
  <c r="M12" i="1"/>
  <c r="K12" i="1"/>
  <c r="O11" i="1"/>
  <c r="Q11" i="1" s="1"/>
  <c r="N11" i="1"/>
  <c r="M11" i="1"/>
  <c r="K11" i="1"/>
  <c r="O10" i="1"/>
  <c r="Q10" i="1" s="1"/>
  <c r="N10" i="1"/>
  <c r="M10" i="1"/>
  <c r="K10" i="1"/>
  <c r="O9" i="1"/>
  <c r="Q9" i="1" s="1"/>
  <c r="N9" i="1"/>
  <c r="M9" i="1"/>
  <c r="K9" i="1"/>
  <c r="O8" i="1"/>
  <c r="Q8" i="1" s="1"/>
  <c r="N8" i="1"/>
  <c r="M8" i="1"/>
  <c r="K8" i="1"/>
  <c r="M7" i="1"/>
  <c r="N7" i="1" s="1"/>
  <c r="K7" i="1"/>
  <c r="M6" i="1"/>
  <c r="N6" i="1" s="1"/>
  <c r="K6" i="1"/>
  <c r="M5" i="1"/>
  <c r="N5" i="1" s="1"/>
  <c r="K5" i="1"/>
  <c r="M4" i="1"/>
  <c r="N4" i="1" s="1"/>
  <c r="K4" i="1"/>
  <c r="M3" i="1"/>
  <c r="K3" i="1"/>
  <c r="O2" i="1"/>
  <c r="Q2" i="1" s="1"/>
  <c r="N2" i="1"/>
  <c r="M2" i="1"/>
  <c r="K2" i="1"/>
  <c r="H6" i="3" l="1"/>
  <c r="G6" i="3"/>
  <c r="H4" i="3"/>
  <c r="G4" i="3"/>
  <c r="D9" i="3"/>
  <c r="F8" i="3" s="1"/>
  <c r="E9" i="3"/>
  <c r="C3" i="3"/>
  <c r="G8" i="3"/>
  <c r="H7" i="3"/>
  <c r="C2" i="3"/>
  <c r="C9" i="3" s="1"/>
  <c r="C5" i="3"/>
  <c r="N15" i="1"/>
  <c r="F3" i="3" l="1"/>
  <c r="F6" i="3"/>
  <c r="F5" i="3"/>
  <c r="F7" i="3"/>
  <c r="F4" i="3"/>
  <c r="F2" i="3"/>
  <c r="G2" i="3"/>
  <c r="H2" i="3"/>
  <c r="H9" i="3"/>
  <c r="G5" i="3"/>
  <c r="H5" i="3"/>
  <c r="G3" i="3"/>
  <c r="H3" i="3"/>
  <c r="G9" i="3" l="1"/>
</calcChain>
</file>

<file path=xl/sharedStrings.xml><?xml version="1.0" encoding="utf-8"?>
<sst xmlns="http://schemas.openxmlformats.org/spreadsheetml/2006/main" count="225" uniqueCount="92">
  <si>
    <t>Transaction Date</t>
  </si>
  <si>
    <t>Transaction Time</t>
  </si>
  <si>
    <t>Platform</t>
  </si>
  <si>
    <t>Asset Name</t>
  </si>
  <si>
    <t>ISIN / Ticker Symbol</t>
  </si>
  <si>
    <t>Quantity</t>
  </si>
  <si>
    <t>Cumulativ Quantity</t>
  </si>
  <si>
    <t xml:space="preserve">Unit Price </t>
  </si>
  <si>
    <t>Current Price</t>
  </si>
  <si>
    <t>Invested Amount</t>
  </si>
  <si>
    <t>Cumulativ Invested Amount</t>
  </si>
  <si>
    <t>Transaction Fee</t>
  </si>
  <si>
    <t>Total Cost</t>
  </si>
  <si>
    <t>Cumulative Total Cost</t>
  </si>
  <si>
    <t xml:space="preserve">Portfolio Value </t>
  </si>
  <si>
    <t>Dividend Yield</t>
  </si>
  <si>
    <t>Estimated Dividend</t>
  </si>
  <si>
    <t>Execution Type</t>
  </si>
  <si>
    <t>Investment Strategy</t>
  </si>
  <si>
    <t>Notes</t>
  </si>
  <si>
    <t>Asset Class</t>
  </si>
  <si>
    <t>Aktive</t>
  </si>
  <si>
    <t>Sell Notes</t>
  </si>
  <si>
    <t>Trade Republic</t>
  </si>
  <si>
    <t>Clean Energy USD (Acc)</t>
  </si>
  <si>
    <t>IE00BK5BCH80</t>
  </si>
  <si>
    <t>Sell</t>
  </si>
  <si>
    <t>Learning Only</t>
  </si>
  <si>
    <t>First  ETF - manual test before savings plan</t>
  </si>
  <si>
    <t>ETF</t>
  </si>
  <si>
    <t>No</t>
  </si>
  <si>
    <t>19/05/2025 – ETF sold. Not in final plan. Reinvested in ASML. See line 18 for price and fee (same ETF, sold together).</t>
  </si>
  <si>
    <t>Scalable Capital</t>
  </si>
  <si>
    <t>Amundi Nasdaq 100 EUR (Acc)</t>
  </si>
  <si>
    <t>LU1681038243</t>
  </si>
  <si>
    <t>Savings Plan</t>
  </si>
  <si>
    <t>Core</t>
  </si>
  <si>
    <t>Long-term investment</t>
  </si>
  <si>
    <t>Yes</t>
  </si>
  <si>
    <t>iShares Automation &amp; Robotics (Acc)</t>
  </si>
  <si>
    <t>IE00BYZK4552</t>
  </si>
  <si>
    <t>Scalable MSCI AC World Xtrackers (Acc)</t>
  </si>
  <si>
    <t>LU2903252349</t>
  </si>
  <si>
    <t>iShares Physical Gold ETC</t>
  </si>
  <si>
    <t>IE00B4ND3602</t>
  </si>
  <si>
    <t>Commodity</t>
  </si>
  <si>
    <t>VanEck Defense (Acc)</t>
  </si>
  <si>
    <t>IE000YYE6WK5</t>
  </si>
  <si>
    <t>Xtrackers MSCI Emerging Markets (Acc)</t>
  </si>
  <si>
    <t>IE00BTJRMP35</t>
  </si>
  <si>
    <t>19/05/2025 – ETF sold (€39.43 – €0.99 fee = €38.44). Not in final plan. Reinvested in Nasdaq 100 &amp; Defense.</t>
  </si>
  <si>
    <t>19/05/2025 – ETF sold (€20.25 – €1.00 fee = €19.25). Not in final plan. Reinvested in ASML.</t>
  </si>
  <si>
    <t>Xtrackers Artificial Intelligence &amp; Big Data</t>
  </si>
  <si>
    <t>IE00BGV5VN51</t>
  </si>
  <si>
    <t>19/05/2025 – ETF sold (€4.89 – €1.00 fee = €3.89). Not in final plan. Reinvested in ASML.</t>
  </si>
  <si>
    <t>Semiconductor USD (ACC)</t>
  </si>
  <si>
    <t>IE00BMC38736</t>
  </si>
  <si>
    <t>19/05/2025 – ETF sold (€9.63 – €1.00 fee = €8.63). Not in final plan. Reinvested in ASML (€2.86) &amp; XTZ via Bitvavo (€5.77).</t>
  </si>
  <si>
    <t>Rheinmetall AG</t>
  </si>
  <si>
    <t>DE0007030009</t>
  </si>
  <si>
    <t>Satellite</t>
  </si>
  <si>
    <t>Equity</t>
  </si>
  <si>
    <t>ASML Holding N. V.</t>
  </si>
  <si>
    <t>NL0010273215</t>
  </si>
  <si>
    <t>Long-term investment; Final-plan. €1.00 fee + €3.00 from prior sells.</t>
  </si>
  <si>
    <t>Long-term investment; Final-plan. €0.00 fee + €0,99 from prior sell.</t>
  </si>
  <si>
    <t>Long-term investment; Final-plan.</t>
  </si>
  <si>
    <t>Semiconductor USD (Acc)</t>
  </si>
  <si>
    <t>Rebalancing</t>
  </si>
  <si>
    <t>Note: All timestamps are approximate (1–15 minutes variation possible).</t>
  </si>
  <si>
    <t xml:space="preserve">Current Price </t>
  </si>
  <si>
    <t>Currency</t>
  </si>
  <si>
    <t>Date</t>
  </si>
  <si>
    <t>Time</t>
  </si>
  <si>
    <t>EUR</t>
  </si>
  <si>
    <t>Portfolio Allocation (%)</t>
  </si>
  <si>
    <t>Invested Amount (€)</t>
  </si>
  <si>
    <t>Result (€)</t>
  </si>
  <si>
    <t xml:space="preserve">Return (%) </t>
  </si>
  <si>
    <t>Cumulative Quantity</t>
  </si>
  <si>
    <t>Total Cost (€)</t>
  </si>
  <si>
    <t>Overall Total</t>
  </si>
  <si>
    <t>Sold</t>
  </si>
  <si>
    <t>Fixed Investment Plan-Starting June 2025</t>
  </si>
  <si>
    <t>Asset</t>
  </si>
  <si>
    <t>ISIN</t>
  </si>
  <si>
    <t>Amount (€)</t>
  </si>
  <si>
    <t>Allocation %</t>
  </si>
  <si>
    <t>ETC</t>
  </si>
  <si>
    <t>ASML Holding N.V.</t>
  </si>
  <si>
    <t>Total</t>
  </si>
  <si>
    <t>Current Value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</si>
</sst>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#,##0.0000000\ &quot;€&quot;"/>
    <numFmt numFmtId="166" formatCode="#,##0.000000000\ &quot;€&quot;"/>
    <numFmt numFmtId="167" formatCode="#,##0.00\ &quot;€&quot;"/>
    <numFmt numFmtId="168" formatCode="#,##0.0000\ &quot;€&quot;"/>
    <numFmt numFmtId="169" formatCode="0.000000"/>
    <numFmt numFmtId="170" formatCode="\+0.00000000\ &quot;€&quot;;\-0.00000000\ &quot;€&quot;;0.00000000\ &quot;€&quot;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2"/>
      <color rgb="FF35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Aptos Narrow"/>
      <scheme val="minor"/>
    </font>
    <font>
      <sz val="9"/>
      <color theme="3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DEC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A8A8A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1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165" fontId="5" fillId="2" borderId="2" xfId="0" applyNumberFormat="1" applyFont="1" applyFill="1" applyBorder="1"/>
    <xf numFmtId="167" fontId="5" fillId="2" borderId="2" xfId="0" applyNumberFormat="1" applyFont="1" applyFill="1" applyBorder="1"/>
    <xf numFmtId="10" fontId="5" fillId="2" borderId="2" xfId="1" applyNumberFormat="1" applyFont="1" applyFill="1" applyBorder="1"/>
    <xf numFmtId="168" fontId="5" fillId="2" borderId="2" xfId="0" applyNumberFormat="1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0" xfId="1" applyNumberFormat="1" applyFont="1" applyFill="1" applyAlignment="1">
      <alignment horizontal="center"/>
    </xf>
    <xf numFmtId="0" fontId="5" fillId="2" borderId="0" xfId="0" applyFont="1" applyFill="1"/>
    <xf numFmtId="2" fontId="0" fillId="0" borderId="0" xfId="0" applyNumberFormat="1"/>
    <xf numFmtId="169" fontId="5" fillId="2" borderId="2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0" fontId="3" fillId="3" borderId="2" xfId="1" applyNumberFormat="1" applyFont="1" applyFill="1" applyBorder="1" applyAlignment="1">
      <alignment horizontal="center" vertical="center"/>
    </xf>
    <xf numFmtId="168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0" xfId="1" applyNumberFormat="1" applyFont="1" applyFill="1" applyAlignment="1">
      <alignment horizontal="center"/>
    </xf>
    <xf numFmtId="0" fontId="3" fillId="3" borderId="0" xfId="2" applyFont="1" applyFill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5" fontId="5" fillId="0" borderId="2" xfId="0" applyNumberFormat="1" applyFont="1" applyBorder="1"/>
    <xf numFmtId="167" fontId="5" fillId="0" borderId="2" xfId="0" applyNumberFormat="1" applyFont="1" applyBorder="1"/>
    <xf numFmtId="10" fontId="5" fillId="0" borderId="2" xfId="1" applyNumberFormat="1" applyFont="1" applyFill="1" applyBorder="1"/>
    <xf numFmtId="168" fontId="5" fillId="0" borderId="2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7" fontId="0" fillId="0" borderId="0" xfId="0" applyNumberFormat="1"/>
    <xf numFmtId="14" fontId="5" fillId="0" borderId="0" xfId="0" applyNumberFormat="1" applyFont="1" applyAlignment="1">
      <alignment horizontal="center"/>
    </xf>
    <xf numFmtId="1" fontId="5" fillId="2" borderId="2" xfId="0" applyNumberFormat="1" applyFont="1" applyFill="1" applyBorder="1"/>
    <xf numFmtId="20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169" fontId="5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1" applyFon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/>
    <xf numFmtId="0" fontId="5" fillId="2" borderId="0" xfId="0" applyFont="1" applyFill="1" applyAlignment="1">
      <alignment horizontal="left"/>
    </xf>
    <xf numFmtId="2" fontId="5" fillId="2" borderId="0" xfId="0" applyNumberFormat="1" applyFont="1" applyFill="1"/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167" fontId="10" fillId="0" borderId="0" xfId="0" applyNumberFormat="1" applyFont="1"/>
    <xf numFmtId="167" fontId="10" fillId="0" borderId="0" xfId="0" applyNumberFormat="1" applyFont="1" applyAlignment="1">
      <alignment horizontal="right"/>
    </xf>
    <xf numFmtId="0" fontId="11" fillId="5" borderId="4" xfId="0" applyFont="1" applyFill="1" applyBorder="1" applyAlignment="1">
      <alignment horizontal="left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11" fillId="5" borderId="0" xfId="0" applyNumberFormat="1" applyFont="1" applyFill="1"/>
    <xf numFmtId="0" fontId="9" fillId="0" borderId="0" xfId="0" applyFont="1"/>
    <xf numFmtId="167" fontId="9" fillId="0" borderId="0" xfId="0" applyNumberFormat="1" applyFont="1"/>
    <xf numFmtId="9" fontId="9" fillId="0" borderId="0" xfId="1" applyFont="1" applyAlignment="1"/>
    <xf numFmtId="9" fontId="10" fillId="0" borderId="0" xfId="1" applyFont="1"/>
    <xf numFmtId="9" fontId="11" fillId="5" borderId="0" xfId="1" applyFont="1" applyFill="1"/>
    <xf numFmtId="0" fontId="6" fillId="6" borderId="0" xfId="0" applyFont="1" applyFill="1"/>
    <xf numFmtId="169" fontId="6" fillId="6" borderId="0" xfId="0" applyNumberFormat="1" applyFont="1" applyFill="1" applyAlignment="1">
      <alignment horizontal="right"/>
    </xf>
    <xf numFmtId="167" fontId="6" fillId="6" borderId="0" xfId="0" applyNumberFormat="1" applyFont="1" applyFill="1"/>
    <xf numFmtId="167" fontId="6" fillId="6" borderId="0" xfId="1" applyNumberFormat="1" applyFont="1" applyFill="1" applyAlignment="1">
      <alignment horizontal="right"/>
    </xf>
    <xf numFmtId="9" fontId="6" fillId="6" borderId="0" xfId="1" applyFont="1" applyFill="1"/>
    <xf numFmtId="0" fontId="4" fillId="7" borderId="0" xfId="0" applyFont="1" applyFill="1" applyAlignment="1">
      <alignment horizontal="center"/>
    </xf>
    <xf numFmtId="169" fontId="4" fillId="7" borderId="0" xfId="0" applyNumberFormat="1" applyFont="1" applyFill="1" applyAlignment="1">
      <alignment horizontal="right"/>
    </xf>
    <xf numFmtId="167" fontId="4" fillId="7" borderId="0" xfId="0" applyNumberFormat="1" applyFont="1" applyFill="1"/>
    <xf numFmtId="167" fontId="4" fillId="7" borderId="0" xfId="1" applyNumberFormat="1" applyFont="1" applyFill="1" applyAlignment="1">
      <alignment horizontal="right"/>
    </xf>
    <xf numFmtId="167" fontId="4" fillId="7" borderId="0" xfId="1" applyNumberFormat="1" applyFont="1" applyFill="1" applyAlignment="1">
      <alignment horizontal="center"/>
    </xf>
    <xf numFmtId="9" fontId="4" fillId="7" borderId="0" xfId="1" applyFont="1" applyFill="1" applyAlignment="1">
      <alignment horizontal="center"/>
    </xf>
    <xf numFmtId="170" fontId="4" fillId="7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</cellXfs>
  <cellStyles count="3"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colors>
    <mruColors>
      <color rgb="FFC9CEDC"/>
      <color rgb="FFC9CED4"/>
      <color rgb="FFC9CED0"/>
      <color rgb="FFC9CEE0"/>
      <color rgb="FFBFCDD8"/>
      <color rgb="FFA1A9BB"/>
      <color rgb="FFBFCDD1"/>
      <color rgb="FFAFBFC9"/>
      <color rgb="FFAFBFCE"/>
      <color rgb="FFAFB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Asset Allocation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086454204511124E-2"/>
          <c:y val="4.0012091898428061E-2"/>
          <c:w val="0.85331250777625711"/>
          <c:h val="0.914189699987622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9CE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F-1A4F-8C02-26FADE164F67}"/>
              </c:ext>
            </c:extLst>
          </c:dPt>
          <c:dPt>
            <c:idx val="1"/>
            <c:bubble3D val="0"/>
            <c:spPr>
              <a:solidFill>
                <a:srgbClr val="BFCD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F-1A4F-8C02-26FADE164F67}"/>
              </c:ext>
            </c:extLst>
          </c:dPt>
          <c:dPt>
            <c:idx val="2"/>
            <c:bubble3D val="0"/>
            <c:spPr>
              <a:solidFill>
                <a:srgbClr val="AFBFC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F-1A4F-8C02-26FADE164F67}"/>
              </c:ext>
            </c:extLst>
          </c:dPt>
          <c:dPt>
            <c:idx val="3"/>
            <c:bubble3D val="0"/>
            <c:spPr>
              <a:solidFill>
                <a:srgbClr val="A1A9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F-1A4F-8C02-26FADE164F67}"/>
              </c:ext>
            </c:extLst>
          </c:dPt>
          <c:dPt>
            <c:idx val="4"/>
            <c:bubble3D val="0"/>
            <c:spPr>
              <a:solidFill>
                <a:srgbClr val="CFCA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F-1A4F-8C02-26FADE164F67}"/>
              </c:ext>
            </c:extLst>
          </c:dPt>
          <c:dPt>
            <c:idx val="5"/>
            <c:bubble3D val="0"/>
            <c:spPr>
              <a:solidFill>
                <a:srgbClr val="6A76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5F-1A4F-8C02-26FADE164F67}"/>
              </c:ext>
            </c:extLst>
          </c:dPt>
          <c:dPt>
            <c:idx val="6"/>
            <c:bubble3D val="0"/>
            <c:spPr>
              <a:solidFill>
                <a:srgbClr val="4F5A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5F-1A4F-8C02-26FADE164F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(Summary!$A$2,Summary!$A$3,Summary!$A$4,Summary!$A$5,Summary!$A$6,Summary!$A$7,Summary!$A$8)</c:f>
              <c:strCache>
                <c:ptCount val="7"/>
                <c:pt idx="0">
                  <c:v>Amundi Nasdaq 100 EUR (Acc)</c:v>
                </c:pt>
                <c:pt idx="1">
                  <c:v>iShares Automation &amp; Robotics (Acc)</c:v>
                </c:pt>
                <c:pt idx="2">
                  <c:v>VanEck Defense (Acc)</c:v>
                </c:pt>
                <c:pt idx="3">
                  <c:v>Scalable MSCI AC World Xtrackers (Acc)</c:v>
                </c:pt>
                <c:pt idx="4">
                  <c:v>iShares Physical Gold ETC</c:v>
                </c:pt>
                <c:pt idx="5">
                  <c:v>ASML Holding N. V.</c:v>
                </c:pt>
                <c:pt idx="6">
                  <c:v>Rheinmetall AG</c:v>
                </c:pt>
              </c:strCache>
            </c:strRef>
          </c:cat>
          <c:val>
            <c:numRef>
              <c:f>(Summary!$F$2,Summary!$F$3,Summary!$F$4,Summary!$F$5,Summary!$F$6,Summary!$F$7,Summary!$F$8)</c:f>
              <c:numCache>
                <c:formatCode>0%</c:formatCode>
                <c:ptCount val="7"/>
                <c:pt idx="0">
                  <c:v>0.10714438777696825</c:v>
                </c:pt>
                <c:pt idx="1">
                  <c:v>6.4286632666180954E-2</c:v>
                </c:pt>
                <c:pt idx="2">
                  <c:v>6.4286632666180954E-2</c:v>
                </c:pt>
                <c:pt idx="3">
                  <c:v>8.2136887669823855E-2</c:v>
                </c:pt>
                <c:pt idx="4">
                  <c:v>0.10714438777696825</c:v>
                </c:pt>
                <c:pt idx="5">
                  <c:v>5.3572193888484124E-2</c:v>
                </c:pt>
                <c:pt idx="6">
                  <c:v>2.142887755539365E-2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F-1A4F-8C02-26FADE164F67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1600">
                <a:latin typeface="Arial" panose="020B0604020202020204" pitchFamily="34" charset="0"/>
                <a:cs typeface="Arial" panose="020B0604020202020204" pitchFamily="34" charset="0"/>
              </a:rPr>
              <a:t>Invested Amount vs. Total Cost per Asset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Invested Amount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(Summary!$A$2,Summary!$A$3,Summary!$A$4,Summary!$A$5,Summary!$A$6,Summary!$A$7,Summary!$A$8)</c:f>
              <c:strCache>
                <c:ptCount val="7"/>
                <c:pt idx="0">
                  <c:v>Amundi Nasdaq 100 EUR (Acc)</c:v>
                </c:pt>
                <c:pt idx="1">
                  <c:v>iShares Automation &amp; Robotics (Acc)</c:v>
                </c:pt>
                <c:pt idx="2">
                  <c:v>VanEck Defense (Acc)</c:v>
                </c:pt>
                <c:pt idx="3">
                  <c:v>Scalable MSCI AC World Xtrackers (Acc)</c:v>
                </c:pt>
                <c:pt idx="4">
                  <c:v>iShares Physical Gold ETC</c:v>
                </c:pt>
                <c:pt idx="5">
                  <c:v>ASML Holding N. V.</c:v>
                </c:pt>
                <c:pt idx="6">
                  <c:v>Rheinmetall AG</c:v>
                </c:pt>
              </c:strCache>
            </c:strRef>
          </c:cat>
          <c:val>
            <c:numRef>
              <c:f>(Summary!$D$2,Summary!$D$3,Summary!$D$4,Summary!$D$5,Summary!$D$6,Summary!$D$7,Summary!$D$8)</c:f>
              <c:numCache>
                <c:formatCode>#,##0.00\ "€"</c:formatCode>
                <c:ptCount val="7"/>
                <c:pt idx="0">
                  <c:v>50</c:v>
                </c:pt>
                <c:pt idx="1">
                  <c:v>30</c:v>
                </c:pt>
                <c:pt idx="2">
                  <c:v>30</c:v>
                </c:pt>
                <c:pt idx="3">
                  <c:v>38.33</c:v>
                </c:pt>
                <c:pt idx="4">
                  <c:v>50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1-D648-8416-08DDB773F82A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(Summary!$A$2,Summary!$A$3,Summary!$A$4,Summary!$A$5,Summary!$A$6,Summary!$A$7,Summary!$A$8)</c:f>
              <c:strCache>
                <c:ptCount val="7"/>
                <c:pt idx="0">
                  <c:v>Amundi Nasdaq 100 EUR (Acc)</c:v>
                </c:pt>
                <c:pt idx="1">
                  <c:v>iShares Automation &amp; Robotics (Acc)</c:v>
                </c:pt>
                <c:pt idx="2">
                  <c:v>VanEck Defense (Acc)</c:v>
                </c:pt>
                <c:pt idx="3">
                  <c:v>Scalable MSCI AC World Xtrackers (Acc)</c:v>
                </c:pt>
                <c:pt idx="4">
                  <c:v>iShares Physical Gold ETC</c:v>
                </c:pt>
                <c:pt idx="5">
                  <c:v>ASML Holding N. V.</c:v>
                </c:pt>
                <c:pt idx="6">
                  <c:v>Rheinmetall AG</c:v>
                </c:pt>
              </c:strCache>
            </c:strRef>
          </c:cat>
          <c:val>
            <c:numRef>
              <c:f>(Summary!$E$2,Summary!$E$3,Summary!$E$4,Summary!$E$5,Summary!$E$6,Summary!$E$7,Summary!$E$8)</c:f>
              <c:numCache>
                <c:formatCode>#,##0.00\ "€"</c:formatCode>
                <c:ptCount val="7"/>
                <c:pt idx="0">
                  <c:v>50.989999999999995</c:v>
                </c:pt>
                <c:pt idx="1">
                  <c:v>30</c:v>
                </c:pt>
                <c:pt idx="2">
                  <c:v>30</c:v>
                </c:pt>
                <c:pt idx="3">
                  <c:v>38.33</c:v>
                </c:pt>
                <c:pt idx="4">
                  <c:v>50</c:v>
                </c:pt>
                <c:pt idx="5">
                  <c:v>29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1-D648-8416-08DDB773F8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1419759"/>
        <c:axId val="1070952271"/>
      </c:barChart>
      <c:catAx>
        <c:axId val="10714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070952271"/>
        <c:crosses val="autoZero"/>
        <c:auto val="1"/>
        <c:lblAlgn val="ctr"/>
        <c:lblOffset val="100"/>
        <c:noMultiLvlLbl val="0"/>
      </c:catAx>
      <c:valAx>
        <c:axId val="1070952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0714197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Investment vs. Current Value by Asset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Value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(Summary!$A$3,Summary!$A$4,Summary!$A$5,Summary!$A$6,Summary!$A$7,Summary!$A$8)</c:f>
              <c:strCache>
                <c:ptCount val="6"/>
                <c:pt idx="0">
                  <c:v>iShares Automation &amp; Robotics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ASML Holding N. V.</c:v>
                </c:pt>
                <c:pt idx="5">
                  <c:v>Rheinmetall AG</c:v>
                </c:pt>
              </c:strCache>
            </c:strRef>
          </c:cat>
          <c:val>
            <c:numRef>
              <c:f>(Summary!$C$3,Summary!$C$4,Summary!$C$5,Summary!$C$6,Summary!$C$7,Summary!$C$8)</c:f>
              <c:numCache>
                <c:formatCode>#,##0.00\ "€"</c:formatCode>
                <c:ptCount val="6"/>
                <c:pt idx="0">
                  <c:v>28.910538939999999</c:v>
                </c:pt>
                <c:pt idx="1">
                  <c:v>30.071919079999997</c:v>
                </c:pt>
                <c:pt idx="2">
                  <c:v>37.734306959999998</c:v>
                </c:pt>
                <c:pt idx="3">
                  <c:v>51.004798800000003</c:v>
                </c:pt>
                <c:pt idx="4">
                  <c:v>24.484596</c:v>
                </c:pt>
                <c:pt idx="5">
                  <c:v>10.313394000000001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FA4B-A547-7EC995512F2B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(Summary!$A$3,Summary!$A$4,Summary!$A$5,Summary!$A$6,Summary!$A$7,Summary!$A$8)</c:f>
              <c:strCache>
                <c:ptCount val="6"/>
                <c:pt idx="0">
                  <c:v>iShares Automation &amp; Robotics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ASML Holding N. V.</c:v>
                </c:pt>
                <c:pt idx="5">
                  <c:v>Rheinmetall AG</c:v>
                </c:pt>
              </c:strCache>
            </c:strRef>
          </c:cat>
          <c:val>
            <c:numRef>
              <c:f>(Summary!$E$3,Summary!$E$4,Summary!$E$5,Summary!$E$6,Summary!$E$7,Summary!$E$8)</c:f>
              <c:numCache>
                <c:formatCode>#,##0.00\ "€"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  <c:pt idx="4">
                  <c:v>29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FA4B-A547-7EC995512F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2755023"/>
        <c:axId val="1777170303"/>
      </c:barChart>
      <c:catAx>
        <c:axId val="11527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7170303"/>
        <c:crosses val="autoZero"/>
        <c:auto val="1"/>
        <c:lblAlgn val="ctr"/>
        <c:lblOffset val="100"/>
        <c:noMultiLvlLbl val="0"/>
      </c:catAx>
      <c:valAx>
        <c:axId val="17771703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15275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rgbClr val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Fixed Investment Plan – Rebalancing in June 2025</a:t>
            </a:r>
          </a:p>
          <a:p>
            <a:pPr>
              <a:defRPr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de-DE" sz="1200" b="0" i="1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Initial investments were made earlier. Full structure begins July. </a:t>
            </a:r>
          </a:p>
          <a:p>
            <a:pPr>
              <a:defRPr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rgbClr val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9CE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97-654D-9177-3843A4947B4D}"/>
              </c:ext>
            </c:extLst>
          </c:dPt>
          <c:dPt>
            <c:idx val="1"/>
            <c:bubble3D val="0"/>
            <c:spPr>
              <a:solidFill>
                <a:srgbClr val="BFC5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97-654D-9177-3843A4947B4D}"/>
              </c:ext>
            </c:extLst>
          </c:dPt>
          <c:dPt>
            <c:idx val="2"/>
            <c:bubble3D val="0"/>
            <c:spPr>
              <a:solidFill>
                <a:srgbClr val="AEB8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97-654D-9177-3843A4947B4D}"/>
              </c:ext>
            </c:extLst>
          </c:dPt>
          <c:dPt>
            <c:idx val="3"/>
            <c:bubble3D val="0"/>
            <c:spPr>
              <a:solidFill>
                <a:srgbClr val="A1A9B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97-654D-9177-3843A4947B4D}"/>
              </c:ext>
            </c:extLst>
          </c:dPt>
          <c:dPt>
            <c:idx val="4"/>
            <c:bubble3D val="0"/>
            <c:spPr>
              <a:solidFill>
                <a:srgbClr val="D1CCC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97-654D-9177-3843A4947B4D}"/>
              </c:ext>
            </c:extLst>
          </c:dPt>
          <c:dPt>
            <c:idx val="5"/>
            <c:bubble3D val="0"/>
            <c:spPr>
              <a:solidFill>
                <a:srgbClr val="6A76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897-654D-9177-3843A4947B4D}"/>
              </c:ext>
            </c:extLst>
          </c:dPt>
          <c:dPt>
            <c:idx val="6"/>
            <c:bubble3D val="0"/>
            <c:spPr>
              <a:solidFill>
                <a:srgbClr val="4F5A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97-654D-9177-3843A4947B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('Fixed Investment Plan'!$A$3,'Fixed Investment Plan'!$A$4,'Fixed Investment Plan'!$A$5,'Fixed Investment Plan'!$A$6,'Fixed Investment Plan'!$A$7,'Fixed Investment Plan'!$A$8,'Fixed Investment Plan'!$A$9)</c:f>
              <c:strCache>
                <c:ptCount val="7"/>
                <c:pt idx="0">
                  <c:v>Amundi Nasdaq 100 EUR (Acc)</c:v>
                </c:pt>
                <c:pt idx="1">
                  <c:v>Scalable MSCI AC World Xtrackers (Acc)</c:v>
                </c:pt>
                <c:pt idx="2">
                  <c:v>iShares Automation &amp; Robotics (Acc)</c:v>
                </c:pt>
                <c:pt idx="3">
                  <c:v>VanEck Defense (Acc)</c:v>
                </c:pt>
                <c:pt idx="4">
                  <c:v>iShares Physical Gold ETC</c:v>
                </c:pt>
                <c:pt idx="5">
                  <c:v>ASML Holding N.V.</c:v>
                </c:pt>
                <c:pt idx="6">
                  <c:v>Rheinmetall AG</c:v>
                </c:pt>
              </c:strCache>
            </c:strRef>
          </c:cat>
          <c:val>
            <c:numRef>
              <c:f>('Fixed Investment Plan'!$E$3,'Fixed Investment Plan'!$E$4,'Fixed Investment Plan'!$E$5,'Fixed Investment Plan'!$E$6,'Fixed Investment Plan'!$E$7,'Fixed Investment Plan'!$E$8,'Fixed Investment Plan'!$E$9)</c:f>
              <c:numCache>
                <c:formatCode>0%</c:formatCode>
                <c:ptCount val="7"/>
                <c:pt idx="0">
                  <c:v>0.21279999999999999</c:v>
                </c:pt>
                <c:pt idx="1">
                  <c:v>0.21279999999999999</c:v>
                </c:pt>
                <c:pt idx="2">
                  <c:v>0.17019999999999999</c:v>
                </c:pt>
                <c:pt idx="3">
                  <c:v>0.17019999999999999</c:v>
                </c:pt>
                <c:pt idx="4">
                  <c:v>8.5099999999999995E-2</c:v>
                </c:pt>
                <c:pt idx="5">
                  <c:v>8.5099999999999995E-2</c:v>
                </c:pt>
                <c:pt idx="6">
                  <c:v>6.3799999999999996E-2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7-654D-9177-3843A4947B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16838</xdr:colOff>
      <xdr:row>8</xdr:row>
      <xdr:rowOff>134077</xdr:rowOff>
    </xdr:from>
    <xdr:to>
      <xdr:col>31</xdr:col>
      <xdr:colOff>378393</xdr:colOff>
      <xdr:row>82</xdr:row>
      <xdr:rowOff>4281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641DEF5-0B28-3E61-B756-CF32EFB62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30970</xdr:colOff>
      <xdr:row>9</xdr:row>
      <xdr:rowOff>101600</xdr:rowOff>
    </xdr:from>
    <xdr:to>
      <xdr:col>46</xdr:col>
      <xdr:colOff>609600</xdr:colOff>
      <xdr:row>36</xdr:row>
      <xdr:rowOff>152399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2785DF5-FE8C-DC55-A61B-14ABF22EA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331543</xdr:colOff>
      <xdr:row>53</xdr:row>
      <xdr:rowOff>139504</xdr:rowOff>
    </xdr:from>
    <xdr:to>
      <xdr:col>46</xdr:col>
      <xdr:colOff>711200</xdr:colOff>
      <xdr:row>81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48F473-E69C-C906-BE74-006EDAE7C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43050</xdr:colOff>
      <xdr:row>1</xdr:row>
      <xdr:rowOff>45904</xdr:rowOff>
    </xdr:from>
    <xdr:to>
      <xdr:col>21</xdr:col>
      <xdr:colOff>30602</xdr:colOff>
      <xdr:row>48</xdr:row>
      <xdr:rowOff>15301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35F1E8-052D-87C8-5B03-6661430DE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E7DE-2B2C-AC42-87B5-C4EB1B316CC6}">
  <dimension ref="A1:W22"/>
  <sheetViews>
    <sheetView zoomScale="120" zoomScaleNormal="120" workbookViewId="0">
      <pane ySplit="1" topLeftCell="A2" activePane="bottomLeft" state="frozen"/>
      <selection pane="bottomLeft" activeCell="J2" sqref="J2"/>
    </sheetView>
  </sheetViews>
  <sheetFormatPr baseColWidth="10" defaultRowHeight="16" x14ac:dyDescent="0.2"/>
  <cols>
    <col min="1" max="1" width="17.6640625" style="41" bestFit="1" customWidth="1"/>
    <col min="2" max="2" width="17.83203125" bestFit="1" customWidth="1"/>
    <col min="3" max="3" width="16.33203125" bestFit="1" customWidth="1"/>
    <col min="4" max="4" width="39.33203125" bestFit="1" customWidth="1"/>
    <col min="5" max="5" width="20.33203125" bestFit="1" customWidth="1"/>
    <col min="6" max="6" width="10.5" style="13" bestFit="1" customWidth="1"/>
    <col min="7" max="7" width="19.5" style="13" bestFit="1" customWidth="1"/>
    <col min="8" max="8" width="15" style="40" bestFit="1" customWidth="1"/>
    <col min="9" max="9" width="15.6640625" bestFit="1" customWidth="1"/>
    <col min="10" max="10" width="17.5" bestFit="1" customWidth="1"/>
    <col min="11" max="11" width="28" bestFit="1" customWidth="1"/>
    <col min="12" max="12" width="16.6640625" bestFit="1" customWidth="1"/>
    <col min="14" max="14" width="22.5" bestFit="1" customWidth="1"/>
    <col min="15" max="15" width="15.5" bestFit="1" customWidth="1"/>
    <col min="16" max="16" width="14.6640625" bestFit="1" customWidth="1"/>
    <col min="17" max="17" width="19.83203125" bestFit="1" customWidth="1"/>
    <col min="18" max="18" width="15.83203125" bestFit="1" customWidth="1"/>
    <col min="19" max="19" width="20.6640625" bestFit="1" customWidth="1"/>
    <col min="20" max="20" width="63" bestFit="1" customWidth="1"/>
    <col min="21" max="21" width="12.83203125" bestFit="1" customWidth="1"/>
    <col min="22" max="22" width="7.33203125" bestFit="1" customWidth="1"/>
    <col min="23" max="23" width="114.1640625" bestFit="1" customWidth="1"/>
  </cols>
  <sheetData>
    <row r="1" spans="1:23" x14ac:dyDescent="0.2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21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19" t="s">
        <v>14</v>
      </c>
      <c r="P1" s="22" t="s">
        <v>15</v>
      </c>
      <c r="Q1" s="23" t="s">
        <v>16</v>
      </c>
      <c r="R1" s="17" t="s">
        <v>17</v>
      </c>
      <c r="S1" s="17" t="s">
        <v>18</v>
      </c>
      <c r="T1" s="17" t="s">
        <v>19</v>
      </c>
      <c r="U1" s="24" t="s">
        <v>20</v>
      </c>
      <c r="V1" s="25" t="s">
        <v>21</v>
      </c>
      <c r="W1" s="26" t="s">
        <v>22</v>
      </c>
    </row>
    <row r="2" spans="1:23" x14ac:dyDescent="0.2">
      <c r="A2" s="1">
        <v>45786</v>
      </c>
      <c r="B2" s="2">
        <v>0.60763888888888884</v>
      </c>
      <c r="C2" s="3" t="s">
        <v>23</v>
      </c>
      <c r="D2" s="4" t="s">
        <v>24</v>
      </c>
      <c r="E2" s="3" t="s">
        <v>25</v>
      </c>
      <c r="F2" s="14">
        <v>1.155268</v>
      </c>
      <c r="G2" s="42">
        <f>SUMIFS(F$2:F2, D$2:D2, D2, V$2:V2, "Yes")</f>
        <v>0</v>
      </c>
      <c r="H2" s="6">
        <v>8.66</v>
      </c>
      <c r="I2" s="6">
        <f>IFERROR(VLOOKUP(D2,Kurse!$A:$E,2,FALSE),0)</f>
        <v>8.86</v>
      </c>
      <c r="J2" s="6">
        <v>10</v>
      </c>
      <c r="K2" s="6">
        <f>SUMIFS($J2:J$3, $D2:D$3, D2, $V2:V$3, "Yes")</f>
        <v>0</v>
      </c>
      <c r="L2" s="6">
        <v>1</v>
      </c>
      <c r="M2" s="6" t="str">
        <f>IF(V2="Yes",J2+L2,"")</f>
        <v/>
      </c>
      <c r="N2" s="6">
        <f>SUMIFS($M2:M$3, $D2:D$3, D2, $V2:V$3, "Yes")</f>
        <v>0</v>
      </c>
      <c r="O2" s="5" t="str">
        <f>IF(V2="Yes",F2*I2,"")</f>
        <v/>
      </c>
      <c r="P2" s="7">
        <v>0</v>
      </c>
      <c r="Q2" s="8">
        <f t="shared" ref="Q2:Q22" si="0">IFERROR(O2*P2,0)</f>
        <v>0</v>
      </c>
      <c r="R2" s="3" t="s">
        <v>26</v>
      </c>
      <c r="S2" s="3" t="s">
        <v>27</v>
      </c>
      <c r="T2" s="9" t="s">
        <v>28</v>
      </c>
      <c r="U2" s="10" t="s">
        <v>29</v>
      </c>
      <c r="V2" s="11" t="s">
        <v>30</v>
      </c>
      <c r="W2" s="12" t="s">
        <v>31</v>
      </c>
    </row>
    <row r="3" spans="1:23" x14ac:dyDescent="0.2">
      <c r="A3" s="27">
        <v>45789</v>
      </c>
      <c r="B3" s="28">
        <v>0.46250000000000002</v>
      </c>
      <c r="C3" s="29" t="s">
        <v>32</v>
      </c>
      <c r="D3" s="30" t="s">
        <v>33</v>
      </c>
      <c r="E3" s="29" t="s">
        <v>34</v>
      </c>
      <c r="F3" s="30">
        <v>9.3785999999999994E-2</v>
      </c>
      <c r="G3" s="30">
        <f>SUMIFS(F$3:F3, D$3:D3, D3, V$3:V3, "Yes")</f>
        <v>9.3785999999999994E-2</v>
      </c>
      <c r="H3" s="32">
        <v>213.25</v>
      </c>
      <c r="I3" s="6">
        <f>IFERROR(VLOOKUP(D3,Kurse!$A:$E,2,FALSE),0)</f>
        <v>210.35</v>
      </c>
      <c r="J3" s="32">
        <v>20</v>
      </c>
      <c r="K3" s="32">
        <f>SUMIFS($J$3:J3, $D$3:D3, D3, $V$3:V3, "Yes")</f>
        <v>20</v>
      </c>
      <c r="L3" s="32">
        <v>0</v>
      </c>
      <c r="M3" s="32">
        <f t="shared" ref="M3:M22" si="1">IF(V3="Yes",J3+L3,"")</f>
        <v>20</v>
      </c>
      <c r="N3" s="32">
        <f>SUMIFS($M$3:M3, $D$3:D3, D3, $V$3:V3, "Yes")</f>
        <v>20</v>
      </c>
      <c r="O3" s="31">
        <f t="shared" ref="O3:O22" si="2">IF(V3="Yes",F3*I3,"")</f>
        <v>19.727885099999998</v>
      </c>
      <c r="P3" s="33">
        <v>0</v>
      </c>
      <c r="Q3" s="34">
        <f t="shared" si="0"/>
        <v>0</v>
      </c>
      <c r="R3" s="29" t="s">
        <v>35</v>
      </c>
      <c r="S3" s="29" t="s">
        <v>36</v>
      </c>
      <c r="T3" s="35" t="s">
        <v>37</v>
      </c>
      <c r="U3" s="36" t="s">
        <v>29</v>
      </c>
      <c r="V3" s="37" t="s">
        <v>38</v>
      </c>
      <c r="W3" s="38"/>
    </row>
    <row r="4" spans="1:23" x14ac:dyDescent="0.2">
      <c r="A4" s="27">
        <v>45789</v>
      </c>
      <c r="B4" s="28">
        <v>0.47291666666666665</v>
      </c>
      <c r="C4" s="29" t="s">
        <v>32</v>
      </c>
      <c r="D4" s="30" t="s">
        <v>39</v>
      </c>
      <c r="E4" s="29" t="s">
        <v>40</v>
      </c>
      <c r="F4" s="30">
        <v>2.3581189999999999</v>
      </c>
      <c r="G4" s="30">
        <f>SUMIFS(F$3:F4, D$3:D4, D4, V$3:V4, "Yes")</f>
        <v>2.3581189999999999</v>
      </c>
      <c r="H4" s="32">
        <v>12.722</v>
      </c>
      <c r="I4" s="6">
        <f>IFERROR(VLOOKUP(D4,Kurse!$A:$E,2,FALSE),0)</f>
        <v>12.26</v>
      </c>
      <c r="J4" s="32">
        <v>30</v>
      </c>
      <c r="K4" s="32">
        <f>SUMIFS($J$3:J4, $D$3:D4, D4, $V$3:V4, "Yes")</f>
        <v>30</v>
      </c>
      <c r="L4" s="32">
        <v>0</v>
      </c>
      <c r="M4" s="32">
        <f t="shared" si="1"/>
        <v>30</v>
      </c>
      <c r="N4" s="32">
        <f>SUMIFS($M$3:M4, $D$3:D4, D4, $V$3:V4, "Yes")</f>
        <v>30</v>
      </c>
      <c r="O4" s="31">
        <f t="shared" si="2"/>
        <v>28.910538939999999</v>
      </c>
      <c r="P4" s="33">
        <v>0</v>
      </c>
      <c r="Q4" s="34">
        <f t="shared" si="0"/>
        <v>0</v>
      </c>
      <c r="R4" s="29" t="s">
        <v>35</v>
      </c>
      <c r="S4" s="29" t="s">
        <v>36</v>
      </c>
      <c r="T4" s="35" t="s">
        <v>37</v>
      </c>
      <c r="U4" s="36" t="s">
        <v>29</v>
      </c>
      <c r="V4" s="37" t="s">
        <v>38</v>
      </c>
      <c r="W4" s="38"/>
    </row>
    <row r="5" spans="1:23" x14ac:dyDescent="0.2">
      <c r="A5" s="27">
        <v>45789</v>
      </c>
      <c r="B5" s="28">
        <v>0.47916666666666669</v>
      </c>
      <c r="C5" s="29" t="s">
        <v>32</v>
      </c>
      <c r="D5" s="30" t="s">
        <v>41</v>
      </c>
      <c r="E5" s="29" t="s">
        <v>42</v>
      </c>
      <c r="F5" s="30">
        <v>3.254149</v>
      </c>
      <c r="G5" s="30">
        <f>SUMIFS(F$3:F5, D$3:D5, D5, V$3:V5, "Yes")</f>
        <v>3.254149</v>
      </c>
      <c r="H5" s="32">
        <v>9.2189999999999994</v>
      </c>
      <c r="I5" s="6">
        <f>IFERROR(VLOOKUP(D5,Kurse!$A:$E,2,FALSE),0)</f>
        <v>9.0399999999999991</v>
      </c>
      <c r="J5" s="32">
        <v>30</v>
      </c>
      <c r="K5" s="32">
        <f>SUMIFS($J$3:J5, $D$3:D5, D5, $V$3:V5, "Yes")</f>
        <v>30</v>
      </c>
      <c r="L5" s="32">
        <v>0</v>
      </c>
      <c r="M5" s="32">
        <f t="shared" si="1"/>
        <v>30</v>
      </c>
      <c r="N5" s="32">
        <f>SUMIFS($M$3:M5, $D$3:D5, D5, $V$3:V5, "Yes")</f>
        <v>30</v>
      </c>
      <c r="O5" s="31">
        <f t="shared" si="2"/>
        <v>29.417506959999997</v>
      </c>
      <c r="P5" s="33">
        <v>0</v>
      </c>
      <c r="Q5" s="34">
        <f t="shared" si="0"/>
        <v>0</v>
      </c>
      <c r="R5" s="29" t="s">
        <v>35</v>
      </c>
      <c r="S5" s="29" t="s">
        <v>36</v>
      </c>
      <c r="T5" s="35" t="s">
        <v>37</v>
      </c>
      <c r="U5" s="36" t="s">
        <v>29</v>
      </c>
      <c r="V5" s="37" t="s">
        <v>38</v>
      </c>
      <c r="W5" s="38"/>
    </row>
    <row r="6" spans="1:23" x14ac:dyDescent="0.2">
      <c r="A6" s="27">
        <v>45789</v>
      </c>
      <c r="B6" s="28">
        <v>0.48402777777777778</v>
      </c>
      <c r="C6" s="29" t="s">
        <v>32</v>
      </c>
      <c r="D6" s="30" t="s">
        <v>43</v>
      </c>
      <c r="E6" s="29" t="s">
        <v>44</v>
      </c>
      <c r="F6" s="30">
        <v>0.88920500000000002</v>
      </c>
      <c r="G6" s="30">
        <f>SUMIFS(F$3:F6, D$3:D6, D6, V$3:V6, "Yes")</f>
        <v>0.88920500000000002</v>
      </c>
      <c r="H6" s="32">
        <v>56.23</v>
      </c>
      <c r="I6" s="6">
        <f>IFERROR(VLOOKUP(D6,Kurse!$A:$E,2,FALSE),0)</f>
        <v>57.36</v>
      </c>
      <c r="J6" s="32">
        <v>50</v>
      </c>
      <c r="K6" s="32">
        <f>SUMIFS($J$3:J6, $D$3:D6, D6, $V$3:V6, "Yes")</f>
        <v>50</v>
      </c>
      <c r="L6" s="32">
        <v>0</v>
      </c>
      <c r="M6" s="32">
        <f t="shared" si="1"/>
        <v>50</v>
      </c>
      <c r="N6" s="32">
        <f>SUMIFS($M$3:M6, $D$3:D6, D6, $V$3:V6, "Yes")</f>
        <v>50</v>
      </c>
      <c r="O6" s="31">
        <f t="shared" si="2"/>
        <v>51.004798800000003</v>
      </c>
      <c r="P6" s="33">
        <v>0</v>
      </c>
      <c r="Q6" s="34">
        <f t="shared" si="0"/>
        <v>0</v>
      </c>
      <c r="R6" s="29" t="s">
        <v>35</v>
      </c>
      <c r="S6" s="29" t="s">
        <v>36</v>
      </c>
      <c r="T6" s="35" t="s">
        <v>37</v>
      </c>
      <c r="U6" s="36" t="s">
        <v>45</v>
      </c>
      <c r="V6" s="37" t="s">
        <v>38</v>
      </c>
      <c r="W6" s="38"/>
    </row>
    <row r="7" spans="1:23" x14ac:dyDescent="0.2">
      <c r="A7" s="27">
        <v>45789</v>
      </c>
      <c r="B7" s="28">
        <v>0.49652777777777779</v>
      </c>
      <c r="C7" s="29" t="s">
        <v>32</v>
      </c>
      <c r="D7" s="30" t="s">
        <v>46</v>
      </c>
      <c r="E7" s="29" t="s">
        <v>47</v>
      </c>
      <c r="F7" s="30">
        <v>0.65416399999999997</v>
      </c>
      <c r="G7" s="30">
        <f>SUMIFS(F$3:F7, D$3:D7, D7, V$3:V7, "Yes")</f>
        <v>0.65416399999999997</v>
      </c>
      <c r="H7" s="32">
        <v>45.86</v>
      </c>
      <c r="I7" s="6">
        <f>IFERROR(VLOOKUP(D7,Kurse!$A:$E,2,FALSE),0)</f>
        <v>45.97</v>
      </c>
      <c r="J7" s="32">
        <v>30</v>
      </c>
      <c r="K7" s="32">
        <f>SUMIFS($J$3:J7, $D$3:D7, D7, $V$3:V7, "Yes")</f>
        <v>30</v>
      </c>
      <c r="L7" s="32">
        <v>0</v>
      </c>
      <c r="M7" s="32">
        <f t="shared" si="1"/>
        <v>30</v>
      </c>
      <c r="N7" s="32">
        <f>SUMIFS($M$3:M7, $D$3:D7, D7, $V$3:V7, "Yes")</f>
        <v>30</v>
      </c>
      <c r="O7" s="31">
        <f t="shared" si="2"/>
        <v>30.071919079999997</v>
      </c>
      <c r="P7" s="33">
        <v>0</v>
      </c>
      <c r="Q7" s="34">
        <f t="shared" si="0"/>
        <v>0</v>
      </c>
      <c r="R7" s="29" t="s">
        <v>35</v>
      </c>
      <c r="S7" s="29" t="s">
        <v>36</v>
      </c>
      <c r="T7" s="35" t="s">
        <v>37</v>
      </c>
      <c r="U7" s="36" t="s">
        <v>29</v>
      </c>
      <c r="V7" s="37" t="s">
        <v>38</v>
      </c>
      <c r="W7" s="38"/>
    </row>
    <row r="8" spans="1:23" x14ac:dyDescent="0.2">
      <c r="A8" s="1">
        <v>45789</v>
      </c>
      <c r="B8" s="2">
        <v>0.49722222222222223</v>
      </c>
      <c r="C8" s="3" t="s">
        <v>32</v>
      </c>
      <c r="D8" s="4" t="s">
        <v>48</v>
      </c>
      <c r="E8" s="3" t="s">
        <v>49</v>
      </c>
      <c r="F8" s="4">
        <v>0.71658900000000003</v>
      </c>
      <c r="G8" s="4">
        <f>SUMIFS(F$3:F8, D$3:D8, D8, V$3:V8, "Yes")</f>
        <v>0</v>
      </c>
      <c r="H8" s="6">
        <v>55.82</v>
      </c>
      <c r="I8" s="6">
        <f>IFERROR(VLOOKUP(D8,Kurse!$A:$E,2,FALSE),0)</f>
        <v>54.61</v>
      </c>
      <c r="J8" s="6">
        <v>40</v>
      </c>
      <c r="K8" s="6">
        <f>SUMIFS($J$3:J8, $D$3:D8, D8, $V$3:V8, "Yes")</f>
        <v>0</v>
      </c>
      <c r="L8" s="6">
        <v>0</v>
      </c>
      <c r="M8" s="6" t="str">
        <f t="shared" si="1"/>
        <v/>
      </c>
      <c r="N8" s="6">
        <f>SUMIFS($M$3:M8, $D$3:D8, D8, $V$3:V8, "Yes")</f>
        <v>0</v>
      </c>
      <c r="O8" s="5" t="str">
        <f t="shared" si="2"/>
        <v/>
      </c>
      <c r="P8" s="7">
        <v>0</v>
      </c>
      <c r="Q8" s="8">
        <f t="shared" si="0"/>
        <v>0</v>
      </c>
      <c r="R8" s="3" t="s">
        <v>26</v>
      </c>
      <c r="S8" s="3" t="s">
        <v>27</v>
      </c>
      <c r="T8" s="9" t="s">
        <v>26</v>
      </c>
      <c r="U8" s="10" t="s">
        <v>29</v>
      </c>
      <c r="V8" s="11" t="s">
        <v>30</v>
      </c>
      <c r="W8" s="12" t="s">
        <v>50</v>
      </c>
    </row>
    <row r="9" spans="1:23" x14ac:dyDescent="0.2">
      <c r="A9" s="1">
        <v>45793</v>
      </c>
      <c r="B9" s="2">
        <v>0.5805555555555556</v>
      </c>
      <c r="C9" s="3" t="s">
        <v>23</v>
      </c>
      <c r="D9" s="4" t="s">
        <v>24</v>
      </c>
      <c r="E9" s="3" t="s">
        <v>25</v>
      </c>
      <c r="F9" s="4">
        <v>1.0745750000000001</v>
      </c>
      <c r="G9" s="4">
        <f>SUMIFS(F$3:F9, D$3:D9, D9, V$3:V9, "Yes")</f>
        <v>0</v>
      </c>
      <c r="H9" s="6">
        <v>9.31</v>
      </c>
      <c r="I9" s="6">
        <f>IFERROR(VLOOKUP(D9,Kurse!$A:$E,2,FALSE),0)</f>
        <v>8.86</v>
      </c>
      <c r="J9" s="6">
        <v>10</v>
      </c>
      <c r="K9" s="6">
        <f>SUMIFS($J$3:J9, $D$3:D9, D9, $V$3:V9, "Yes")</f>
        <v>0</v>
      </c>
      <c r="L9" s="6">
        <v>0</v>
      </c>
      <c r="M9" s="6" t="str">
        <f t="shared" si="1"/>
        <v/>
      </c>
      <c r="N9" s="6">
        <f>SUMIFS($M$3:M9, $D$3:D9, D9, $V$3:V9, "Yes")</f>
        <v>0</v>
      </c>
      <c r="O9" s="5" t="str">
        <f t="shared" si="2"/>
        <v/>
      </c>
      <c r="P9" s="7">
        <v>0</v>
      </c>
      <c r="Q9" s="8">
        <f t="shared" si="0"/>
        <v>0</v>
      </c>
      <c r="R9" s="3" t="s">
        <v>26</v>
      </c>
      <c r="S9" s="3" t="s">
        <v>27</v>
      </c>
      <c r="T9" s="9" t="s">
        <v>26</v>
      </c>
      <c r="U9" s="10" t="s">
        <v>29</v>
      </c>
      <c r="V9" s="11" t="s">
        <v>30</v>
      </c>
      <c r="W9" s="12" t="s">
        <v>51</v>
      </c>
    </row>
    <row r="10" spans="1:23" x14ac:dyDescent="0.2">
      <c r="A10" s="1">
        <v>45793</v>
      </c>
      <c r="B10" s="2">
        <v>0.66736111111111107</v>
      </c>
      <c r="C10" s="3" t="s">
        <v>23</v>
      </c>
      <c r="D10" s="4" t="s">
        <v>52</v>
      </c>
      <c r="E10" s="3" t="s">
        <v>53</v>
      </c>
      <c r="F10" s="4">
        <v>3.7919000000000001E-2</v>
      </c>
      <c r="G10" s="4">
        <f>SUMIFS(F$3:F10, D$3:D10, D10, V$3:V10, "Yes")</f>
        <v>0</v>
      </c>
      <c r="H10" s="6">
        <v>131.86000000000001</v>
      </c>
      <c r="I10" s="6">
        <f>IFERROR(VLOOKUP(D10,Kurse!$A:$E,2,FALSE),0)</f>
        <v>127.62</v>
      </c>
      <c r="J10" s="6">
        <v>5</v>
      </c>
      <c r="K10" s="6">
        <f>SUMIFS($J$3:J10, $D$3:D10, D10, $V$3:V10, "Yes")</f>
        <v>0</v>
      </c>
      <c r="L10" s="6">
        <v>0</v>
      </c>
      <c r="M10" s="6" t="str">
        <f t="shared" si="1"/>
        <v/>
      </c>
      <c r="N10" s="6">
        <f>SUMIFS($M$3:M10, $D$3:D10, D10, $V$3:V10, "Yes")</f>
        <v>0</v>
      </c>
      <c r="O10" s="5" t="str">
        <f t="shared" si="2"/>
        <v/>
      </c>
      <c r="P10" s="7">
        <v>0</v>
      </c>
      <c r="Q10" s="8">
        <f t="shared" si="0"/>
        <v>0</v>
      </c>
      <c r="R10" s="3" t="s">
        <v>26</v>
      </c>
      <c r="S10" s="3" t="s">
        <v>27</v>
      </c>
      <c r="T10" s="9" t="s">
        <v>26</v>
      </c>
      <c r="U10" s="10" t="s">
        <v>29</v>
      </c>
      <c r="V10" s="11" t="s">
        <v>30</v>
      </c>
      <c r="W10" s="12" t="s">
        <v>54</v>
      </c>
    </row>
    <row r="11" spans="1:23" x14ac:dyDescent="0.2">
      <c r="A11" s="1">
        <v>45793</v>
      </c>
      <c r="B11" s="2">
        <v>0.56736111111111109</v>
      </c>
      <c r="C11" s="3" t="s">
        <v>23</v>
      </c>
      <c r="D11" s="4" t="s">
        <v>67</v>
      </c>
      <c r="E11" s="3" t="s">
        <v>56</v>
      </c>
      <c r="F11" s="4">
        <v>0.266347</v>
      </c>
      <c r="G11" s="4">
        <f>SUMIFS(F$3:F11, D$3:D11, D11, V$3:V11, "Yes")</f>
        <v>0</v>
      </c>
      <c r="H11" s="6">
        <v>37.549999999999997</v>
      </c>
      <c r="I11" s="6">
        <f>IFERROR(VLOOKUP(D11,Kurse!$A:$E,2,FALSE),0)</f>
        <v>35.29</v>
      </c>
      <c r="J11" s="6">
        <v>10</v>
      </c>
      <c r="K11" s="6">
        <f>SUMIFS($J$3:J11, $D$3:D11, D11, $V$3:V11, "Yes")</f>
        <v>0</v>
      </c>
      <c r="L11" s="6">
        <v>0</v>
      </c>
      <c r="M11" s="6" t="str">
        <f t="shared" si="1"/>
        <v/>
      </c>
      <c r="N11" s="6">
        <f>SUMIFS($M$3:M11, $D$3:D11, D11, $V$3:V11, "Yes")</f>
        <v>0</v>
      </c>
      <c r="O11" s="5" t="str">
        <f t="shared" si="2"/>
        <v/>
      </c>
      <c r="P11" s="7">
        <v>0</v>
      </c>
      <c r="Q11" s="8">
        <f t="shared" si="0"/>
        <v>0</v>
      </c>
      <c r="R11" s="3" t="s">
        <v>26</v>
      </c>
      <c r="S11" s="3" t="s">
        <v>27</v>
      </c>
      <c r="T11" s="9" t="s">
        <v>26</v>
      </c>
      <c r="U11" s="10" t="s">
        <v>29</v>
      </c>
      <c r="V11" s="11" t="s">
        <v>30</v>
      </c>
      <c r="W11" s="12" t="s">
        <v>57</v>
      </c>
    </row>
    <row r="12" spans="1:23" x14ac:dyDescent="0.2">
      <c r="A12" s="27">
        <v>45793</v>
      </c>
      <c r="B12" s="28">
        <v>0.47916666666666669</v>
      </c>
      <c r="C12" s="29" t="s">
        <v>23</v>
      </c>
      <c r="D12" s="30" t="s">
        <v>58</v>
      </c>
      <c r="E12" s="29" t="s">
        <v>59</v>
      </c>
      <c r="F12" s="30">
        <v>5.8120000000000003E-3</v>
      </c>
      <c r="G12" s="30">
        <f>SUMIFS(F$3:F12, D$3:D12, D12, V$3:V12, "Yes")</f>
        <v>5.8120000000000003E-3</v>
      </c>
      <c r="H12" s="32">
        <v>1720.5</v>
      </c>
      <c r="I12" s="6">
        <f>IFERROR(VLOOKUP(D12,Kurse!$A:$E,2,FALSE),0)</f>
        <v>1774.5</v>
      </c>
      <c r="J12" s="32">
        <v>10</v>
      </c>
      <c r="K12" s="32">
        <f>SUMIFS($J$3:J12, $D$3:D12, D12, $V$3:V12, "Yes")</f>
        <v>10</v>
      </c>
      <c r="L12" s="32">
        <v>0</v>
      </c>
      <c r="M12" s="32">
        <f t="shared" si="1"/>
        <v>10</v>
      </c>
      <c r="N12" s="32">
        <f>SUMIFS($M$3:M12, $D$3:D12, D12, $V$3:V12, "Yes")</f>
        <v>10</v>
      </c>
      <c r="O12" s="31">
        <f t="shared" si="2"/>
        <v>10.313394000000001</v>
      </c>
      <c r="P12" s="33">
        <v>4.7000000000000002E-3</v>
      </c>
      <c r="Q12" s="34">
        <f t="shared" si="0"/>
        <v>4.8472951800000004E-2</v>
      </c>
      <c r="R12" s="29" t="s">
        <v>35</v>
      </c>
      <c r="S12" s="29" t="s">
        <v>60</v>
      </c>
      <c r="T12" s="35" t="s">
        <v>37</v>
      </c>
      <c r="U12" s="36" t="s">
        <v>61</v>
      </c>
      <c r="V12" s="37" t="s">
        <v>38</v>
      </c>
      <c r="W12" s="38"/>
    </row>
    <row r="13" spans="1:23" x14ac:dyDescent="0.2">
      <c r="A13" s="27">
        <v>45796</v>
      </c>
      <c r="B13" s="28">
        <v>0.46875</v>
      </c>
      <c r="C13" s="29" t="s">
        <v>23</v>
      </c>
      <c r="D13" s="30" t="s">
        <v>62</v>
      </c>
      <c r="E13" s="29" t="s">
        <v>63</v>
      </c>
      <c r="F13" s="30">
        <v>3.8137999999999998E-2</v>
      </c>
      <c r="G13" s="30">
        <v>3.8137999999999998E-2</v>
      </c>
      <c r="H13" s="32">
        <v>681.72</v>
      </c>
      <c r="I13" s="6">
        <f>IFERROR(VLOOKUP(D13,Kurse!$A:$E,2,FALSE),0)</f>
        <v>642</v>
      </c>
      <c r="J13" s="32">
        <v>25</v>
      </c>
      <c r="K13" s="32">
        <v>25</v>
      </c>
      <c r="L13" s="32">
        <v>4</v>
      </c>
      <c r="M13" s="32">
        <f t="shared" si="1"/>
        <v>29</v>
      </c>
      <c r="N13" s="32">
        <f>SUMIFS($M$3:M13, $D$3:D13, D13, $V$3:V13, "Yes")</f>
        <v>29</v>
      </c>
      <c r="O13" s="31">
        <f t="shared" si="2"/>
        <v>24.484596</v>
      </c>
      <c r="P13" s="33">
        <v>9.7000000000000003E-3</v>
      </c>
      <c r="Q13" s="34">
        <f t="shared" si="0"/>
        <v>0.2375005812</v>
      </c>
      <c r="R13" s="29" t="s">
        <v>35</v>
      </c>
      <c r="S13" s="29" t="s">
        <v>60</v>
      </c>
      <c r="T13" s="35" t="s">
        <v>64</v>
      </c>
      <c r="U13" s="36" t="s">
        <v>61</v>
      </c>
      <c r="V13" s="37" t="s">
        <v>38</v>
      </c>
      <c r="W13" s="38"/>
    </row>
    <row r="14" spans="1:23" x14ac:dyDescent="0.2">
      <c r="A14" s="27">
        <v>45799</v>
      </c>
      <c r="B14" s="28">
        <v>0.49583333333333335</v>
      </c>
      <c r="C14" s="29" t="s">
        <v>32</v>
      </c>
      <c r="D14" s="30" t="s">
        <v>33</v>
      </c>
      <c r="E14" s="29" t="s">
        <v>34</v>
      </c>
      <c r="F14" s="30">
        <v>0.14099999999999999</v>
      </c>
      <c r="G14" s="30">
        <f>SUMIFS(F$3:F14, D$3:D14, D14, V$3:V14, "Yes")</f>
        <v>0.23478599999999999</v>
      </c>
      <c r="H14" s="32">
        <v>213.5</v>
      </c>
      <c r="I14" s="6">
        <f>IFERROR(VLOOKUP(D14,Kurse!$A:$E,2,FALSE),0)</f>
        <v>210.35</v>
      </c>
      <c r="J14" s="32">
        <v>30</v>
      </c>
      <c r="K14" s="32">
        <f>SUMIFS($J$3:J14, $D$3:D14, D14, $V$3:V14, "Yes")</f>
        <v>50</v>
      </c>
      <c r="L14" s="32">
        <v>0.99</v>
      </c>
      <c r="M14" s="32">
        <f t="shared" si="1"/>
        <v>30.99</v>
      </c>
      <c r="N14" s="32">
        <f>SUMIFS($M$3:M14, $D$3:D14, D14, $V$3:V14, "Yes")</f>
        <v>50.989999999999995</v>
      </c>
      <c r="O14" s="31">
        <f t="shared" si="2"/>
        <v>29.659349999999996</v>
      </c>
      <c r="P14" s="33">
        <v>0</v>
      </c>
      <c r="Q14" s="34">
        <f t="shared" si="0"/>
        <v>0</v>
      </c>
      <c r="R14" s="29" t="s">
        <v>68</v>
      </c>
      <c r="S14" s="29" t="s">
        <v>36</v>
      </c>
      <c r="T14" s="35" t="s">
        <v>65</v>
      </c>
      <c r="U14" s="36" t="s">
        <v>29</v>
      </c>
      <c r="V14" s="37" t="s">
        <v>38</v>
      </c>
      <c r="W14" s="38"/>
    </row>
    <row r="15" spans="1:23" x14ac:dyDescent="0.2">
      <c r="A15" s="27">
        <v>45799</v>
      </c>
      <c r="B15" s="39">
        <v>0.46597222222222223</v>
      </c>
      <c r="C15" s="29" t="s">
        <v>32</v>
      </c>
      <c r="D15" s="30" t="s">
        <v>41</v>
      </c>
      <c r="E15" s="29" t="s">
        <v>42</v>
      </c>
      <c r="F15" s="30">
        <v>0.92</v>
      </c>
      <c r="G15" s="30">
        <f>SUMIFS(F$3:F15, D$3:D15, D15, V$3:V15, "Yes")</f>
        <v>4.1741489999999999</v>
      </c>
      <c r="H15" s="32">
        <v>9.17</v>
      </c>
      <c r="I15" s="6">
        <f>IFERROR(VLOOKUP(D15,Kurse!$A:$E,2,FALSE),0)</f>
        <v>9.0399999999999991</v>
      </c>
      <c r="J15" s="32">
        <v>8.33</v>
      </c>
      <c r="K15" s="32">
        <f>SUMIFS($J$3:J15, $D$3:D15, D15, $V$3:V15, "Yes")</f>
        <v>38.33</v>
      </c>
      <c r="L15" s="32">
        <v>0</v>
      </c>
      <c r="M15" s="32">
        <f t="shared" si="1"/>
        <v>8.33</v>
      </c>
      <c r="N15" s="32">
        <f>SUMIFS($M$3:M15, $D$3:D15, D15, $V$3:V15, "Yes")</f>
        <v>38.33</v>
      </c>
      <c r="O15" s="31">
        <f t="shared" si="2"/>
        <v>8.3167999999999989</v>
      </c>
      <c r="P15" s="33">
        <v>0</v>
      </c>
      <c r="Q15" s="34">
        <f t="shared" si="0"/>
        <v>0</v>
      </c>
      <c r="R15" s="29" t="s">
        <v>68</v>
      </c>
      <c r="S15" s="29" t="s">
        <v>36</v>
      </c>
      <c r="T15" s="35" t="s">
        <v>66</v>
      </c>
      <c r="U15" s="36" t="s">
        <v>29</v>
      </c>
      <c r="V15" s="37" t="s">
        <v>38</v>
      </c>
      <c r="W15" s="38"/>
    </row>
    <row r="16" spans="1:23" x14ac:dyDescent="0.2">
      <c r="B16" s="43"/>
      <c r="C16" s="44"/>
      <c r="D16" s="38"/>
      <c r="E16" s="44"/>
      <c r="G16" s="30">
        <f>SUMIFS(F$3:F16, D$3:D16, D16, V$3:V16, "Yes")</f>
        <v>0</v>
      </c>
      <c r="I16" s="6">
        <f>IFERROR(VLOOKUP(D16,Kurse!$A:$E,2,FALSE),0)</f>
        <v>0</v>
      </c>
      <c r="K16" s="32">
        <f>SUMIFS($J$3:J16, $D$3:D16, D16, $V$3:V16, "Yes")</f>
        <v>0</v>
      </c>
      <c r="M16" s="32" t="str">
        <f t="shared" si="1"/>
        <v/>
      </c>
      <c r="N16" s="32">
        <f>SUMIFS($M$3:M16, $D$3:D16, D16, $V$3:V16, "Yes")</f>
        <v>0</v>
      </c>
      <c r="O16" s="31" t="str">
        <f t="shared" si="2"/>
        <v/>
      </c>
      <c r="Q16" s="34">
        <f t="shared" si="0"/>
        <v>0</v>
      </c>
    </row>
    <row r="17" spans="7:17" x14ac:dyDescent="0.2">
      <c r="G17" s="30">
        <f>SUMIFS(F$3:F17, D$3:D17, D17, V$3:V17, "Yes")</f>
        <v>0</v>
      </c>
      <c r="I17" s="6">
        <f>IFERROR(VLOOKUP(D17,Kurse!$A:$E,2,FALSE),0)</f>
        <v>0</v>
      </c>
      <c r="K17" s="32">
        <f>SUMIFS($J$3:J17, $D$3:D17, D17, $V$3:V17, "Yes")</f>
        <v>0</v>
      </c>
      <c r="M17" s="32" t="str">
        <f t="shared" si="1"/>
        <v/>
      </c>
      <c r="N17" s="32">
        <f>SUMIFS($M$3:M17, $D$3:D17, D17, $V$3:V17, "Yes")</f>
        <v>0</v>
      </c>
      <c r="O17" s="31" t="str">
        <f t="shared" si="2"/>
        <v/>
      </c>
      <c r="Q17" s="34">
        <f t="shared" si="0"/>
        <v>0</v>
      </c>
    </row>
    <row r="18" spans="7:17" x14ac:dyDescent="0.2">
      <c r="G18" s="30">
        <f>SUMIFS(F$3:F18, D$3:D18, D18, V$3:V18, "Yes")</f>
        <v>0</v>
      </c>
      <c r="I18" s="6">
        <f>IFERROR(VLOOKUP(D18,Kurse!$A:$E,2,FALSE),0)</f>
        <v>0</v>
      </c>
      <c r="K18" s="32">
        <f>SUMIFS($J$3:J18, $D$3:D18, D18, $V$3:V18, "Yes")</f>
        <v>0</v>
      </c>
      <c r="M18" s="32" t="str">
        <f t="shared" si="1"/>
        <v/>
      </c>
      <c r="N18" s="32">
        <f>SUMIFS($M$3:M18, $D$3:D18, D18, $V$3:V18, "Yes")</f>
        <v>0</v>
      </c>
      <c r="O18" s="31" t="str">
        <f t="shared" si="2"/>
        <v/>
      </c>
      <c r="Q18" s="34">
        <f t="shared" si="0"/>
        <v>0</v>
      </c>
    </row>
    <row r="19" spans="7:17" x14ac:dyDescent="0.2">
      <c r="G19" s="30">
        <f>SUMIFS(F$3:F19, D$3:D19, D19, V$3:V19, "Yes")</f>
        <v>0</v>
      </c>
      <c r="I19" s="6">
        <f>IFERROR(VLOOKUP(D19,Kurse!$A:$E,2,FALSE),0)</f>
        <v>0</v>
      </c>
      <c r="K19" s="32">
        <f>SUMIFS($J$3:J19, $D$3:D19, D19, $V$3:V19, "Yes")</f>
        <v>0</v>
      </c>
      <c r="M19" s="32" t="str">
        <f t="shared" si="1"/>
        <v/>
      </c>
      <c r="N19" s="32">
        <f>SUMIFS($M$3:M19, $D$3:D19, D19, $V$3:V19, "Yes")</f>
        <v>0</v>
      </c>
      <c r="O19" s="31" t="str">
        <f t="shared" si="2"/>
        <v/>
      </c>
      <c r="Q19" s="34">
        <f t="shared" si="0"/>
        <v>0</v>
      </c>
    </row>
    <row r="20" spans="7:17" x14ac:dyDescent="0.2">
      <c r="G20" s="30">
        <f>SUMIFS(F$3:F20, D$3:D20, D20, V$3:V20, "Yes")</f>
        <v>0</v>
      </c>
      <c r="I20" s="6">
        <f>IFERROR(VLOOKUP(D20,Kurse!$A:$E,2,FALSE),0)</f>
        <v>0</v>
      </c>
      <c r="K20" s="32">
        <f>SUMIFS($J$3:J20, $D$3:D20, D20, $V$3:V20, "Yes")</f>
        <v>0</v>
      </c>
      <c r="M20" s="32" t="str">
        <f t="shared" si="1"/>
        <v/>
      </c>
      <c r="N20" s="32">
        <f>SUMIFS($M$3:M20, $D$3:D20, D20, $V$3:V20, "Yes")</f>
        <v>0</v>
      </c>
      <c r="O20" s="31" t="str">
        <f t="shared" si="2"/>
        <v/>
      </c>
      <c r="Q20" s="34">
        <f t="shared" si="0"/>
        <v>0</v>
      </c>
    </row>
    <row r="21" spans="7:17" x14ac:dyDescent="0.2">
      <c r="G21" s="30">
        <f>SUMIFS(F$3:F21, D$3:D21, D21, V$3:V21, "Yes")</f>
        <v>0</v>
      </c>
      <c r="I21" s="6">
        <f>IFERROR(VLOOKUP(D21,Kurse!$A:$E,2,FALSE),0)</f>
        <v>0</v>
      </c>
      <c r="K21" s="32">
        <f>SUMIFS($J$3:J21, $D$3:D21, D21, $V$3:V21, "Yes")</f>
        <v>0</v>
      </c>
      <c r="M21" s="32" t="str">
        <f t="shared" si="1"/>
        <v/>
      </c>
      <c r="N21" s="32">
        <f>SUMIFS($M$3:M21, $D$3:D21, D21, $V$3:V21, "Yes")</f>
        <v>0</v>
      </c>
      <c r="O21" s="31" t="str">
        <f t="shared" si="2"/>
        <v/>
      </c>
      <c r="Q21" s="34">
        <f t="shared" si="0"/>
        <v>0</v>
      </c>
    </row>
    <row r="22" spans="7:17" x14ac:dyDescent="0.2">
      <c r="G22" s="30">
        <f>SUMIFS(F$3:F22, D$3:D22, D22, V$3:V22, "Yes")</f>
        <v>0</v>
      </c>
      <c r="I22" s="6">
        <f>IFERROR(VLOOKUP(D22,Kurse!$A:$E,2,FALSE),0)</f>
        <v>0</v>
      </c>
      <c r="K22" s="32">
        <f>SUMIFS($J$3:J22, $D$3:D22, D22, $V$3:V22, "Yes")</f>
        <v>0</v>
      </c>
      <c r="M22" s="32" t="str">
        <f t="shared" si="1"/>
        <v/>
      </c>
      <c r="N22" s="32">
        <f>SUMIFS($M$3:M22, $D$3:D22, D22, $V$3:V22, "Yes")</f>
        <v>0</v>
      </c>
      <c r="O22" s="31" t="str">
        <f t="shared" si="2"/>
        <v/>
      </c>
      <c r="Q22" s="34">
        <f t="shared" si="0"/>
        <v>0</v>
      </c>
    </row>
  </sheetData>
  <dataValidations count="6">
    <dataValidation type="list" allowBlank="1" showInputMessage="1" showErrorMessage="1" sqref="V2:V15" xr:uid="{BDF36AFA-4FBD-A145-9BFD-44EB64ED536F}">
      <formula1>"Yes,No"</formula1>
    </dataValidation>
    <dataValidation type="list" allowBlank="1" showInputMessage="1" showErrorMessage="1" sqref="U2:U12" xr:uid="{2A68596A-EEF0-1C4A-AF1A-2E28968887BC}">
      <formula1>"ETF,Cryptocurrency,Commodity,Cash,Other,Equity"</formula1>
    </dataValidation>
    <dataValidation type="list" allowBlank="1" showInputMessage="1" showErrorMessage="1" sqref="S2:S15" xr:uid="{4E00A8F3-90A6-C04F-8F87-81EEF981E917}">
      <formula1>"Core,Satellite,Speculative,Mini,Learning Only"</formula1>
    </dataValidation>
    <dataValidation type="list" allowBlank="1" showInputMessage="1" showErrorMessage="1" sqref="U14:U15" xr:uid="{65440BA5-D637-CF4D-84DF-A68FC0DE34C3}">
      <formula1>"ETF,Stock,Cryptocurrency,Commodity,Cash,Other"</formula1>
    </dataValidation>
    <dataValidation type="list" allowBlank="1" showInputMessage="1" showErrorMessage="1" sqref="C2:C301" xr:uid="{9A067F87-1089-274D-9A53-36B8F1D1D2D3}">
      <formula1>"Scalable Capital,Trade Republic,Other"</formula1>
    </dataValidation>
    <dataValidation type="list" allowBlank="1" showInputMessage="1" showErrorMessage="1" sqref="R2:R50" xr:uid="{A2056B3B-EAAA-684D-BA5A-78CD5D7BBC07}">
      <formula1>"Savings Plan,One-Time Purchase,Sell,Rebalancing,Test,Dividend"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BCEA-8AF7-9B4B-A5F0-FAD6F1A09893}">
  <dimension ref="A1:H19"/>
  <sheetViews>
    <sheetView tabSelected="1" zoomScale="65" zoomScaleNormal="38" workbookViewId="0">
      <pane ySplit="1" topLeftCell="A2" activePane="bottomLeft" state="frozen"/>
      <selection pane="bottomLeft" activeCell="AH40" sqref="AH40"/>
    </sheetView>
  </sheetViews>
  <sheetFormatPr baseColWidth="10" defaultRowHeight="16" x14ac:dyDescent="0.2"/>
  <cols>
    <col min="1" max="1" width="39.33203125" bestFit="1" customWidth="1"/>
    <col min="2" max="2" width="21" style="52" bestFit="1" customWidth="1"/>
    <col min="3" max="3" width="17.5" style="40" bestFit="1" customWidth="1"/>
    <col min="4" max="4" width="20.5" style="54" bestFit="1" customWidth="1"/>
    <col min="5" max="5" width="14.33203125" style="55" bestFit="1" customWidth="1"/>
    <col min="6" max="6" width="23.83203125" style="53" bestFit="1" customWidth="1"/>
    <col min="7" max="7" width="10.5" bestFit="1" customWidth="1"/>
    <col min="8" max="8" width="12" style="53" bestFit="1" customWidth="1"/>
  </cols>
  <sheetData>
    <row r="1" spans="1:8" x14ac:dyDescent="0.2">
      <c r="A1" s="80" t="s">
        <v>3</v>
      </c>
      <c r="B1" s="81" t="s">
        <v>79</v>
      </c>
      <c r="C1" s="82" t="s">
        <v>91</v>
      </c>
      <c r="D1" s="83" t="s">
        <v>76</v>
      </c>
      <c r="E1" s="84" t="s">
        <v>80</v>
      </c>
      <c r="F1" s="85" t="s">
        <v>75</v>
      </c>
      <c r="G1" s="86" t="s">
        <v>77</v>
      </c>
      <c r="H1" s="85" t="s">
        <v>78</v>
      </c>
    </row>
    <row r="2" spans="1:8" x14ac:dyDescent="0.2">
      <c r="A2" s="48" t="s">
        <v>33</v>
      </c>
      <c r="B2" s="51">
        <f>SUMIF('Portfolio Overview'!D:D, A2, 'Portfolio Overview'!F:F)</f>
        <v>0.23478599999999999</v>
      </c>
      <c r="C2" s="40">
        <f>B2 * VLOOKUP(A2, 'Portfolio Overview'!D:I, 6, FALSE)</f>
        <v>49.387235099999998</v>
      </c>
      <c r="D2" s="54">
        <f>SUMIF('Portfolio Overview'!D:D, A2, 'Portfolio Overview'!J:J)</f>
        <v>50</v>
      </c>
      <c r="E2" s="56">
        <f>SUMIF('Portfolio Overview'!D:D, A2, 'Portfolio Overview'!M:M)</f>
        <v>50.989999999999995</v>
      </c>
      <c r="F2" s="53">
        <f>D2 / SUM(D:D)</f>
        <v>0.10714438777696825</v>
      </c>
      <c r="G2" s="40">
        <f t="shared" ref="G2:G8" si="0">C2-E2</f>
        <v>-1.6027648999999968</v>
      </c>
      <c r="H2" s="53">
        <f t="shared" ref="H2:H8" si="1">IF(E2=0, "", (C2 - E2)/E2)</f>
        <v>-3.1432926063934045E-2</v>
      </c>
    </row>
    <row r="3" spans="1:8" x14ac:dyDescent="0.2">
      <c r="A3" s="48" t="s">
        <v>39</v>
      </c>
      <c r="B3" s="51">
        <f>SUMIF('Portfolio Overview'!D:D, A3, 'Portfolio Overview'!F:F)</f>
        <v>2.3581189999999999</v>
      </c>
      <c r="C3" s="40">
        <f>B3 * VLOOKUP(A3, 'Portfolio Overview'!D:I, 6, FALSE)</f>
        <v>28.910538939999999</v>
      </c>
      <c r="D3" s="54">
        <f>SUMIF('Portfolio Overview'!D:D, A3, 'Portfolio Overview'!J:J)</f>
        <v>30</v>
      </c>
      <c r="E3" s="56">
        <f>SUMIF('Portfolio Overview'!D:D, A3, 'Portfolio Overview'!M:M)</f>
        <v>30</v>
      </c>
      <c r="F3" s="53">
        <f t="shared" ref="F3:F7" si="2">D3 / SUM(D:D)</f>
        <v>6.4286632666180954E-2</v>
      </c>
      <c r="G3" s="40">
        <f t="shared" si="0"/>
        <v>-1.0894610600000014</v>
      </c>
      <c r="H3" s="53">
        <f t="shared" si="1"/>
        <v>-3.6315368666666716E-2</v>
      </c>
    </row>
    <row r="4" spans="1:8" x14ac:dyDescent="0.2">
      <c r="A4" s="48" t="s">
        <v>46</v>
      </c>
      <c r="B4" s="51">
        <f>SUMIF('Portfolio Overview'!D:D, A4, 'Portfolio Overview'!F:F)</f>
        <v>0.65416399999999997</v>
      </c>
      <c r="C4" s="40">
        <f>B4 * VLOOKUP(A4, 'Portfolio Overview'!D:I, 6, FALSE)</f>
        <v>30.071919079999997</v>
      </c>
      <c r="D4" s="54">
        <f>SUMIF('Portfolio Overview'!D:D, A4, 'Portfolio Overview'!J:J)</f>
        <v>30</v>
      </c>
      <c r="E4" s="56">
        <f>SUMIF('Portfolio Overview'!D:D, A4, 'Portfolio Overview'!M:M)</f>
        <v>30</v>
      </c>
      <c r="F4" s="53">
        <f>D4 / SUM(D:D)</f>
        <v>6.4286632666180954E-2</v>
      </c>
      <c r="G4" s="40">
        <f t="shared" si="0"/>
        <v>7.1919079999997138E-2</v>
      </c>
      <c r="H4" s="53">
        <f t="shared" si="1"/>
        <v>2.3973026666665714E-3</v>
      </c>
    </row>
    <row r="5" spans="1:8" x14ac:dyDescent="0.2">
      <c r="A5" s="48" t="s">
        <v>41</v>
      </c>
      <c r="B5" s="51">
        <f>SUMIF('Portfolio Overview'!D:D, A5, 'Portfolio Overview'!F:F)</f>
        <v>4.1741489999999999</v>
      </c>
      <c r="C5" s="40">
        <f>B5 * VLOOKUP(A5, 'Portfolio Overview'!D:I, 6, FALSE)</f>
        <v>37.734306959999998</v>
      </c>
      <c r="D5" s="54">
        <f>SUMIF('Portfolio Overview'!D:D, A5, 'Portfolio Overview'!J:J)</f>
        <v>38.33</v>
      </c>
      <c r="E5" s="56">
        <f>SUMIF('Portfolio Overview'!D:D, A5, 'Portfolio Overview'!M:M)</f>
        <v>38.33</v>
      </c>
      <c r="F5" s="53">
        <f t="shared" si="2"/>
        <v>8.2136887669823855E-2</v>
      </c>
      <c r="G5" s="40">
        <f t="shared" si="0"/>
        <v>-0.59569304000000045</v>
      </c>
      <c r="H5" s="53">
        <f t="shared" si="1"/>
        <v>-1.554116984085574E-2</v>
      </c>
    </row>
    <row r="6" spans="1:8" x14ac:dyDescent="0.2">
      <c r="A6" s="48" t="s">
        <v>43</v>
      </c>
      <c r="B6" s="51">
        <f>SUMIF('Portfolio Overview'!D:D, A6, 'Portfolio Overview'!F:F)</f>
        <v>0.88920500000000002</v>
      </c>
      <c r="C6" s="40">
        <f>B6 * VLOOKUP(A6, 'Portfolio Overview'!D:I, 6, FALSE)</f>
        <v>51.004798800000003</v>
      </c>
      <c r="D6" s="54">
        <f>SUMIF('Portfolio Overview'!D:D, A6, 'Portfolio Overview'!J:J)</f>
        <v>50</v>
      </c>
      <c r="E6" s="56">
        <f>SUMIF('Portfolio Overview'!D:D, A6, 'Portfolio Overview'!M:M)</f>
        <v>50</v>
      </c>
      <c r="F6" s="53">
        <f>D6 / SUM(D:D)</f>
        <v>0.10714438777696825</v>
      </c>
      <c r="G6" s="40">
        <f t="shared" si="0"/>
        <v>1.0047988000000032</v>
      </c>
      <c r="H6" s="53">
        <f t="shared" si="1"/>
        <v>2.0095976000000064E-2</v>
      </c>
    </row>
    <row r="7" spans="1:8" x14ac:dyDescent="0.2">
      <c r="A7" s="35" t="s">
        <v>62</v>
      </c>
      <c r="B7" s="51">
        <f>SUMIF('Portfolio Overview'!D:D, A7, 'Portfolio Overview'!F:F)</f>
        <v>3.8137999999999998E-2</v>
      </c>
      <c r="C7" s="40">
        <f>B7 * VLOOKUP(A7, 'Portfolio Overview'!D:I, 6, FALSE)</f>
        <v>24.484596</v>
      </c>
      <c r="D7" s="54">
        <f>SUMIF('Portfolio Overview'!D:D, A7, 'Portfolio Overview'!J:J)</f>
        <v>25</v>
      </c>
      <c r="E7" s="56">
        <f>SUMIF('Portfolio Overview'!D:D, A7, 'Portfolio Overview'!M:M)</f>
        <v>29</v>
      </c>
      <c r="F7" s="53">
        <f t="shared" si="2"/>
        <v>5.3572193888484124E-2</v>
      </c>
      <c r="G7" s="40">
        <f t="shared" si="0"/>
        <v>-4.5154040000000002</v>
      </c>
      <c r="H7" s="53">
        <f t="shared" si="1"/>
        <v>-0.15570358620689656</v>
      </c>
    </row>
    <row r="8" spans="1:8" x14ac:dyDescent="0.2">
      <c r="A8" s="48" t="s">
        <v>58</v>
      </c>
      <c r="B8" s="51">
        <f>SUMIF('Portfolio Overview'!D:D, A8, 'Portfolio Overview'!F:F)</f>
        <v>5.8120000000000003E-3</v>
      </c>
      <c r="C8" s="40">
        <f>B8 * VLOOKUP(A8, 'Portfolio Overview'!D:I, 6, FALSE)</f>
        <v>10.313394000000001</v>
      </c>
      <c r="D8" s="54">
        <f>SUMIF('Portfolio Overview'!D:D, A8, 'Portfolio Overview'!J:J)</f>
        <v>10</v>
      </c>
      <c r="E8" s="56">
        <f>SUMIF('Portfolio Overview'!D:D, A8, 'Portfolio Overview'!M:M)</f>
        <v>10</v>
      </c>
      <c r="F8" s="53">
        <f>D8 / SUM(D:D)</f>
        <v>2.142887755539365E-2</v>
      </c>
      <c r="G8" s="40">
        <f t="shared" si="0"/>
        <v>0.31339400000000062</v>
      </c>
      <c r="H8" s="53">
        <f t="shared" si="1"/>
        <v>3.1339400000000059E-2</v>
      </c>
    </row>
    <row r="9" spans="1:8" x14ac:dyDescent="0.2">
      <c r="A9" s="75" t="s">
        <v>81</v>
      </c>
      <c r="B9" s="76"/>
      <c r="C9" s="77">
        <f>SUM(C2:C8)</f>
        <v>231.90678887999999</v>
      </c>
      <c r="D9" s="78">
        <f>SUM(D2:D8)</f>
        <v>233.32999999999998</v>
      </c>
      <c r="E9" s="78">
        <f>SUM(E2:E8)</f>
        <v>238.32</v>
      </c>
      <c r="F9" s="79"/>
      <c r="G9" s="77">
        <f>SUM(G2:G8)</f>
        <v>-6.4132111199999979</v>
      </c>
      <c r="H9" s="79">
        <f>(C9-E9)/E9</f>
        <v>-2.6910083585095668E-2</v>
      </c>
    </row>
    <row r="19" spans="1:7" x14ac:dyDescent="0.2">
      <c r="A19" s="48"/>
      <c r="B19" s="51"/>
      <c r="E19" s="56"/>
      <c r="G19" s="40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DF9E-AB4F-9142-A454-1BC94A13C90C}">
  <dimension ref="A1:F11"/>
  <sheetViews>
    <sheetView topLeftCell="A2" zoomScale="76" zoomScaleNormal="80" workbookViewId="0">
      <selection activeCell="AA34" sqref="AA34"/>
    </sheetView>
  </sheetViews>
  <sheetFormatPr baseColWidth="10" defaultRowHeight="16" x14ac:dyDescent="0.2"/>
  <cols>
    <col min="1" max="1" width="49.83203125" bestFit="1" customWidth="1"/>
    <col min="2" max="2" width="16" bestFit="1" customWidth="1"/>
    <col min="3" max="3" width="16.33203125" bestFit="1" customWidth="1"/>
    <col min="4" max="4" width="11.6640625" style="40" bestFit="1" customWidth="1"/>
    <col min="5" max="5" width="13" style="53" bestFit="1" customWidth="1"/>
    <col min="6" max="6" width="12.83203125" bestFit="1" customWidth="1"/>
  </cols>
  <sheetData>
    <row r="1" spans="1:6" ht="18" x14ac:dyDescent="0.2">
      <c r="A1" s="87" t="s">
        <v>83</v>
      </c>
      <c r="B1" s="87"/>
      <c r="C1" s="87"/>
      <c r="D1" s="87"/>
      <c r="E1" s="87"/>
      <c r="F1" s="87"/>
    </row>
    <row r="2" spans="1:6" x14ac:dyDescent="0.2">
      <c r="A2" s="70" t="s">
        <v>84</v>
      </c>
      <c r="B2" s="70" t="s">
        <v>85</v>
      </c>
      <c r="C2" s="70" t="s">
        <v>2</v>
      </c>
      <c r="D2" s="71" t="s">
        <v>86</v>
      </c>
      <c r="E2" s="72" t="s">
        <v>87</v>
      </c>
      <c r="F2" s="70" t="s">
        <v>20</v>
      </c>
    </row>
    <row r="3" spans="1:6" x14ac:dyDescent="0.2">
      <c r="A3" s="62" t="s">
        <v>33</v>
      </c>
      <c r="B3" s="63" t="s">
        <v>34</v>
      </c>
      <c r="C3" s="63" t="s">
        <v>32</v>
      </c>
      <c r="D3" s="64">
        <v>50</v>
      </c>
      <c r="E3" s="73">
        <v>0.21279999999999999</v>
      </c>
      <c r="F3" s="63" t="s">
        <v>29</v>
      </c>
    </row>
    <row r="4" spans="1:6" x14ac:dyDescent="0.2">
      <c r="A4" s="62" t="s">
        <v>41</v>
      </c>
      <c r="B4" s="63" t="s">
        <v>42</v>
      </c>
      <c r="C4" s="63" t="s">
        <v>32</v>
      </c>
      <c r="D4" s="64">
        <v>50</v>
      </c>
      <c r="E4" s="73">
        <v>0.21279999999999999</v>
      </c>
      <c r="F4" s="63" t="s">
        <v>29</v>
      </c>
    </row>
    <row r="5" spans="1:6" x14ac:dyDescent="0.2">
      <c r="A5" s="62" t="s">
        <v>39</v>
      </c>
      <c r="B5" s="63" t="s">
        <v>40</v>
      </c>
      <c r="C5" s="63" t="s">
        <v>32</v>
      </c>
      <c r="D5" s="64">
        <v>40</v>
      </c>
      <c r="E5" s="73">
        <v>0.17019999999999999</v>
      </c>
      <c r="F5" s="63" t="s">
        <v>29</v>
      </c>
    </row>
    <row r="6" spans="1:6" x14ac:dyDescent="0.2">
      <c r="A6" s="62" t="s">
        <v>46</v>
      </c>
      <c r="B6" s="63" t="s">
        <v>47</v>
      </c>
      <c r="C6" s="63" t="s">
        <v>32</v>
      </c>
      <c r="D6" s="64">
        <v>40</v>
      </c>
      <c r="E6" s="73">
        <v>0.17019999999999999</v>
      </c>
      <c r="F6" s="63" t="s">
        <v>29</v>
      </c>
    </row>
    <row r="7" spans="1:6" x14ac:dyDescent="0.2">
      <c r="A7" s="62" t="s">
        <v>43</v>
      </c>
      <c r="B7" s="63" t="s">
        <v>47</v>
      </c>
      <c r="C7" s="63" t="s">
        <v>32</v>
      </c>
      <c r="D7" s="64">
        <v>20</v>
      </c>
      <c r="E7" s="73">
        <v>8.5099999999999995E-2</v>
      </c>
      <c r="F7" s="63" t="s">
        <v>88</v>
      </c>
    </row>
    <row r="8" spans="1:6" x14ac:dyDescent="0.2">
      <c r="A8" s="62" t="s">
        <v>89</v>
      </c>
      <c r="B8" s="63" t="s">
        <v>59</v>
      </c>
      <c r="C8" s="63" t="s">
        <v>23</v>
      </c>
      <c r="D8" s="64">
        <v>20</v>
      </c>
      <c r="E8" s="73">
        <v>8.5099999999999995E-2</v>
      </c>
      <c r="F8" s="63" t="s">
        <v>61</v>
      </c>
    </row>
    <row r="9" spans="1:6" x14ac:dyDescent="0.2">
      <c r="A9" s="62" t="s">
        <v>58</v>
      </c>
      <c r="B9" s="63" t="s">
        <v>47</v>
      </c>
      <c r="C9" s="63" t="s">
        <v>23</v>
      </c>
      <c r="D9" s="64">
        <v>15</v>
      </c>
      <c r="E9" s="73">
        <v>6.3799999999999996E-2</v>
      </c>
      <c r="F9" s="63" t="s">
        <v>61</v>
      </c>
    </row>
    <row r="10" spans="1:6" x14ac:dyDescent="0.2">
      <c r="A10" s="62"/>
      <c r="B10" s="63"/>
      <c r="C10" s="63"/>
      <c r="D10" s="65"/>
      <c r="E10" s="73"/>
      <c r="F10" s="63"/>
    </row>
    <row r="11" spans="1:6" x14ac:dyDescent="0.2">
      <c r="A11" s="66" t="s">
        <v>90</v>
      </c>
      <c r="B11" s="67"/>
      <c r="C11" s="68"/>
      <c r="D11" s="69">
        <v>235</v>
      </c>
      <c r="E11" s="74"/>
      <c r="F11" s="68"/>
    </row>
  </sheetData>
  <mergeCells count="1"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D91D-E416-4E46-A392-C6F8A66D63DA}">
  <dimension ref="A1:F13"/>
  <sheetViews>
    <sheetView zoomScale="190" workbookViewId="0">
      <selection activeCell="A14" sqref="A14"/>
    </sheetView>
  </sheetViews>
  <sheetFormatPr baseColWidth="10" defaultRowHeight="16" x14ac:dyDescent="0.2"/>
  <cols>
    <col min="1" max="1" width="39.33203125" style="38" bestFit="1" customWidth="1"/>
    <col min="2" max="2" width="14.5" style="50" bestFit="1" customWidth="1"/>
    <col min="3" max="3" width="10.1640625" style="38" bestFit="1" customWidth="1"/>
    <col min="4" max="4" width="9.1640625" style="38" bestFit="1" customWidth="1"/>
    <col min="5" max="5" width="6.33203125" style="38" bestFit="1" customWidth="1"/>
    <col min="6" max="6" width="10.83203125" style="44"/>
    <col min="7" max="16384" width="10.83203125" style="38"/>
  </cols>
  <sheetData>
    <row r="1" spans="1:6" x14ac:dyDescent="0.2">
      <c r="A1" s="88" t="s">
        <v>69</v>
      </c>
      <c r="B1" s="88"/>
      <c r="C1" s="88"/>
      <c r="D1" s="88"/>
      <c r="E1" s="88"/>
      <c r="F1" s="88"/>
    </row>
    <row r="2" spans="1:6" x14ac:dyDescent="0.2">
      <c r="A2" s="45" t="s">
        <v>3</v>
      </c>
      <c r="B2" s="49" t="s">
        <v>70</v>
      </c>
      <c r="C2" s="45" t="s">
        <v>71</v>
      </c>
      <c r="D2" s="46" t="s">
        <v>72</v>
      </c>
      <c r="E2" s="47" t="s">
        <v>73</v>
      </c>
      <c r="F2" s="45" t="s">
        <v>19</v>
      </c>
    </row>
    <row r="3" spans="1:6" x14ac:dyDescent="0.2">
      <c r="A3" s="57" t="s">
        <v>24</v>
      </c>
      <c r="B3" s="58">
        <v>8.86</v>
      </c>
      <c r="C3" s="59" t="s">
        <v>74</v>
      </c>
      <c r="D3" s="60">
        <v>45800</v>
      </c>
      <c r="E3" s="61">
        <v>0.82499999999999996</v>
      </c>
      <c r="F3" s="59" t="s">
        <v>82</v>
      </c>
    </row>
    <row r="4" spans="1:6" x14ac:dyDescent="0.2">
      <c r="A4" s="57" t="s">
        <v>52</v>
      </c>
      <c r="B4" s="58">
        <v>127.62</v>
      </c>
      <c r="C4" s="59" t="s">
        <v>74</v>
      </c>
      <c r="D4" s="60">
        <v>45800</v>
      </c>
      <c r="E4" s="61">
        <v>0.83194444444444449</v>
      </c>
      <c r="F4" s="59" t="s">
        <v>82</v>
      </c>
    </row>
    <row r="5" spans="1:6" x14ac:dyDescent="0.2">
      <c r="A5" s="57" t="s">
        <v>55</v>
      </c>
      <c r="B5" s="58">
        <v>35.29</v>
      </c>
      <c r="C5" s="59" t="s">
        <v>74</v>
      </c>
      <c r="D5" s="60">
        <v>45800</v>
      </c>
      <c r="E5" s="61">
        <v>0.82986111111111116</v>
      </c>
      <c r="F5" s="59" t="s">
        <v>82</v>
      </c>
    </row>
    <row r="6" spans="1:6" x14ac:dyDescent="0.2">
      <c r="A6" s="57" t="s">
        <v>48</v>
      </c>
      <c r="B6" s="58">
        <v>54.61</v>
      </c>
      <c r="C6" s="59" t="s">
        <v>74</v>
      </c>
      <c r="D6" s="60">
        <v>45800</v>
      </c>
      <c r="E6" s="61">
        <v>0.82916666666666672</v>
      </c>
      <c r="F6" s="59" t="s">
        <v>82</v>
      </c>
    </row>
    <row r="7" spans="1:6" x14ac:dyDescent="0.2">
      <c r="A7" s="48" t="s">
        <v>33</v>
      </c>
      <c r="B7" s="50">
        <v>210.35</v>
      </c>
      <c r="C7" s="44" t="s">
        <v>74</v>
      </c>
      <c r="D7" s="41">
        <v>45800</v>
      </c>
      <c r="E7" s="39">
        <v>0.8256944444444444</v>
      </c>
    </row>
    <row r="8" spans="1:6" x14ac:dyDescent="0.2">
      <c r="A8" s="48" t="s">
        <v>39</v>
      </c>
      <c r="B8" s="50">
        <v>12.26</v>
      </c>
      <c r="C8" s="44" t="s">
        <v>74</v>
      </c>
      <c r="D8" s="41">
        <v>45800</v>
      </c>
      <c r="E8" s="39">
        <v>0.82638888888888884</v>
      </c>
    </row>
    <row r="9" spans="1:6" x14ac:dyDescent="0.2">
      <c r="A9" s="48" t="s">
        <v>43</v>
      </c>
      <c r="B9" s="50">
        <v>57.36</v>
      </c>
      <c r="C9" s="44" t="s">
        <v>74</v>
      </c>
      <c r="D9" s="41">
        <v>45800</v>
      </c>
      <c r="E9" s="39">
        <v>0.82777777777777772</v>
      </c>
    </row>
    <row r="10" spans="1:6" x14ac:dyDescent="0.2">
      <c r="A10" s="48" t="s">
        <v>41</v>
      </c>
      <c r="B10" s="50">
        <v>9.0399999999999991</v>
      </c>
      <c r="C10" s="44" t="s">
        <v>74</v>
      </c>
      <c r="D10" s="41">
        <v>45800</v>
      </c>
      <c r="E10" s="39">
        <v>0.82708333333333328</v>
      </c>
    </row>
    <row r="11" spans="1:6" x14ac:dyDescent="0.2">
      <c r="A11" s="48" t="s">
        <v>46</v>
      </c>
      <c r="B11" s="50">
        <v>45.97</v>
      </c>
      <c r="C11" s="44" t="s">
        <v>74</v>
      </c>
      <c r="D11" s="41">
        <v>45800</v>
      </c>
      <c r="E11" s="39">
        <v>0.82847222222222228</v>
      </c>
    </row>
    <row r="12" spans="1:6" x14ac:dyDescent="0.2">
      <c r="A12" s="35" t="s">
        <v>62</v>
      </c>
      <c r="B12" s="50">
        <v>642</v>
      </c>
      <c r="C12" s="44" t="s">
        <v>74</v>
      </c>
      <c r="D12" s="41">
        <v>45800</v>
      </c>
      <c r="E12" s="39">
        <v>0.8305555555555556</v>
      </c>
    </row>
    <row r="13" spans="1:6" x14ac:dyDescent="0.2">
      <c r="A13" s="48" t="s">
        <v>58</v>
      </c>
      <c r="B13" s="50">
        <v>1774.5</v>
      </c>
      <c r="C13" s="44" t="s">
        <v>74</v>
      </c>
      <c r="D13" s="41">
        <v>45800</v>
      </c>
      <c r="E13" s="39">
        <v>0.83125000000000004</v>
      </c>
    </row>
  </sheetData>
  <mergeCells count="1">
    <mergeCell ref="A1:F1"/>
  </mergeCells>
  <dataValidations count="1">
    <dataValidation type="list" allowBlank="1" showInputMessage="1" showErrorMessage="1" sqref="C3:C11 C13" xr:uid="{5612EA97-E6F0-6B43-B6CA-4CB200EAED29}">
      <formula1>"EUR,USD"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Portfolio Overview</vt:lpstr>
      <vt:lpstr>Summary</vt:lpstr>
      <vt:lpstr>Fixed Investment Plan</vt:lpstr>
      <vt:lpstr>Kurse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2025-05-23T16:09:32Z</dcterms:created>
  <dcterms:modified xsi:type="dcterms:W3CDTF">2025-05-25T16:45:20Z</dcterms:modified>
</cp:coreProperties>
</file>