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20" windowWidth="4755" windowHeight="3660" firstSheet="3" activeTab="7"/>
  </bookViews>
  <sheets>
    <sheet name="_@RISKFitInformation" sheetId="4" state="hidden" r:id="rId1"/>
    <sheet name="Arrival Times and Dining Area" sheetId="1" r:id="rId2"/>
    <sheet name="Food Serv, Bar, Cash Etc." sheetId="2" r:id="rId3"/>
    <sheet name="Numbers for Decision Blocks" sheetId="3" r:id="rId4"/>
    <sheet name="Extra Data Food Decision" sheetId="5" r:id="rId5"/>
    <sheet name="1114" sheetId="6" r:id="rId6"/>
    <sheet name="11-16" sheetId="7" r:id="rId7"/>
    <sheet name="Serving Sizes" sheetId="8" r:id="rId8"/>
    <sheet name="Sheet2" sheetId="9" r:id="rId9"/>
  </sheets>
  <definedNames>
    <definedName name="_AtRisk_FitDataRange_FIT_13246_28D7A" hidden="1">'Arrival Times and Dining Area'!$C$4:$D$51</definedName>
    <definedName name="_AtRisk_FitDataRange_FIT_19320_EC746" hidden="1">'Arrival Times and Dining Area'!$C$4:$C$51</definedName>
    <definedName name="_AtRisk_FitDataRange_FIT_1A857_B708E" hidden="1">'Food Serv, Bar, Cash Etc.'!$C$4:$C$13</definedName>
    <definedName name="_AtRisk_FitDataRange_FIT_1CF9_8AD23" hidden="1">'Food Serv, Bar, Cash Etc.'!$E$4:$E$15</definedName>
    <definedName name="_AtRisk_FitDataRange_FIT_23889_8F7B2" hidden="1">'Arrival Times and Dining Area'!$E$4:$E$51</definedName>
    <definedName name="_AtRisk_FitDataRange_FIT_29A24_CE6BD" hidden="1">'Food Serv, Bar, Cash Etc.'!$N$4:$N$12</definedName>
    <definedName name="_AtRisk_FitDataRange_FIT_5FA0E_EF39B" hidden="1">'Food Serv, Bar, Cash Etc.'!$X$4:$X$25</definedName>
    <definedName name="_AtRisk_FitDataRange_FIT_7C611_89BAC" hidden="1">'Food Serv, Bar, Cash Etc.'!$M$4:$M$36</definedName>
    <definedName name="_AtRisk_FitDataRange_FIT_9E085_6817B" hidden="1">'Arrival Times and Dining Area'!$D$1:$D$52</definedName>
    <definedName name="_AtRisk_FitDataRange_FIT_A5BAD_75E19" hidden="1">'Food Serv, Bar, Cash Etc.'!$Y$4:$Y$20</definedName>
    <definedName name="_AtRisk_FitDataRange_FIT_A5D1E_7B1C2" hidden="1">'Food Serv, Bar, Cash Etc.'!$U$4:$U$18</definedName>
    <definedName name="_AtRisk_FitDataRange_FIT_B48C4_E0328" hidden="1">'Food Serv, Bar, Cash Etc.'!$Q$4:$Q$20</definedName>
    <definedName name="_AtRisk_FitDataRange_FIT_CA292_AF051" hidden="1">'Arrival Times and Dining Area'!$X$18:$X$30</definedName>
    <definedName name="_AtRisk_FitDataRange_FIT_DED4A_AF90B" hidden="1">'Arrival Times and Dining Area'!#REF!</definedName>
    <definedName name="_xlnm._FilterDatabase" localSheetId="5" hidden="1">'11-16'!$M$9:$M$13</definedName>
    <definedName name="Pal_Workbook_GUID" hidden="1">"97FJQQ5S6S8HJG8NC2IBUP2G"</definedName>
  </definedNames>
  <calcPr calcId="125725"/>
</workbook>
</file>

<file path=xl/calcChain.xml><?xml version="1.0" encoding="utf-8"?>
<calcChain xmlns="http://schemas.openxmlformats.org/spreadsheetml/2006/main">
  <c r="C23" i="4"/>
  <c r="C22"/>
  <c r="C21"/>
  <c r="C20"/>
  <c r="C11"/>
  <c r="C12"/>
  <c r="C13"/>
  <c r="C14"/>
  <c r="C15"/>
  <c r="C16"/>
  <c r="C17"/>
  <c r="C18"/>
  <c r="C19"/>
  <c r="G14" i="8"/>
  <c r="D18"/>
  <c r="U13" i="2"/>
  <c r="Q21"/>
  <c r="Q20"/>
  <c r="Q19"/>
  <c r="Q18"/>
  <c r="Q17"/>
  <c r="Q16"/>
  <c r="Q15"/>
  <c r="Q14"/>
  <c r="Q13"/>
  <c r="Q12"/>
  <c r="Q11"/>
  <c r="Q10"/>
  <c r="Q9"/>
  <c r="Q8"/>
  <c r="Q7"/>
  <c r="Q6"/>
  <c r="Q5"/>
  <c r="Q4"/>
  <c r="R16"/>
  <c r="M37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5"/>
  <c r="D13" i="1"/>
  <c r="E19"/>
  <c r="J10" i="7"/>
  <c r="J9"/>
  <c r="J11"/>
  <c r="J12"/>
  <c r="J13"/>
  <c r="J15"/>
  <c r="L10"/>
  <c r="P10"/>
  <c r="L11"/>
  <c r="P11"/>
  <c r="L12"/>
  <c r="P12"/>
  <c r="L13"/>
  <c r="P13"/>
  <c r="L9"/>
  <c r="P9"/>
  <c r="J13" i="5"/>
  <c r="J12"/>
  <c r="J11"/>
  <c r="J10"/>
  <c r="J9"/>
  <c r="P19" i="6"/>
  <c r="P18"/>
  <c r="P20"/>
  <c r="P21"/>
  <c r="P22"/>
  <c r="P24"/>
  <c r="R19"/>
  <c r="R20"/>
  <c r="R21"/>
  <c r="R22"/>
  <c r="R18"/>
  <c r="E6" i="8"/>
  <c r="H6"/>
  <c r="I9"/>
  <c r="D23"/>
  <c r="D9"/>
  <c r="F9"/>
  <c r="B17"/>
  <c r="G10" i="1"/>
  <c r="G9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8"/>
  <c r="E17"/>
  <c r="E16"/>
  <c r="E15"/>
  <c r="E14"/>
  <c r="E13"/>
  <c r="E12"/>
  <c r="E11"/>
  <c r="E10"/>
  <c r="E9"/>
  <c r="E8"/>
  <c r="E7"/>
  <c r="E6"/>
  <c r="E5"/>
  <c r="E4"/>
  <c r="B13" i="8"/>
  <c r="B15"/>
  <c r="N6" i="3"/>
  <c r="N10"/>
  <c r="K4"/>
  <c r="B18"/>
  <c r="B17"/>
  <c r="E14"/>
  <c r="E13"/>
  <c r="D7"/>
  <c r="G7"/>
  <c r="G8"/>
  <c r="G9"/>
  <c r="N9"/>
  <c r="G35" i="2"/>
  <c r="F35"/>
  <c r="H34"/>
  <c r="G34"/>
  <c r="F34"/>
  <c r="D5" i="1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4"/>
  <c r="V20"/>
  <c r="V22"/>
  <c r="V24"/>
  <c r="V26"/>
  <c r="V28"/>
  <c r="V30"/>
  <c r="V32"/>
  <c r="V34"/>
  <c r="V36"/>
  <c r="V38"/>
  <c r="V40"/>
  <c r="V42"/>
  <c r="V18"/>
  <c r="G4"/>
  <c r="G5"/>
  <c r="E16" i="2"/>
  <c r="O5" i="1"/>
  <c r="J15" i="5"/>
  <c r="L12"/>
  <c r="B14" i="8"/>
  <c r="L10" i="5"/>
  <c r="L13"/>
  <c r="L11"/>
  <c r="L9"/>
</calcChain>
</file>

<file path=xl/sharedStrings.xml><?xml version="1.0" encoding="utf-8"?>
<sst xmlns="http://schemas.openxmlformats.org/spreadsheetml/2006/main" count="353" uniqueCount="242">
  <si>
    <t>Arrive</t>
  </si>
  <si>
    <t>Monday 11/10</t>
  </si>
  <si>
    <t>Dining Area</t>
  </si>
  <si>
    <t>Food Decide</t>
  </si>
  <si>
    <t>Dining Area Averages</t>
  </si>
  <si>
    <t>Interarrival Times</t>
  </si>
  <si>
    <t>entity 1</t>
  </si>
  <si>
    <t>entity 2</t>
  </si>
  <si>
    <t>entity 3</t>
  </si>
  <si>
    <t>entity 4</t>
  </si>
  <si>
    <t>entity 5</t>
  </si>
  <si>
    <t>entity 6</t>
  </si>
  <si>
    <t>entity 7</t>
  </si>
  <si>
    <t>entity 8</t>
  </si>
  <si>
    <t>entity 9</t>
  </si>
  <si>
    <t>entity 10</t>
  </si>
  <si>
    <t>entity 11</t>
  </si>
  <si>
    <t>entity 12</t>
  </si>
  <si>
    <t>entity 13</t>
  </si>
  <si>
    <t>average</t>
  </si>
  <si>
    <t>interarrival time</t>
  </si>
  <si>
    <t>Created By Version</t>
  </si>
  <si>
    <t>6.3.1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</si>
  <si>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</si>
  <si>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</si>
  <si>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</si>
  <si>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</si>
  <si>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</si>
  <si>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</si>
  <si>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</si>
  <si>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</si>
  <si>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</si>
  <si>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</si>
  <si>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</si>
  <si>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</si>
  <si>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</si>
  <si>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</si>
  <si>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</si>
  <si>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</si>
  <si>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</si>
  <si>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</si>
  <si>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</si>
  <si>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</si>
  <si>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FIT_19320_EC746</t>
  </si>
  <si>
    <t>Dataset 1</t>
  </si>
  <si>
    <t>F1	0	0	-1E+300	 1E+300	 1	0	0	 0	0	 1	23	BetaGeneral	Binomial	Expon	ExtValue	ExtValueMin	Gamma	Geomet	IntUniform	InvGauss	Laplace	Levy	Logistic	LogLogistic	Lognorm	NegBin	Normal	Pareto	Pearson5	Pearson6	Poisson	Triang	Uniform	Weibull	0	1	-1	1	 0	 1	0	0	0</t>
  </si>
  <si>
    <t xml:space="preserve"> 0	 8								</t>
  </si>
  <si>
    <t>F1	0	 1000	 .95</t>
  </si>
  <si>
    <t>GF1_rK0qDwEADgClAQwjACYANABqAH4AfwCNAJsAfwGhAZsBKgD//wAAAAAAAQQAAAAAAAAAAAEcRml0IENvbXBhcmlzb24gZm9yIERhdGFzZXQgMQEUUmlza1BhcmV0bygyLjQzNjksMSkBARAAAgABClN0YXRpc3RpY3MDAQEA/wEBAQEBAAEBAQAEAAAAAQEBAQEAAQEBAAQAAAAKugAByAAA1wAA7AAAAQEAFgEAKwEAQAEAVQEAagEADAAFSW5wdXQAACUBAgANAAZQYXJldG8AAS8BAgATAAxVbnVzZWQgQ3VydmUAAk8BAgATAAxVbnVzZWQgQ3VydmUAA4wBAgATAAxVbnVzZWQgQ3VydmUABEwBAgATAAxVbnVzZWQgQ3VydmUABTkBAgATAAxVbnVzZWQgQ3VydmUABk4BAgATAAxVbnVzZWQgQ3VydmUAByMBAgATAAxVbnVzZWQgQ3VydmUACCkBAgATAAxVbnVzZWQgQ3VydmUACWABAgCHAZEBAQECAZqZmZmZmak/AABmZmZmZmbuPwAABQABAQEAAQEBAA==</t>
  </si>
  <si>
    <t>FIT_13246_28D7A</t>
  </si>
  <si>
    <t>GF1_rK0qDwEADgCuAQwjACYANABzAIcAiACWAKQAiAGqAaQBKgD//wAAAAAAAQQAAAAAAAAAAAEZRml0IENvbXBhcmlzb24gZm9yIEFycml2ZQEgUmlza1BhcmV0bygwLjEzMTM0LDEuMTU3NDFlLTAwNSkBARAAAgABClN0YXRpc3RpY3MDAQEA/wEBAQEBAAEBAQAEAAAAAQEBAQEAAQEBAAQAAAAKwwAB0QAA4AAA9QAACgEAHwEANAEASQEAXgEAcwEADAAFSW5wdXQAACUBAgANAAZQYXJldG8AAS8BAgATAAxVbnVzZWQgQ3VydmUAAk8BAgATAAxVbnVzZWQgQ3VydmUAA4wBAgATAAxVbnVzZWQgQ3VydmUABEwBAgATAAxVbnVzZWQgQ3VydmUABTkBAgATAAxVbnVzZWQgQ3VydmUABk4BAgATAAxVbnVzZWQgQ3VydmUAByMBAgATAAxVbnVzZWQgQ3VydmUACCkBAgATAAxVbnVzZWQgQ3VydmUACWABAgCQAZoBAQECAZqZmZmZmak/AABmZmZmZmbuPwAABQABAQEAAQEBAA==</t>
  </si>
  <si>
    <t>FIT_9E085_6817B</t>
  </si>
  <si>
    <t>Dataset 2</t>
  </si>
  <si>
    <t>F1	0	0	-1E+300	 1E+300	 1	0	0	 0	0	 1	26	BetaGeneral	Binomial	ChiSq	Erf	Erlang	Expon	ExtValue	ExtValueMin	Gamma	Geomet	IntUniform	InvGauss	Laplace	Levy	Logistic	LogLogistic	Lognorm	NegBin	Normal	Pareto	Pearson5	Pearson6	Poisson	Triang	Uniform	Weibull	0	1	-1	1	 0	 1	0	0	0</t>
  </si>
  <si>
    <t>GF1_rK0qDwEADgDiAQwjACYANACRAKUApgDJANcAvAHeAdgBKgD//wAAAAAAAQQAAAAAAAAAAAEcRml0IENvbXBhcmlzb24gZm9yIERhdGFzZXQgMgE7Umlza0xvZ25vcm0oMC4wMDA2NzUxNiwwLjAwMDk0NTcxLFJpc2tTaGlmdCgtMS40NTg1NGUtMDA1KSkBARAAAgABClN0YXRpc3RpY3MDAQEA/wEBAQEBAAEA/Knx0k1iUL8UYcPTK2V5PwEGAAAAAQAEAAAAAQEBAQEAAQEBAAQAAAAK9gABBAEAFAEAKQEAPgEAUwEAaAEAfQEAkgEApwEADAAFSW5wdXQAACUBAgAOAAdMb2dub3JtAAEvAQIAEwAMVW51c2VkIEN1cnZlAAJPAQIAEwAMVW51c2VkIEN1cnZlAAOMAQIAEwAMVW51c2VkIEN1cnZlAARMAQIAEwAMVW51c2VkIEN1cnZlAAU5AQIAEwAMVW51c2VkIEN1cnZlAAZOAQIAEwAMVW51c2VkIEN1cnZlAAcjAQIAEwAMVW51c2VkIEN1cnZlAAgpAQIAEwAMVW51c2VkIEN1cnZlAAlgAQIAxAHOAQEBAgGamZmZmZmpPwAAZmZmZmZm7j8AAAUAAQEBAAEBAQA=</t>
  </si>
  <si>
    <t>items?</t>
  </si>
  <si>
    <t>decision time</t>
  </si>
  <si>
    <t>Barista</t>
  </si>
  <si>
    <t>Cashier</t>
  </si>
  <si>
    <t>food</t>
  </si>
  <si>
    <t>grab and go</t>
  </si>
  <si>
    <t>food service time</t>
  </si>
  <si>
    <t>Barista Special Order</t>
  </si>
  <si>
    <t>Cash Out</t>
  </si>
  <si>
    <t>number of 2s</t>
  </si>
  <si>
    <t>number of 1s</t>
  </si>
  <si>
    <t>panini</t>
  </si>
  <si>
    <t>FIT_1A857_B708E</t>
  </si>
  <si>
    <t>GF1_rK0qDwEADgC/AQwjACYANACFAJkAmgCoALYAmQG7AbUBKgD//wAAAAAAAQQAAAAAAAAAAAEgRml0IENvbXBhcmlzb24gZm9yIGRlY2lzaW9uIHRpbWUBK1Jpc2tFeHBvbigwLjUxNDU2LFJpc2tTaGlmdCgtNi42NjY2N2UtMDA1KSkBARAAAgABClN0YXRpc3RpY3MDAQEA/wEBAQEBAAEBAQAEAAAAAQEBAQEAAQEBAAQAAAAK1QAB4wAA8QAABgEAGwEAMAEARQEAWgEAbwEAhAEADAAFSW5wdXQAACUBAgAMAAVFeHBvbgABLwECABMADFVudXNlZCBDdXJ2ZQACTwECABMADFVudXNlZCBDdXJ2ZQADjAECABMADFVudXNlZCBDdXJ2ZQAETAECABMADFVudXNlZCBDdXJ2ZQAFOQECABMADFVudXNlZCBDdXJ2ZQAGTgECABMADFVudXNlZCBDdXJ2ZQAHIwECABMADFVudXNlZCBDdXJ2ZQAIKQECABMADFVudXNlZCBDdXJ2ZQAJYAECAKEBqwEBAQIBmpmZmZmZqT8AAGZmZmZmZu4/AAAFAAEBAQABAQEA</t>
  </si>
  <si>
    <t xml:space="preserve">Barista </t>
  </si>
  <si>
    <t>Food</t>
  </si>
  <si>
    <t>No Food Leaves</t>
  </si>
  <si>
    <t>27 Tables</t>
  </si>
  <si>
    <t>No Food stays</t>
  </si>
  <si>
    <t>food and leaves</t>
  </si>
  <si>
    <t>food and stays</t>
  </si>
  <si>
    <t>inside</t>
  </si>
  <si>
    <t>outside</t>
  </si>
  <si>
    <t>23 tables</t>
  </si>
  <si>
    <t>no food</t>
  </si>
  <si>
    <t>no food leaves</t>
  </si>
  <si>
    <t>no food stays</t>
  </si>
  <si>
    <t>food then barista</t>
  </si>
  <si>
    <t>food then cashier</t>
  </si>
  <si>
    <t>dining area</t>
  </si>
  <si>
    <t>FIT_A5BAD_75E19</t>
  </si>
  <si>
    <t>GF1_rK0qDwEADgCzAQwjACYANAB5AI0AjgCcAKoAjQGvAakBKgD//wAAAAAAAQQAAAAAAAAAAAEaRml0IENvbXBhcmlzb24gZm9yIENhc2hpZXIBJVJpc2tFeHBvbigwLjE3NDcxLFJpc2tTaGlmdCgwLjE4OTcyKSkBARAAAgABClN0YXRpc3RpY3MDAQEA/wEBAQEBAAEBAQAEAAAAAQEBAQEAAQEBAAQAAAAKyQAB1wAA5QAA+gAADwEAJAEAOQEATgEAYwEAeAEADAAFSW5wdXQAACUBAgAMAAVFeHBvbgABLwECABMADFVudXNlZCBDdXJ2ZQACTwECABMADFVudXNlZCBDdXJ2ZQADjAECABMADFVudXNlZCBDdXJ2ZQAETAECABMADFVudXNlZCBDdXJ2ZQAFOQECABMADFVudXNlZCBDdXJ2ZQAGTgECABMADFVudXNlZCBDdXJ2ZQAHIwECABMADFVudXNlZCBDdXJ2ZQAIKQECABMADFVudXNlZCBDdXJ2ZQAJYAECAJUBnwEBAQIBmpmZmZmZqT8AAGZmZmZmZu4/AAAFAAEBAQABAQEA</t>
  </si>
  <si>
    <t>FIT_1CF9_8AD23</t>
  </si>
  <si>
    <t>GF1_rK0qDwEADgC/AQwjACYANACEAJgAmQCnALUAmQG7AbUBKgD//wAAAAAAAQQAAAAAAAAAAAEoRml0IENvbXBhcmlzb24gZm9yIEJhcmlzdGEgU3BlY2lhbCBPcmRlcgEiUmlza1RyaWFuZygwLjQ1MDAwLDAuNDUwMDAsMi4yODUxKQEBEAACAAEKU3RhdGlzdGljcwMBAQD/AQEBAQEAAQEBAAQAAAABAQEBAQABAQEABAAAAArUAAHiAADxAAAGAQAbAQAwAQBFAQBaAQBvAQCEAQAMAAVJbnB1dAAAJQECAA0ABlRyaWFuZwABLwECABMADFVudXNlZCBDdXJ2ZQACTwECABMADFVudXNlZCBDdXJ2ZQADjAECABMADFVudXNlZCBDdXJ2ZQAETAECABMADFVudXNlZCBDdXJ2ZQAFOQECABMADFVudXNlZCBDdXJ2ZQAGTgECABMADFVudXNlZCBDdXJ2ZQAHIwECABMADFVudXNlZCBDdXJ2ZQAIKQECABMADFVudXNlZCBDdXJ2ZQAJYAECAKEBqwEBAQIBmpmZmZmZqT8AAGZmZmZmZu4/AAAFAAEBAQABAQEA</t>
  </si>
  <si>
    <t>FIT_CA292_AF051</t>
  </si>
  <si>
    <t>FIT_29A24_CE6BD</t>
  </si>
  <si>
    <t>GF1_rK0qDwEADgC+AQwjACYANACEAJgAmQCnALUAmAG6AbQBKgD//wAAAAAAAQQAAAAAAAAAAAEkRml0IENvbXBhcmlzb24gZm9yIGZvb2Qgc2VydmljZSB0aW1lASZSaXNrRXhwb24oMC4xMzExMSxSaXNrU2hpZnQoMC4wOTU0MzIpKQEBEAACAAEKU3RhdGlzdGljcwMBAQD/AQEBAQEAAQEBAAQAAAABAQEBAQABAQEABAAAAArUAAHiAADwAAAFAQAaAQAvAQBEAQBZAQBuAQCDAQAMAAVJbnB1dAAAJQECAAwABUV4cG9uAAEvAQIAEwAMVW51c2VkIEN1cnZlAAJPAQIAEwAMVW51c2VkIEN1cnZlAAOMAQIAEwAMVW51c2VkIEN1cnZlAARMAQIAEwAMVW51c2VkIEN1cnZlAAU5AQIAEwAMVW51c2VkIEN1cnZlAAZOAQIAEwAMVW51c2VkIEN1cnZlAAcjAQIAEwAMVW51c2VkIEN1cnZlAAgpAQIAEwAMVW51c2VkIEN1cnZlAAlgAQIAoAGqAQEBAgGamZmZmZmpPwAAZmZmZmZm7j8AAAUAAQEBAAEBAQA=</t>
  </si>
  <si>
    <t>fruit cup</t>
  </si>
  <si>
    <t>cupcake</t>
  </si>
  <si>
    <t>coffee</t>
  </si>
  <si>
    <t>wpa</t>
  </si>
  <si>
    <t>bev</t>
  </si>
  <si>
    <t>brownie</t>
  </si>
  <si>
    <t>ice tea</t>
  </si>
  <si>
    <t>yogurt</t>
  </si>
  <si>
    <t>specialty pizza</t>
  </si>
  <si>
    <t>cookies</t>
  </si>
  <si>
    <t>tuna salad</t>
  </si>
  <si>
    <t>chips</t>
  </si>
  <si>
    <t>greens</t>
  </si>
  <si>
    <t>hot dog =</t>
  </si>
  <si>
    <t>med plate</t>
  </si>
  <si>
    <t xml:space="preserve">soup </t>
  </si>
  <si>
    <t>bbq</t>
  </si>
  <si>
    <t>water</t>
  </si>
  <si>
    <t>whole fruit</t>
  </si>
  <si>
    <t>juice</t>
  </si>
  <si>
    <t>grb and go</t>
  </si>
  <si>
    <t>Cashier Items</t>
  </si>
  <si>
    <t>half salad</t>
  </si>
  <si>
    <t>cheese pizza</t>
  </si>
  <si>
    <t>sandwiches</t>
  </si>
  <si>
    <t>soup</t>
  </si>
  <si>
    <t>pizza</t>
  </si>
  <si>
    <t>salad</t>
  </si>
  <si>
    <t>jack red</t>
  </si>
  <si>
    <t>featured red</t>
  </si>
  <si>
    <t>aziano</t>
  </si>
  <si>
    <t>angel chard</t>
  </si>
  <si>
    <t>bt mus white</t>
  </si>
  <si>
    <t>bt mus red</t>
  </si>
  <si>
    <t>bt hyatt merlot</t>
  </si>
  <si>
    <t>bt mulderbosch</t>
  </si>
  <si>
    <t>chz pizz</t>
  </si>
  <si>
    <t>biscotti</t>
  </si>
  <si>
    <t>grb n go</t>
  </si>
  <si>
    <t>hot dog</t>
  </si>
  <si>
    <t>cookie</t>
  </si>
  <si>
    <t>muffins</t>
  </si>
  <si>
    <t>.5 ice cream</t>
  </si>
  <si>
    <t>cup cake</t>
  </si>
  <si>
    <t>ice cream</t>
  </si>
  <si>
    <t>fruit and chz</t>
  </si>
  <si>
    <t>bottle water</t>
  </si>
  <si>
    <t>sand</t>
  </si>
  <si>
    <t>med</t>
  </si>
  <si>
    <t>tuna sand</t>
  </si>
  <si>
    <t>spec pizz</t>
  </si>
  <si>
    <t>sunglass</t>
  </si>
  <si>
    <t>cheese cake</t>
  </si>
  <si>
    <t>espres torte</t>
  </si>
  <si>
    <t>fruit tart</t>
  </si>
  <si>
    <t xml:space="preserve">latte </t>
  </si>
  <si>
    <t>cappacine</t>
  </si>
  <si>
    <t>espress</t>
  </si>
  <si>
    <t>dble espress</t>
  </si>
  <si>
    <t>hot cocoa</t>
  </si>
  <si>
    <t>hot tea</t>
  </si>
  <si>
    <t>mocha</t>
  </si>
  <si>
    <t>add syrup 4</t>
  </si>
  <si>
    <t>iced tea</t>
  </si>
  <si>
    <t>loose tea</t>
  </si>
  <si>
    <t>farm house pumpk</t>
  </si>
  <si>
    <t>capt trl</t>
  </si>
  <si>
    <t>pils hard</t>
  </si>
  <si>
    <t>mill lite</t>
  </si>
  <si>
    <t>yuengling</t>
  </si>
  <si>
    <t>hard sing</t>
  </si>
  <si>
    <t>blue moon</t>
  </si>
  <si>
    <t>stella</t>
  </si>
  <si>
    <t>starr hill ipa</t>
  </si>
  <si>
    <t>legnd brown</t>
  </si>
  <si>
    <t>bold rock</t>
  </si>
  <si>
    <t>hardywood forb</t>
  </si>
  <si>
    <t>mus white glass</t>
  </si>
  <si>
    <t>molderbach</t>
  </si>
  <si>
    <t>gl aziano</t>
  </si>
  <si>
    <t>cava</t>
  </si>
  <si>
    <t>gl mus red</t>
  </si>
  <si>
    <t>hyatt merlot</t>
  </si>
  <si>
    <t xml:space="preserve">caraff jack </t>
  </si>
  <si>
    <t>caraffe jack red</t>
  </si>
  <si>
    <t>spclty soda</t>
  </si>
  <si>
    <t>GF1_rK0qDwEADgCpAQwjACYANABuAIIAgwCRAJ8AgwGlAZ8BKgD//wAAAAAAAQQAAAAAAAAAAAEeRml0IENvbXBhcmlzb24gZm9yIGRpbmluZyBhcmVhARZSaXNrVHJpYW5nKDYsNiw2NS40NDApAQEQAAIAAQpTdGF0aXN0aWNzAwEBAP8BAQEBAQABAQEABAAAAAEBAQEBAAEBAQAEAAAACr4AAcwAANsAAPAAAAUBABoBAC8BAEQBAFkBAG4BAAwABUlucHV0AAAlAQIADQAGVHJpYW5nAAEvAQIAEwAMVW51c2VkIEN1cnZlAAJPAQIAEwAMVW51c2VkIEN1cnZlAAOMAQIAEwAMVW51c2VkIEN1cnZlAARMAQIAEwAMVW51c2VkIEN1cnZlAAU5AQIAEwAMVW51c2VkIEN1cnZlAAZOAQIAEwAMVW51c2VkIEN1cnZlAAcjAQIAEwAMVW51c2VkIEN1cnZlAAgpAQIAEwAMVW51c2VkIEN1cnZlAAlgAQIAiwGVAQEBAgGamZmZmZmpPwAAZmZmZmZm7j8AAAUAAQEBAAEBAQA=</t>
  </si>
  <si>
    <t>cheese pizz</t>
  </si>
  <si>
    <t>gng salad</t>
  </si>
  <si>
    <t>wpa desserts</t>
  </si>
  <si>
    <t>fruit and cheese</t>
  </si>
  <si>
    <t>milk box</t>
  </si>
  <si>
    <t>bottled water</t>
  </si>
  <si>
    <t>Juice</t>
  </si>
  <si>
    <t>sandwich</t>
  </si>
  <si>
    <t>mediterranean</t>
  </si>
  <si>
    <t>entrée salad</t>
  </si>
  <si>
    <t>beverage</t>
  </si>
  <si>
    <t>Servings</t>
  </si>
  <si>
    <t>Item</t>
  </si>
  <si>
    <t>6 slices</t>
  </si>
  <si>
    <t>how many pizzas?</t>
  </si>
  <si>
    <t>special</t>
  </si>
  <si>
    <t>cheese</t>
  </si>
  <si>
    <t>fruit</t>
  </si>
  <si>
    <t>meat salad</t>
  </si>
  <si>
    <t>veggie salad</t>
  </si>
  <si>
    <t>meat</t>
  </si>
  <si>
    <t>veggie</t>
  </si>
  <si>
    <t>18 on full rack</t>
  </si>
  <si>
    <t>time for pizza to cook</t>
  </si>
  <si>
    <t>36 arrived at time 0</t>
  </si>
  <si>
    <t>in seconds</t>
  </si>
  <si>
    <t>mean</t>
  </si>
  <si>
    <t>std dev</t>
  </si>
  <si>
    <t>minutes</t>
  </si>
  <si>
    <t>14 minutes served</t>
  </si>
  <si>
    <t>FIT_23889_8F7B2</t>
  </si>
  <si>
    <t>GF1_rK0qDwEADgDAAQwjACYANACEAJgAmQCnALUAmgG8AbYBKgD//wAAAAAAAQQAAAAAAAAAAAEdRml0IENvbXBhcmlzb24gZm9yIGluIHNlY29uZHMBLVJpc2tMb2dub3JtKDU4LjMzNCw4MS43MDksUmlza1NoaWZ0KC0xLjI2MDIpKQEBEAACAAEKU3RhdGlzdGljcwMBAQD/AQEBAQEAAQEBAAQAAAABAQEBAQABAQEABAAAAArUAAHiAADyAAAHAQAcAQAxAQBGAQBbAQBwAQCFAQAMAAVJbnB1dAAAJQECAA4AB0xvZ25vcm0AAS8BAgATAAxVbnVzZWQgQ3VydmUAAk8BAgATAAxVbnVzZWQgQ3VydmUAA4wBAgATAAxVbnVzZWQgQ3VydmUABEwBAgATAAxVbnVzZWQgQ3VydmUABTkBAgATAAxVbnVzZWQgQ3VydmUABk4BAgATAAxVbnVzZWQgQ3VydmUAByMBAgATAAxVbnVzZWQgQ3VydmUACCkBAgATAAxVbnVzZWQgQ3VydmUACWABAgCiAawBAQECAZqZmZmZmak/AABmZmZmZmbuPwAABQABAQEAAQEBAA==</t>
  </si>
  <si>
    <t>2 bowls</t>
  </si>
  <si>
    <t>total salad fruit meat veggie</t>
  </si>
  <si>
    <t>total soup</t>
  </si>
  <si>
    <t>1 rack veggie</t>
  </si>
  <si>
    <t>1 rack meat</t>
  </si>
  <si>
    <t>&lt;- 4 racks, includes backup</t>
  </si>
  <si>
    <t>soup with backup</t>
  </si>
  <si>
    <t xml:space="preserve">GandG </t>
  </si>
  <si>
    <t>tuna</t>
  </si>
  <si>
    <t>chx salad</t>
  </si>
  <si>
    <t>total GandG</t>
  </si>
  <si>
    <t>salad with 1 backup</t>
  </si>
  <si>
    <t>Salad with 2 Backup</t>
  </si>
  <si>
    <t xml:space="preserve">salad </t>
  </si>
  <si>
    <t>gng</t>
  </si>
  <si>
    <t>total</t>
  </si>
  <si>
    <t>percentage</t>
  </si>
  <si>
    <t>Decision Block</t>
  </si>
  <si>
    <t>food service in seconds</t>
  </si>
  <si>
    <t>dist</t>
  </si>
  <si>
    <t>Barista in seconds</t>
  </si>
  <si>
    <t>cashout in second</t>
  </si>
  <si>
    <t>Cashier in seconds</t>
  </si>
  <si>
    <t>FIT_7C611_89BAC</t>
  </si>
  <si>
    <t>GF1_rK0qDwEADgC8AQwjACYANACBAJUAlgCkALIAlgG4AbIBKgD//wAAAAAAAQQAAAAAAAAAAAEqRml0IENvbXBhcmlzb24gZm9yIGZvb2Qgc2VydmljZSBpbiBzZWNvbmRzAR1SaXNrVHJpYW5nKC0yLjI4NDUsMTYsNTQuOTI1KQEBEAACAAEKU3RhdGlzdGljcwMBAQD/AQEBAQEAAQEBAAQAAAABAQEBAQABAQEABAAAAArRAAHfAADuAAADAQAYAQAtAQBCAQBXAQBsAQCBAQAMAAVJbnB1dAAAJQECAA0ABlRyaWFuZwABLwECABMADFVudXNlZCBDdXJ2ZQACTwECABMADFVudXNlZCBDdXJ2ZQADjAECABMADFVudXNlZCBDdXJ2ZQAETAECABMADFVudXNlZCBDdXJ2ZQAFOQECABMADFVudXNlZCBDdXJ2ZQAGTgECABMADFVudXNlZCBDdXJ2ZQAHIwECABMADFVudXNlZCBDdXJ2ZQAIKQECABMADFVudXNlZCBDdXJ2ZQAJYAECAJ4BqAEBAQIBmpmZmZmZqT8AAGZmZmZmZu4/AAAFAAEBAQABAQEA</t>
  </si>
  <si>
    <t>FIT_B48C4_E0328</t>
  </si>
  <si>
    <t>GF1_rK0qDwEADgC3AQwjACYANAB6AI4AjwCdAKsAkQGzAa0BKgD//wAAAAAAAQQAAAAAAAAAAAElRml0IENvbXBhcmlzb24gZm9yIEJhcmlzdGEgaW4gc2Vjb25kcwEbUmlza0xvZ2lzdGljKDY2LjI0NCwxMi4zMDUpAQEQAAIAAQpTdGF0aXN0aWNzAwEBAP8BAQEBAQABAQEABAAAAAEBAQEBAAEBAQAEAAAACsoAAdgAAOkAAP4AABMBACgBAD0BAFIBAGcBAHwBAAwABUlucHV0AAAlAQIADwAITG9naXN0aWMAAS8BAgATAAxVbnVzZWQgQ3VydmUAAk8BAgATAAxVbnVzZWQgQ3VydmUAA4wBAgATAAxVbnVzZWQgQ3VydmUABEwBAgATAAxVbnVzZWQgQ3VydmUABTkBAgATAAxVbnVzZWQgQ3VydmUABk4BAgATAAxVbnVzZWQgQ3VydmUAByMBAgATAAxVbnVzZWQgQ3VydmUACCkBAgATAAxVbnVzZWQgQ3VydmUACWABAgCZAaMBAQECAZqZmZmZmak/AABmZmZmZmbuPwAABQABAQEAAQEBAA==</t>
  </si>
  <si>
    <t>FIT_A5D1E_7B1C2</t>
  </si>
  <si>
    <t>GF1_rK0qDwEADgCvAQwjACYANAB0AIgAiQCXAKUAiQGrAaUBKgD//wAAAAAAAQQAAAAAAAAAAAEkRml0IENvbXBhcmlzb24gZm9yIGNhc2hvdXQgaW4gc2Vjb25kARZSaXNrVHJpYW5nKDgsOCw4OC41MTQpAQEQAAIAAQpTdGF0aXN0aWNzAwEBAP8BAQEBAQABAQEABAAAAAEBAQEBAAEBAQAEAAAACsQAAdIAAOEAAPYAAAsBACABADUBAEoBAF8BAHQBAAwABUlucHV0AAAlAQIADQAGVHJpYW5nAAEvAQIAEwAMVW51c2VkIEN1cnZlAAJPAQIAEwAMVW51c2VkIEN1cnZlAAOMAQIAEwAMVW51c2VkIEN1cnZlAARMAQIAEwAMVW51c2VkIEN1cnZlAAU5AQIAEwAMVW51c2VkIEN1cnZlAAZOAQIAEwAMVW51c2VkIEN1cnZlAAcjAQIAEwAMVW51c2VkIEN1cnZlAAgpAQIAEwAMVW51c2VkIEN1cnZlAAlgAQIAkQGbAQEBAgGamZmZmZmpPwAAZmZmZmZm7j8AAAUAAQEBAAEBAQA=</t>
  </si>
  <si>
    <t>FIT_5FA0E_EF39B</t>
  </si>
  <si>
    <t>GF1_rK0qDwEADgC2AQwjACYANAB7AI8AkACeAKwAkAGyAawBKgD//wAAAAAAAQQAAAAAAAAAAAElRml0IENvbXBhcmlzb24gZm9yIENhc2hpZXIgaW4gc2Vjb25kcwEcUmlza1RyaWFuZygxMi40NDUsMjUsNjUuMjIzKQEBEAACAAEKU3RhdGlzdGljcwMBAQD/AQEBAQEAAQEBAAQAAAABAQEBAQABAQEABAAAAArLAAHZAADoAAD9AAASAQAnAQA8AQBRAQBmAQB7AQAMAAVJbnB1dAAAJQECAA0ABlRyaWFuZwABLwECABMADFVudXNlZCBDdXJ2ZQACTwECABMADFVudXNlZCBDdXJ2ZQADjAECABMADFVudXNlZCBDdXJ2ZQAETAECABMADFVudXNlZCBDdXJ2ZQAFOQECABMADFVudXNlZCBDdXJ2ZQAGTgECABMADFVudXNlZCBDdXJ2ZQAHIwECABMADFVudXNlZCBDdXJ2ZQAIKQECABMADFVudXNlZCBDdXJ2ZQAJYAECAJgBogEBAQIBmpmZmZmZqT8AAGZmZmZmZu4/AAAFAAEBAQABAQE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</si>
</sst>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46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quotePrefix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v>Number Arrived</c:v>
          </c:tx>
          <c:cat>
            <c:numRef>
              <c:f>'Arrival Times and Dining Area'!$D$4:$D$51</c:f>
              <c:numCache>
                <c:formatCode>h:mm:ss</c:formatCode>
                <c:ptCount val="48"/>
                <c:pt idx="0">
                  <c:v>9.6064814814814808E-4</c:v>
                </c:pt>
                <c:pt idx="1">
                  <c:v>1.7361111111111104E-4</c:v>
                </c:pt>
                <c:pt idx="2">
                  <c:v>4.2824074074074075E-4</c:v>
                </c:pt>
                <c:pt idx="3">
                  <c:v>1.7361111111111114E-4</c:v>
                </c:pt>
                <c:pt idx="4">
                  <c:v>2.5462962962962982E-4</c:v>
                </c:pt>
                <c:pt idx="5">
                  <c:v>1.9444444444444448E-3</c:v>
                </c:pt>
                <c:pt idx="6">
                  <c:v>2.0949074074074073E-3</c:v>
                </c:pt>
                <c:pt idx="7">
                  <c:v>1.1574074074074004E-4</c:v>
                </c:pt>
                <c:pt idx="8">
                  <c:v>1.0416666666666647E-4</c:v>
                </c:pt>
                <c:pt idx="9">
                  <c:v>2.0833333333333381E-4</c:v>
                </c:pt>
                <c:pt idx="10">
                  <c:v>2.1990740740740825E-4</c:v>
                </c:pt>
                <c:pt idx="11">
                  <c:v>9.2592592592592032E-5</c:v>
                </c:pt>
                <c:pt idx="12">
                  <c:v>6.9444444444444458E-4</c:v>
                </c:pt>
                <c:pt idx="13">
                  <c:v>1.8171296296296295E-3</c:v>
                </c:pt>
                <c:pt idx="14">
                  <c:v>2.3148148148148182E-4</c:v>
                </c:pt>
                <c:pt idx="15">
                  <c:v>4.9768518518518434E-4</c:v>
                </c:pt>
                <c:pt idx="16">
                  <c:v>1.5046296296296335E-4</c:v>
                </c:pt>
                <c:pt idx="17">
                  <c:v>4.6296296296296016E-5</c:v>
                </c:pt>
                <c:pt idx="18">
                  <c:v>9.0277777777777839E-4</c:v>
                </c:pt>
                <c:pt idx="19">
                  <c:v>6.9444444444444371E-4</c:v>
                </c:pt>
                <c:pt idx="20">
                  <c:v>4.0509259259259058E-4</c:v>
                </c:pt>
                <c:pt idx="21">
                  <c:v>8.1018518518520197E-5</c:v>
                </c:pt>
                <c:pt idx="22">
                  <c:v>4.1666666666666761E-4</c:v>
                </c:pt>
                <c:pt idx="23">
                  <c:v>1.1574074074073917E-4</c:v>
                </c:pt>
                <c:pt idx="24">
                  <c:v>4.0509259259259404E-4</c:v>
                </c:pt>
                <c:pt idx="25">
                  <c:v>6.0185185185185341E-4</c:v>
                </c:pt>
                <c:pt idx="26">
                  <c:v>1.3888888888888892E-3</c:v>
                </c:pt>
                <c:pt idx="27">
                  <c:v>1.9675925925925764E-4</c:v>
                </c:pt>
                <c:pt idx="28">
                  <c:v>5.555555555555574E-4</c:v>
                </c:pt>
                <c:pt idx="29">
                  <c:v>3.4722222222222099E-4</c:v>
                </c:pt>
                <c:pt idx="30">
                  <c:v>8.7962962962962604E-4</c:v>
                </c:pt>
                <c:pt idx="31">
                  <c:v>3.8194444444444864E-4</c:v>
                </c:pt>
                <c:pt idx="32">
                  <c:v>4.745370370370372E-4</c:v>
                </c:pt>
                <c:pt idx="33">
                  <c:v>8.3333333333333176E-4</c:v>
                </c:pt>
                <c:pt idx="34">
                  <c:v>3.8194444444444517E-4</c:v>
                </c:pt>
                <c:pt idx="35">
                  <c:v>2.8935185185184967E-4</c:v>
                </c:pt>
                <c:pt idx="36">
                  <c:v>8.6805555555555941E-4</c:v>
                </c:pt>
                <c:pt idx="37">
                  <c:v>1.157407407407357E-4</c:v>
                </c:pt>
                <c:pt idx="38">
                  <c:v>7.5231481481482024E-4</c:v>
                </c:pt>
                <c:pt idx="39">
                  <c:v>1.6203703703703345E-4</c:v>
                </c:pt>
                <c:pt idx="40">
                  <c:v>1.041666666666656E-4</c:v>
                </c:pt>
                <c:pt idx="41">
                  <c:v>5.0231481481481481E-3</c:v>
                </c:pt>
                <c:pt idx="42">
                  <c:v>1.0416666666666907E-4</c:v>
                </c:pt>
                <c:pt idx="43">
                  <c:v>1.574074074074075E-3</c:v>
                </c:pt>
                <c:pt idx="44">
                  <c:v>1.5972222222222221E-3</c:v>
                </c:pt>
                <c:pt idx="45">
                  <c:v>9.606481481481445E-4</c:v>
                </c:pt>
                <c:pt idx="46">
                  <c:v>4.1666666666667282E-4</c:v>
                </c:pt>
                <c:pt idx="47">
                  <c:v>1.1574074074070101E-5</c:v>
                </c:pt>
              </c:numCache>
            </c:numRef>
          </c:cat>
          <c:val>
            <c:numRef>
              <c:f>'Arrival Times and Dining Area'!$C$4:$C$51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15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</c:numCache>
            </c:numRef>
          </c:val>
        </c:ser>
        <c:axId val="90609536"/>
        <c:axId val="90611072"/>
      </c:barChart>
      <c:catAx>
        <c:axId val="90609536"/>
        <c:scaling>
          <c:orientation val="minMax"/>
        </c:scaling>
        <c:axPos val="b"/>
        <c:numFmt formatCode="h:mm:ss" sourceLinked="1"/>
        <c:tickLblPos val="nextTo"/>
        <c:crossAx val="90611072"/>
        <c:crosses val="autoZero"/>
        <c:auto val="1"/>
        <c:lblAlgn val="ctr"/>
        <c:lblOffset val="100"/>
      </c:catAx>
      <c:valAx>
        <c:axId val="90611072"/>
        <c:scaling>
          <c:orientation val="minMax"/>
        </c:scaling>
        <c:axPos val="l"/>
        <c:majorGridlines/>
        <c:numFmt formatCode="General" sourceLinked="1"/>
        <c:tickLblPos val="nextTo"/>
        <c:crossAx val="9060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161925</xdr:rowOff>
    </xdr:from>
    <xdr:to>
      <xdr:col>19</xdr:col>
      <xdr:colOff>66676</xdr:colOff>
      <xdr:row>12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23"/>
  <sheetViews>
    <sheetView workbookViewId="0"/>
  </sheetViews>
  <sheetFormatPr defaultColWidth="25.7109375" defaultRowHeight="15"/>
  <sheetData>
    <row r="1" spans="1:16">
      <c r="A1" t="s">
        <v>21</v>
      </c>
      <c r="B1" t="s">
        <v>22</v>
      </c>
    </row>
    <row r="2" spans="1:16">
      <c r="A2" t="s">
        <v>23</v>
      </c>
      <c r="B2" t="s">
        <v>24</v>
      </c>
    </row>
    <row r="3" spans="1:16">
      <c r="A3" t="s">
        <v>25</v>
      </c>
      <c r="B3" t="s">
        <v>24</v>
      </c>
    </row>
    <row r="4" spans="1:16">
      <c r="A4" t="s">
        <v>26</v>
      </c>
      <c r="B4" t="s">
        <v>22</v>
      </c>
    </row>
    <row r="9" spans="1:16">
      <c r="A9" t="s">
        <v>27</v>
      </c>
      <c r="B9">
        <v>13</v>
      </c>
    </row>
    <row r="10" spans="1:16">
      <c r="A10" t="s">
        <v>28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t="s">
        <v>37</v>
      </c>
      <c r="K10" t="s">
        <v>38</v>
      </c>
      <c r="L10" t="s">
        <v>39</v>
      </c>
      <c r="M10" t="s">
        <v>40</v>
      </c>
      <c r="N10" t="s">
        <v>41</v>
      </c>
      <c r="O10" t="s">
        <v>42</v>
      </c>
    </row>
    <row r="11" spans="1:16">
      <c r="A11" t="s">
        <v>43</v>
      </c>
      <c r="B11" s="5" t="s">
        <v>44</v>
      </c>
      <c r="C11">
        <f>'Arrival Times and Dining Area'!$C$4:$C$51</f>
        <v>3</v>
      </c>
      <c r="D11">
        <v>0</v>
      </c>
      <c r="E11" s="5" t="s">
        <v>45</v>
      </c>
      <c r="F11" t="s">
        <v>48</v>
      </c>
      <c r="J11" t="s">
        <v>46</v>
      </c>
      <c r="K11" t="s">
        <v>47</v>
      </c>
      <c r="O11">
        <v>5</v>
      </c>
      <c r="P11" t="b">
        <v>1</v>
      </c>
    </row>
    <row r="12" spans="1:16">
      <c r="A12" t="s">
        <v>49</v>
      </c>
      <c r="B12" s="5" t="s">
        <v>0</v>
      </c>
      <c r="C12">
        <f>'Arrival Times and Dining Area'!$C$4:$D$51</f>
        <v>1</v>
      </c>
      <c r="D12">
        <v>0</v>
      </c>
      <c r="E12" s="5" t="s">
        <v>45</v>
      </c>
      <c r="F12" t="s">
        <v>50</v>
      </c>
      <c r="J12" t="s">
        <v>46</v>
      </c>
      <c r="K12" t="s">
        <v>47</v>
      </c>
      <c r="O12">
        <v>4</v>
      </c>
      <c r="P12" t="b">
        <v>1</v>
      </c>
    </row>
    <row r="13" spans="1:16">
      <c r="A13" t="s">
        <v>51</v>
      </c>
      <c r="B13" s="5" t="s">
        <v>52</v>
      </c>
      <c r="C13">
        <f>'Arrival Times and Dining Area'!$D$1:$D$52</f>
        <v>2.0833333333333381E-4</v>
      </c>
      <c r="D13">
        <v>0</v>
      </c>
      <c r="E13" s="5" t="s">
        <v>53</v>
      </c>
      <c r="F13" t="s">
        <v>54</v>
      </c>
      <c r="J13" t="s">
        <v>46</v>
      </c>
      <c r="K13" t="s">
        <v>47</v>
      </c>
      <c r="O13">
        <v>0</v>
      </c>
      <c r="P13" t="b">
        <v>1</v>
      </c>
    </row>
    <row r="14" spans="1:16">
      <c r="A14" t="s">
        <v>67</v>
      </c>
      <c r="B14" s="5" t="s">
        <v>56</v>
      </c>
      <c r="C14" s="1" t="e">
        <f>'Food Serv, Bar, Cash Etc.'!$C$4:$C$13</f>
        <v>#VALUE!</v>
      </c>
      <c r="D14">
        <v>0</v>
      </c>
      <c r="E14" s="5" t="s">
        <v>45</v>
      </c>
      <c r="F14" t="s">
        <v>68</v>
      </c>
      <c r="J14" t="s">
        <v>46</v>
      </c>
      <c r="K14" t="s">
        <v>47</v>
      </c>
      <c r="O14">
        <v>4</v>
      </c>
      <c r="P14" t="b">
        <v>1</v>
      </c>
    </row>
    <row r="15" spans="1:16">
      <c r="A15" t="s">
        <v>85</v>
      </c>
      <c r="B15" s="5" t="s">
        <v>58</v>
      </c>
      <c r="C15">
        <f>'Food Serv, Bar, Cash Etc.'!$Y$4:$Y$20</f>
        <v>0.38</v>
      </c>
      <c r="D15">
        <v>0</v>
      </c>
      <c r="E15" s="5" t="s">
        <v>45</v>
      </c>
      <c r="F15" t="s">
        <v>86</v>
      </c>
      <c r="J15" t="s">
        <v>46</v>
      </c>
      <c r="K15" t="s">
        <v>47</v>
      </c>
      <c r="O15">
        <v>4</v>
      </c>
      <c r="P15" t="b">
        <v>1</v>
      </c>
    </row>
    <row r="16" spans="1:16">
      <c r="A16" t="s">
        <v>87</v>
      </c>
      <c r="B16" s="5" t="s">
        <v>62</v>
      </c>
      <c r="C16" t="e">
        <f>'Food Serv, Bar, Cash Etc.'!$E$4:$E$15</f>
        <v>#VALUE!</v>
      </c>
      <c r="D16">
        <v>0</v>
      </c>
      <c r="E16" s="5" t="s">
        <v>45</v>
      </c>
      <c r="F16" t="s">
        <v>88</v>
      </c>
      <c r="J16" t="s">
        <v>46</v>
      </c>
      <c r="K16" t="s">
        <v>47</v>
      </c>
      <c r="O16">
        <v>4</v>
      </c>
      <c r="P16" t="b">
        <v>1</v>
      </c>
    </row>
    <row r="17" spans="1:16">
      <c r="A17" t="s">
        <v>89</v>
      </c>
      <c r="B17" s="5" t="s">
        <v>84</v>
      </c>
      <c r="C17" t="e">
        <f>'Arrival Times and Dining Area'!$X$18:$X$30</f>
        <v>#VALUE!</v>
      </c>
      <c r="D17">
        <v>0</v>
      </c>
      <c r="E17" s="5" t="s">
        <v>45</v>
      </c>
      <c r="F17" t="s">
        <v>178</v>
      </c>
      <c r="J17" t="s">
        <v>46</v>
      </c>
      <c r="K17" t="s">
        <v>47</v>
      </c>
      <c r="O17">
        <v>1</v>
      </c>
      <c r="P17" t="b">
        <v>1</v>
      </c>
    </row>
    <row r="18" spans="1:16">
      <c r="A18" t="s">
        <v>90</v>
      </c>
      <c r="B18" s="5" t="s">
        <v>61</v>
      </c>
      <c r="C18" t="e">
        <f>'Food Serv, Bar, Cash Etc.'!$N$4:$N$12</f>
        <v>#VALUE!</v>
      </c>
      <c r="D18">
        <v>0</v>
      </c>
      <c r="E18" s="5" t="s">
        <v>45</v>
      </c>
      <c r="F18" t="s">
        <v>91</v>
      </c>
      <c r="J18" t="s">
        <v>46</v>
      </c>
      <c r="K18" t="s">
        <v>47</v>
      </c>
      <c r="O18">
        <v>0</v>
      </c>
      <c r="P18" t="b">
        <v>1</v>
      </c>
    </row>
    <row r="19" spans="1:16">
      <c r="A19" t="s">
        <v>209</v>
      </c>
      <c r="B19" s="5" t="s">
        <v>204</v>
      </c>
      <c r="C19">
        <f>'Arrival Times and Dining Area'!$E$4:$E$51</f>
        <v>43</v>
      </c>
      <c r="D19">
        <v>0</v>
      </c>
      <c r="E19" s="5" t="s">
        <v>45</v>
      </c>
      <c r="F19" t="s">
        <v>210</v>
      </c>
      <c r="J19" t="s">
        <v>46</v>
      </c>
      <c r="K19" t="s">
        <v>47</v>
      </c>
      <c r="O19">
        <v>0</v>
      </c>
      <c r="P19" t="b">
        <v>1</v>
      </c>
    </row>
    <row r="20" spans="1:16">
      <c r="A20" t="s">
        <v>234</v>
      </c>
      <c r="B20" s="5" t="s">
        <v>229</v>
      </c>
      <c r="C20">
        <f>'Food Serv, Bar, Cash Etc.'!$M$4:$M$36</f>
        <v>16</v>
      </c>
      <c r="D20">
        <v>0</v>
      </c>
      <c r="E20" s="5" t="s">
        <v>45</v>
      </c>
      <c r="F20" t="s">
        <v>235</v>
      </c>
      <c r="J20" t="s">
        <v>46</v>
      </c>
      <c r="K20" t="s">
        <v>47</v>
      </c>
      <c r="O20">
        <v>4</v>
      </c>
      <c r="P20" t="b">
        <v>1</v>
      </c>
    </row>
    <row r="21" spans="1:16">
      <c r="A21" t="s">
        <v>236</v>
      </c>
      <c r="B21" s="5" t="s">
        <v>231</v>
      </c>
      <c r="C21" t="e">
        <f>'Food Serv, Bar, Cash Etc.'!$Q$4:$Q$20</f>
        <v>#VALUE!</v>
      </c>
      <c r="D21">
        <v>0</v>
      </c>
      <c r="E21" s="5" t="s">
        <v>45</v>
      </c>
      <c r="F21" t="s">
        <v>237</v>
      </c>
      <c r="J21" t="s">
        <v>46</v>
      </c>
      <c r="K21" t="s">
        <v>47</v>
      </c>
      <c r="O21">
        <v>0</v>
      </c>
      <c r="P21" t="b">
        <v>1</v>
      </c>
    </row>
    <row r="22" spans="1:16">
      <c r="A22" t="s">
        <v>238</v>
      </c>
      <c r="B22" s="5" t="s">
        <v>232</v>
      </c>
      <c r="C22" t="e">
        <f>'Food Serv, Bar, Cash Etc.'!$U$4:$U$18</f>
        <v>#VALUE!</v>
      </c>
      <c r="D22">
        <v>0</v>
      </c>
      <c r="E22" s="5" t="s">
        <v>45</v>
      </c>
      <c r="F22" t="s">
        <v>239</v>
      </c>
      <c r="J22" t="s">
        <v>46</v>
      </c>
      <c r="K22" t="s">
        <v>47</v>
      </c>
      <c r="O22">
        <v>4</v>
      </c>
      <c r="P22" t="b">
        <v>1</v>
      </c>
    </row>
    <row r="23" spans="1:16">
      <c r="A23" t="s">
        <v>240</v>
      </c>
      <c r="B23" s="5" t="s">
        <v>233</v>
      </c>
      <c r="C23">
        <f>'Food Serv, Bar, Cash Etc.'!$X$4:$X$25</f>
        <v>35</v>
      </c>
      <c r="D23">
        <v>0</v>
      </c>
      <c r="E23" s="5" t="s">
        <v>45</v>
      </c>
      <c r="F23" t="s">
        <v>241</v>
      </c>
      <c r="J23" t="s">
        <v>46</v>
      </c>
      <c r="K23" t="s">
        <v>47</v>
      </c>
      <c r="O23">
        <v>4</v>
      </c>
      <c r="P23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X52"/>
  <sheetViews>
    <sheetView topLeftCell="B1" workbookViewId="0">
      <selection activeCell="M1" sqref="M1"/>
    </sheetView>
  </sheetViews>
  <sheetFormatPr defaultRowHeight="15"/>
  <cols>
    <col min="6" max="6" width="16.140625" customWidth="1"/>
    <col min="13" max="13" width="10.140625" customWidth="1"/>
    <col min="14" max="14" width="7.42578125" customWidth="1"/>
    <col min="15" max="15" width="15.42578125" customWidth="1"/>
  </cols>
  <sheetData>
    <row r="1" spans="1:19">
      <c r="A1" s="1">
        <v>0.50486111111111109</v>
      </c>
    </row>
    <row r="2" spans="1:19">
      <c r="C2" t="s">
        <v>1</v>
      </c>
    </row>
    <row r="3" spans="1:19">
      <c r="C3" t="s">
        <v>0</v>
      </c>
      <c r="D3" t="s">
        <v>5</v>
      </c>
      <c r="E3" t="s">
        <v>204</v>
      </c>
      <c r="P3" t="s">
        <v>3</v>
      </c>
      <c r="S3" t="s">
        <v>2</v>
      </c>
    </row>
    <row r="4" spans="1:19">
      <c r="B4" s="3">
        <v>0</v>
      </c>
      <c r="C4">
        <v>2</v>
      </c>
      <c r="D4" s="3">
        <f>$B5-$B4</f>
        <v>9.6064814814814808E-4</v>
      </c>
      <c r="E4">
        <f>60+23</f>
        <v>83</v>
      </c>
      <c r="F4" t="s">
        <v>19</v>
      </c>
      <c r="G4" s="4">
        <f>AVERAGE(C4:C52)</f>
        <v>1.8775510204081634</v>
      </c>
    </row>
    <row r="5" spans="1:19">
      <c r="B5" s="3">
        <v>9.6064814814814808E-4</v>
      </c>
      <c r="C5">
        <v>1</v>
      </c>
      <c r="D5" s="3">
        <f t="shared" ref="D5:D51" si="0">$B6-$B5</f>
        <v>1.7361111111111104E-4</v>
      </c>
      <c r="E5">
        <f>15</f>
        <v>15</v>
      </c>
      <c r="F5" s="3" t="s">
        <v>20</v>
      </c>
      <c r="G5">
        <f ca="1">_xll.RiskLognorm(58.334,81.709,_xll.RiskShift(-1.2602),_xll.RiskName("in seconds"))</f>
        <v>57.073800000000006</v>
      </c>
      <c r="O5">
        <f ca="1">_xll.RiskLognorm(0.8423,1.707,_xll.RiskShift(-0.0026337),_xll.RiskName("Dataset 3"))</f>
        <v>0.83966630000000009</v>
      </c>
    </row>
    <row r="6" spans="1:19">
      <c r="B6" s="3">
        <v>1.1342592592592591E-3</v>
      </c>
      <c r="C6">
        <v>1</v>
      </c>
      <c r="D6" s="3">
        <f t="shared" si="0"/>
        <v>4.2824074074074075E-4</v>
      </c>
      <c r="E6">
        <f>37</f>
        <v>37</v>
      </c>
      <c r="F6" t="s">
        <v>205</v>
      </c>
      <c r="G6">
        <v>57</v>
      </c>
    </row>
    <row r="7" spans="1:19">
      <c r="B7" s="3">
        <v>1.5624999999999999E-3</v>
      </c>
      <c r="C7">
        <v>1</v>
      </c>
      <c r="D7" s="3">
        <f t="shared" si="0"/>
        <v>1.7361111111111114E-4</v>
      </c>
      <c r="E7">
        <f>15</f>
        <v>15</v>
      </c>
      <c r="F7" t="s">
        <v>206</v>
      </c>
      <c r="G7">
        <v>81.709000000000003</v>
      </c>
    </row>
    <row r="8" spans="1:19">
      <c r="B8" s="3">
        <v>1.736111111111111E-3</v>
      </c>
      <c r="C8">
        <v>2</v>
      </c>
      <c r="D8" s="3">
        <f t="shared" si="0"/>
        <v>2.5462962962962982E-4</v>
      </c>
      <c r="E8">
        <f>22</f>
        <v>22</v>
      </c>
      <c r="G8" s="4"/>
    </row>
    <row r="9" spans="1:19">
      <c r="B9" s="3">
        <v>1.9907407407407408E-3</v>
      </c>
      <c r="C9">
        <v>1</v>
      </c>
      <c r="D9" s="3">
        <f t="shared" si="0"/>
        <v>1.9444444444444448E-3</v>
      </c>
      <c r="E9">
        <f>2*60+48</f>
        <v>168</v>
      </c>
      <c r="F9" t="s">
        <v>205</v>
      </c>
      <c r="G9" s="4">
        <f>G6/60</f>
        <v>0.95</v>
      </c>
      <c r="H9" t="s">
        <v>207</v>
      </c>
    </row>
    <row r="10" spans="1:19">
      <c r="B10" s="3">
        <v>3.9351851851851857E-3</v>
      </c>
      <c r="C10">
        <v>1</v>
      </c>
      <c r="D10" s="3">
        <f t="shared" si="0"/>
        <v>2.0949074074074073E-3</v>
      </c>
      <c r="E10">
        <f>3*60+1</f>
        <v>181</v>
      </c>
      <c r="F10" t="s">
        <v>206</v>
      </c>
      <c r="G10" s="4">
        <f>G7/60</f>
        <v>1.3618166666666667</v>
      </c>
      <c r="H10" t="s">
        <v>207</v>
      </c>
    </row>
    <row r="11" spans="1:19">
      <c r="B11" s="3">
        <v>6.030092592592593E-3</v>
      </c>
      <c r="C11">
        <v>3</v>
      </c>
      <c r="D11" s="3">
        <f t="shared" si="0"/>
        <v>1.1574074074074004E-4</v>
      </c>
      <c r="E11">
        <f>10</f>
        <v>10</v>
      </c>
    </row>
    <row r="12" spans="1:19">
      <c r="B12" s="3">
        <v>6.145833333333333E-3</v>
      </c>
      <c r="C12">
        <v>1</v>
      </c>
      <c r="D12" s="3">
        <f t="shared" si="0"/>
        <v>1.0416666666666647E-4</v>
      </c>
      <c r="E12">
        <f>9</f>
        <v>9</v>
      </c>
    </row>
    <row r="13" spans="1:19">
      <c r="B13" s="3">
        <v>6.2499999999999995E-3</v>
      </c>
      <c r="C13">
        <v>2</v>
      </c>
      <c r="D13" s="3">
        <f t="shared" si="0"/>
        <v>2.0833333333333381E-4</v>
      </c>
      <c r="E13">
        <f>18</f>
        <v>18</v>
      </c>
    </row>
    <row r="14" spans="1:19">
      <c r="B14" s="3">
        <v>6.4583333333333333E-3</v>
      </c>
      <c r="C14">
        <v>3</v>
      </c>
      <c r="D14" s="3">
        <f t="shared" si="0"/>
        <v>2.1990740740740825E-4</v>
      </c>
      <c r="E14">
        <f>19</f>
        <v>19</v>
      </c>
    </row>
    <row r="15" spans="1:19">
      <c r="B15" s="3">
        <v>6.6782407407407415E-3</v>
      </c>
      <c r="C15">
        <v>1</v>
      </c>
      <c r="D15" s="3">
        <f t="shared" si="0"/>
        <v>9.2592592592592032E-5</v>
      </c>
      <c r="E15">
        <f>8</f>
        <v>8</v>
      </c>
      <c r="R15" t="s">
        <v>4</v>
      </c>
    </row>
    <row r="16" spans="1:19">
      <c r="B16" s="3">
        <v>6.7708333333333336E-3</v>
      </c>
      <c r="C16">
        <v>1</v>
      </c>
      <c r="D16" s="3">
        <f t="shared" si="0"/>
        <v>6.9444444444444458E-4</v>
      </c>
      <c r="E16">
        <f>60</f>
        <v>60</v>
      </c>
    </row>
    <row r="17" spans="2:24">
      <c r="B17" s="3">
        <v>7.4652777777777781E-3</v>
      </c>
      <c r="C17">
        <v>1</v>
      </c>
      <c r="D17" s="3">
        <f t="shared" si="0"/>
        <v>1.8171296296296295E-3</v>
      </c>
      <c r="E17">
        <f>2*60+37</f>
        <v>157</v>
      </c>
      <c r="X17" t="s">
        <v>84</v>
      </c>
    </row>
    <row r="18" spans="2:24">
      <c r="B18" s="3">
        <v>9.2824074074074076E-3</v>
      </c>
      <c r="C18">
        <v>1</v>
      </c>
      <c r="D18" s="3">
        <f t="shared" si="0"/>
        <v>2.3148148148148182E-4</v>
      </c>
      <c r="E18">
        <f>20</f>
        <v>20</v>
      </c>
      <c r="P18" s="1"/>
      <c r="Q18" t="s">
        <v>6</v>
      </c>
      <c r="S18" s="3">
        <v>1.1458333333333334E-2</v>
      </c>
      <c r="T18" s="3">
        <v>1.5972222222222224E-2</v>
      </c>
      <c r="V18" s="1">
        <f>T18-S18</f>
        <v>4.5138888888888902E-3</v>
      </c>
      <c r="X18">
        <v>6</v>
      </c>
    </row>
    <row r="19" spans="2:24">
      <c r="B19" s="3">
        <v>9.5138888888888894E-3</v>
      </c>
      <c r="C19">
        <v>1</v>
      </c>
      <c r="D19" s="3">
        <f t="shared" si="0"/>
        <v>4.9768518518518434E-4</v>
      </c>
      <c r="E19">
        <f>43</f>
        <v>43</v>
      </c>
      <c r="P19" s="1"/>
      <c r="V19" s="1"/>
      <c r="X19">
        <v>18</v>
      </c>
    </row>
    <row r="20" spans="2:24">
      <c r="B20" s="3">
        <v>1.0011574074074074E-2</v>
      </c>
      <c r="C20">
        <v>3</v>
      </c>
      <c r="D20" s="3">
        <f t="shared" si="0"/>
        <v>1.5046296296296335E-4</v>
      </c>
      <c r="E20">
        <f>13</f>
        <v>13</v>
      </c>
      <c r="Q20" t="s">
        <v>7</v>
      </c>
      <c r="S20" s="3">
        <v>1.4305555555555557E-2</v>
      </c>
      <c r="T20" s="3">
        <v>2.6932870370370371E-2</v>
      </c>
      <c r="V20" s="1">
        <f t="shared" ref="V20:V42" si="1">T20-S20</f>
        <v>1.2627314814814813E-2</v>
      </c>
      <c r="X20">
        <v>18</v>
      </c>
    </row>
    <row r="21" spans="2:24">
      <c r="B21" s="3">
        <v>1.0162037037037037E-2</v>
      </c>
      <c r="C21">
        <v>1</v>
      </c>
      <c r="D21" s="3">
        <f t="shared" si="0"/>
        <v>4.6296296296296016E-5</v>
      </c>
      <c r="E21">
        <f>4</f>
        <v>4</v>
      </c>
      <c r="V21" s="1"/>
      <c r="X21">
        <v>21</v>
      </c>
    </row>
    <row r="22" spans="2:24">
      <c r="B22" s="3">
        <v>1.0208333333333333E-2</v>
      </c>
      <c r="C22">
        <v>1</v>
      </c>
      <c r="D22" s="3">
        <f t="shared" si="0"/>
        <v>9.0277777777777839E-4</v>
      </c>
      <c r="E22">
        <f>60+18</f>
        <v>78</v>
      </c>
      <c r="Q22" t="s">
        <v>8</v>
      </c>
      <c r="S22" s="3">
        <v>1.6712962962962961E-2</v>
      </c>
      <c r="T22" s="3">
        <v>2.9537037037037039E-2</v>
      </c>
      <c r="V22" s="1">
        <f t="shared" si="1"/>
        <v>1.2824074074074078E-2</v>
      </c>
      <c r="X22">
        <v>33</v>
      </c>
    </row>
    <row r="23" spans="2:24">
      <c r="B23" s="3">
        <v>1.1111111111111112E-2</v>
      </c>
      <c r="C23">
        <v>1</v>
      </c>
      <c r="D23" s="3">
        <f t="shared" si="0"/>
        <v>6.9444444444444371E-4</v>
      </c>
      <c r="E23">
        <f>60</f>
        <v>60</v>
      </c>
      <c r="V23" s="1"/>
      <c r="X23">
        <v>29</v>
      </c>
    </row>
    <row r="24" spans="2:24">
      <c r="B24" s="3">
        <v>1.1805555555555555E-2</v>
      </c>
      <c r="C24">
        <v>2</v>
      </c>
      <c r="D24" s="3">
        <f t="shared" si="0"/>
        <v>4.0509259259259058E-4</v>
      </c>
      <c r="E24">
        <f>35</f>
        <v>35</v>
      </c>
      <c r="Q24" t="s">
        <v>9</v>
      </c>
      <c r="S24" s="3">
        <v>1.9756944444444445E-2</v>
      </c>
      <c r="T24" s="3">
        <v>3.4722222222222224E-2</v>
      </c>
      <c r="V24" s="1">
        <f t="shared" si="1"/>
        <v>1.4965277777777779E-2</v>
      </c>
      <c r="X24">
        <v>17</v>
      </c>
    </row>
    <row r="25" spans="2:24">
      <c r="B25" s="3">
        <v>1.2210648148148146E-2</v>
      </c>
      <c r="C25">
        <v>2</v>
      </c>
      <c r="D25" s="3">
        <f t="shared" si="0"/>
        <v>8.1018518518520197E-5</v>
      </c>
      <c r="E25">
        <f>7</f>
        <v>7</v>
      </c>
      <c r="V25" s="1"/>
      <c r="X25">
        <v>22</v>
      </c>
    </row>
    <row r="26" spans="2:24">
      <c r="B26" s="3">
        <v>1.2291666666666666E-2</v>
      </c>
      <c r="C26">
        <v>2</v>
      </c>
      <c r="D26" s="3">
        <f t="shared" si="0"/>
        <v>4.1666666666666761E-4</v>
      </c>
      <c r="E26">
        <f>36</f>
        <v>36</v>
      </c>
      <c r="Q26" t="s">
        <v>10</v>
      </c>
      <c r="S26" s="2">
        <v>2.631944444444444E-2</v>
      </c>
      <c r="T26" s="3">
        <v>4.9861111111111113E-2</v>
      </c>
      <c r="V26" s="1">
        <f t="shared" si="1"/>
        <v>2.3541666666666673E-2</v>
      </c>
      <c r="X26">
        <v>9</v>
      </c>
    </row>
    <row r="27" spans="2:24">
      <c r="B27" s="3">
        <v>1.2708333333333334E-2</v>
      </c>
      <c r="C27">
        <v>1</v>
      </c>
      <c r="D27" s="3">
        <f t="shared" si="0"/>
        <v>1.1574074074073917E-4</v>
      </c>
      <c r="E27">
        <f>10</f>
        <v>10</v>
      </c>
      <c r="V27" s="1"/>
      <c r="X27">
        <v>35</v>
      </c>
    </row>
    <row r="28" spans="2:24">
      <c r="B28" s="3">
        <v>1.2824074074074073E-2</v>
      </c>
      <c r="C28">
        <v>2</v>
      </c>
      <c r="D28" s="3">
        <f t="shared" si="0"/>
        <v>4.0509259259259404E-4</v>
      </c>
      <c r="E28">
        <f>35</f>
        <v>35</v>
      </c>
      <c r="Q28" t="s">
        <v>11</v>
      </c>
      <c r="S28" s="2">
        <v>2.3993055555555556E-2</v>
      </c>
      <c r="T28" s="3">
        <v>4.4502314814814814E-2</v>
      </c>
      <c r="V28" s="1">
        <f t="shared" si="1"/>
        <v>2.0509259259259258E-2</v>
      </c>
      <c r="X28">
        <v>56</v>
      </c>
    </row>
    <row r="29" spans="2:24">
      <c r="B29" s="3">
        <v>1.3229166666666667E-2</v>
      </c>
      <c r="C29">
        <v>2</v>
      </c>
      <c r="D29" s="3">
        <f t="shared" si="0"/>
        <v>6.0185185185185341E-4</v>
      </c>
      <c r="E29">
        <f>52</f>
        <v>52</v>
      </c>
      <c r="V29" s="1"/>
      <c r="X29">
        <v>53</v>
      </c>
    </row>
    <row r="30" spans="2:24">
      <c r="B30" s="3">
        <v>1.383101851851852E-2</v>
      </c>
      <c r="C30">
        <v>1</v>
      </c>
      <c r="D30" s="3">
        <f t="shared" si="0"/>
        <v>1.3888888888888892E-3</v>
      </c>
      <c r="E30">
        <f>120</f>
        <v>120</v>
      </c>
      <c r="Q30" t="s">
        <v>12</v>
      </c>
      <c r="S30" s="2">
        <v>3.3553240740740745E-2</v>
      </c>
      <c r="T30" s="3">
        <v>4.5833333333333337E-2</v>
      </c>
      <c r="V30" s="1">
        <f t="shared" si="1"/>
        <v>1.2280092592592592E-2</v>
      </c>
      <c r="X30">
        <v>7</v>
      </c>
    </row>
    <row r="31" spans="2:24">
      <c r="B31" s="3">
        <v>1.5219907407407409E-2</v>
      </c>
      <c r="C31">
        <v>1</v>
      </c>
      <c r="D31" s="3">
        <f t="shared" si="0"/>
        <v>1.9675925925925764E-4</v>
      </c>
      <c r="E31">
        <f>17</f>
        <v>17</v>
      </c>
      <c r="V31" s="1"/>
    </row>
    <row r="32" spans="2:24">
      <c r="B32" s="3">
        <v>1.5416666666666667E-2</v>
      </c>
      <c r="C32">
        <v>1</v>
      </c>
      <c r="D32" s="3">
        <f t="shared" si="0"/>
        <v>5.555555555555574E-4</v>
      </c>
      <c r="E32">
        <f>48</f>
        <v>48</v>
      </c>
      <c r="Q32" t="s">
        <v>13</v>
      </c>
      <c r="S32" s="2">
        <v>3.7905092592592594E-2</v>
      </c>
      <c r="T32" s="3">
        <v>5.3819444444444448E-2</v>
      </c>
      <c r="V32" s="1">
        <f t="shared" si="1"/>
        <v>1.5914351851851853E-2</v>
      </c>
    </row>
    <row r="33" spans="2:22">
      <c r="B33" s="3">
        <v>1.5972222222222224E-2</v>
      </c>
      <c r="C33">
        <v>2</v>
      </c>
      <c r="D33" s="3">
        <f t="shared" si="0"/>
        <v>3.4722222222222099E-4</v>
      </c>
      <c r="E33">
        <f>30</f>
        <v>30</v>
      </c>
      <c r="V33" s="1"/>
    </row>
    <row r="34" spans="2:22">
      <c r="B34" s="3">
        <v>1.6319444444444445E-2</v>
      </c>
      <c r="C34">
        <v>1</v>
      </c>
      <c r="D34" s="3">
        <f t="shared" si="0"/>
        <v>8.7962962962962604E-4</v>
      </c>
      <c r="E34">
        <f>60+16</f>
        <v>76</v>
      </c>
      <c r="Q34" t="s">
        <v>14</v>
      </c>
      <c r="S34" s="2">
        <v>3.5416666666666666E-2</v>
      </c>
      <c r="T34" s="3">
        <v>4.2187499999999996E-2</v>
      </c>
      <c r="V34" s="1">
        <f t="shared" si="1"/>
        <v>6.7708333333333301E-3</v>
      </c>
    </row>
    <row r="35" spans="2:22">
      <c r="B35" s="3">
        <v>1.7199074074074071E-2</v>
      </c>
      <c r="C35">
        <v>2</v>
      </c>
      <c r="D35" s="3">
        <f t="shared" si="0"/>
        <v>3.8194444444444864E-4</v>
      </c>
      <c r="E35">
        <f>33</f>
        <v>33</v>
      </c>
      <c r="V35" s="1"/>
    </row>
    <row r="36" spans="2:22">
      <c r="B36" s="3">
        <v>1.758101851851852E-2</v>
      </c>
      <c r="C36">
        <v>3</v>
      </c>
      <c r="D36" s="3">
        <f t="shared" si="0"/>
        <v>4.745370370370372E-4</v>
      </c>
      <c r="E36">
        <f>41</f>
        <v>41</v>
      </c>
      <c r="Q36" t="s">
        <v>15</v>
      </c>
      <c r="S36" s="2">
        <v>3.770833333333333E-2</v>
      </c>
      <c r="T36" s="3">
        <v>6.2268518518518522E-2</v>
      </c>
      <c r="V36" s="1">
        <f t="shared" si="1"/>
        <v>2.4560185185185192E-2</v>
      </c>
    </row>
    <row r="37" spans="2:22">
      <c r="B37" s="3">
        <v>1.8055555555555557E-2</v>
      </c>
      <c r="C37">
        <v>1</v>
      </c>
      <c r="D37" s="3">
        <f t="shared" si="0"/>
        <v>8.3333333333333176E-4</v>
      </c>
      <c r="E37">
        <f>60+12</f>
        <v>72</v>
      </c>
      <c r="V37" s="1"/>
    </row>
    <row r="38" spans="2:22">
      <c r="B38" s="3">
        <v>1.8888888888888889E-2</v>
      </c>
      <c r="C38">
        <v>1</v>
      </c>
      <c r="D38" s="3">
        <f t="shared" si="0"/>
        <v>3.8194444444444517E-4</v>
      </c>
      <c r="E38">
        <f>33</f>
        <v>33</v>
      </c>
      <c r="Q38" t="s">
        <v>16</v>
      </c>
      <c r="S38" s="3">
        <v>4.7222222222222221E-2</v>
      </c>
      <c r="T38" s="3">
        <v>8.6111111111111124E-2</v>
      </c>
      <c r="V38" s="1">
        <f t="shared" si="1"/>
        <v>3.8888888888888903E-2</v>
      </c>
    </row>
    <row r="39" spans="2:22">
      <c r="B39" s="3">
        <v>1.9270833333333334E-2</v>
      </c>
      <c r="C39">
        <v>2</v>
      </c>
      <c r="D39" s="3">
        <f t="shared" si="0"/>
        <v>2.8935185185184967E-4</v>
      </c>
      <c r="E39">
        <f>25</f>
        <v>25</v>
      </c>
      <c r="V39" s="1"/>
    </row>
    <row r="40" spans="2:22">
      <c r="B40" s="3">
        <v>1.9560185185185184E-2</v>
      </c>
      <c r="C40">
        <v>1</v>
      </c>
      <c r="D40" s="3">
        <f t="shared" si="0"/>
        <v>8.6805555555555941E-4</v>
      </c>
      <c r="E40">
        <f>60+15</f>
        <v>75</v>
      </c>
      <c r="Q40" t="s">
        <v>17</v>
      </c>
      <c r="S40" s="3">
        <v>4.9305555555555554E-2</v>
      </c>
      <c r="T40" s="3">
        <v>8.6111111111111124E-2</v>
      </c>
      <c r="V40" s="1">
        <f t="shared" si="1"/>
        <v>3.6805555555555571E-2</v>
      </c>
    </row>
    <row r="41" spans="2:22">
      <c r="B41" s="3">
        <v>2.0428240740740743E-2</v>
      </c>
      <c r="C41">
        <v>1</v>
      </c>
      <c r="D41" s="3">
        <f t="shared" si="0"/>
        <v>1.157407407407357E-4</v>
      </c>
      <c r="E41">
        <f>10</f>
        <v>10</v>
      </c>
      <c r="V41" s="1"/>
    </row>
    <row r="42" spans="2:22">
      <c r="B42" s="3">
        <v>2.0543981481481479E-2</v>
      </c>
      <c r="C42">
        <v>1</v>
      </c>
      <c r="D42" s="3">
        <f t="shared" si="0"/>
        <v>7.5231481481482024E-4</v>
      </c>
      <c r="E42">
        <f>60+5</f>
        <v>65</v>
      </c>
      <c r="Q42" t="s">
        <v>18</v>
      </c>
      <c r="S42" s="3">
        <v>5.4745370370370368E-2</v>
      </c>
      <c r="T42" s="3">
        <v>5.9814814814814814E-2</v>
      </c>
      <c r="V42" s="1">
        <f t="shared" si="1"/>
        <v>5.0694444444444459E-3</v>
      </c>
    </row>
    <row r="43" spans="2:22">
      <c r="B43" s="3">
        <v>2.1296296296296299E-2</v>
      </c>
      <c r="C43">
        <v>15</v>
      </c>
      <c r="D43" s="3">
        <f t="shared" si="0"/>
        <v>1.6203703703703345E-4</v>
      </c>
      <c r="E43">
        <f>14</f>
        <v>14</v>
      </c>
    </row>
    <row r="44" spans="2:22">
      <c r="B44" s="3">
        <v>2.1458333333333333E-2</v>
      </c>
      <c r="C44">
        <v>3</v>
      </c>
      <c r="D44" s="3">
        <f t="shared" si="0"/>
        <v>1.041666666666656E-4</v>
      </c>
      <c r="E44">
        <f>9</f>
        <v>9</v>
      </c>
    </row>
    <row r="45" spans="2:22">
      <c r="B45" s="3">
        <v>2.1562499999999998E-2</v>
      </c>
      <c r="C45">
        <v>1</v>
      </c>
      <c r="D45" s="3">
        <f t="shared" si="0"/>
        <v>5.0231481481481481E-3</v>
      </c>
      <c r="E45">
        <f>7*60+14</f>
        <v>434</v>
      </c>
    </row>
    <row r="46" spans="2:22">
      <c r="B46" s="3">
        <v>2.6585648148148146E-2</v>
      </c>
      <c r="C46">
        <v>4</v>
      </c>
      <c r="D46" s="3">
        <f t="shared" si="0"/>
        <v>1.0416666666666907E-4</v>
      </c>
      <c r="E46">
        <f>9</f>
        <v>9</v>
      </c>
    </row>
    <row r="47" spans="2:22">
      <c r="B47" s="3">
        <v>2.6689814814814816E-2</v>
      </c>
      <c r="C47">
        <v>1</v>
      </c>
      <c r="D47" s="3">
        <f t="shared" si="0"/>
        <v>1.574074074074075E-3</v>
      </c>
      <c r="E47">
        <f>120+16</f>
        <v>136</v>
      </c>
    </row>
    <row r="48" spans="2:22">
      <c r="B48" s="3">
        <v>2.826388888888889E-2</v>
      </c>
      <c r="C48">
        <v>1</v>
      </c>
      <c r="D48" s="3">
        <f t="shared" si="0"/>
        <v>1.5972222222222221E-3</v>
      </c>
      <c r="E48">
        <f>120+18</f>
        <v>138</v>
      </c>
    </row>
    <row r="49" spans="2:5">
      <c r="B49" s="3">
        <v>2.9861111111111113E-2</v>
      </c>
      <c r="C49">
        <v>2</v>
      </c>
      <c r="D49" s="3">
        <f t="shared" si="0"/>
        <v>9.606481481481445E-4</v>
      </c>
      <c r="E49">
        <f>60+23</f>
        <v>83</v>
      </c>
    </row>
    <row r="50" spans="2:5">
      <c r="B50" s="3">
        <v>3.0821759259259257E-2</v>
      </c>
      <c r="C50">
        <v>2</v>
      </c>
      <c r="D50" s="3">
        <f t="shared" si="0"/>
        <v>4.1666666666667282E-4</v>
      </c>
      <c r="E50">
        <f>36</f>
        <v>36</v>
      </c>
    </row>
    <row r="51" spans="2:5">
      <c r="B51" s="3">
        <v>3.123842592592593E-2</v>
      </c>
      <c r="C51">
        <v>3</v>
      </c>
      <c r="D51" s="3">
        <f t="shared" si="0"/>
        <v>1.1574074074070101E-5</v>
      </c>
      <c r="E51">
        <f>1</f>
        <v>1</v>
      </c>
    </row>
    <row r="52" spans="2:5">
      <c r="B52" s="3">
        <v>3.125E-2</v>
      </c>
      <c r="C52">
        <v>2</v>
      </c>
      <c r="E5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Y38"/>
  <sheetViews>
    <sheetView workbookViewId="0">
      <selection activeCell="A4" sqref="A4"/>
    </sheetView>
  </sheetViews>
  <sheetFormatPr defaultRowHeight="15"/>
  <cols>
    <col min="4" max="4" width="12.7109375" customWidth="1"/>
    <col min="8" max="8" width="13.5703125" customWidth="1"/>
  </cols>
  <sheetData>
    <row r="1" spans="1:25">
      <c r="A1" s="6">
        <v>41954</v>
      </c>
    </row>
    <row r="3" spans="1:25">
      <c r="A3" t="s">
        <v>66</v>
      </c>
      <c r="C3" t="s">
        <v>56</v>
      </c>
      <c r="D3" t="s">
        <v>55</v>
      </c>
      <c r="E3" t="s">
        <v>62</v>
      </c>
      <c r="H3" t="s">
        <v>60</v>
      </c>
      <c r="M3" t="s">
        <v>229</v>
      </c>
      <c r="N3" t="s">
        <v>61</v>
      </c>
      <c r="Q3" t="s">
        <v>231</v>
      </c>
      <c r="R3" t="s">
        <v>62</v>
      </c>
      <c r="U3" t="s">
        <v>232</v>
      </c>
      <c r="V3" t="s">
        <v>63</v>
      </c>
      <c r="X3" t="s">
        <v>233</v>
      </c>
      <c r="Y3" t="s">
        <v>58</v>
      </c>
    </row>
    <row r="4" spans="1:25">
      <c r="A4">
        <v>3.03</v>
      </c>
      <c r="C4" s="4">
        <v>1.1399999999999999</v>
      </c>
      <c r="D4">
        <v>1</v>
      </c>
      <c r="E4">
        <v>1.22</v>
      </c>
      <c r="H4" s="4">
        <v>0.03</v>
      </c>
      <c r="M4">
        <v>27</v>
      </c>
      <c r="N4">
        <v>0.27</v>
      </c>
      <c r="Q4">
        <f>60+22</f>
        <v>82</v>
      </c>
      <c r="R4">
        <v>1.22</v>
      </c>
      <c r="U4">
        <v>23</v>
      </c>
      <c r="V4">
        <v>0.23</v>
      </c>
      <c r="X4">
        <v>57</v>
      </c>
      <c r="Y4">
        <v>0.56999999999999995</v>
      </c>
    </row>
    <row r="5" spans="1:25">
      <c r="C5" s="4">
        <v>1.38</v>
      </c>
      <c r="D5">
        <v>1</v>
      </c>
      <c r="E5">
        <v>1.18</v>
      </c>
      <c r="H5">
        <v>0.14000000000000001</v>
      </c>
      <c r="M5">
        <f>N5*100</f>
        <v>18</v>
      </c>
      <c r="N5">
        <v>0.18</v>
      </c>
      <c r="Q5">
        <f>60+18</f>
        <v>78</v>
      </c>
      <c r="R5">
        <v>1.18</v>
      </c>
      <c r="U5">
        <v>42</v>
      </c>
      <c r="V5">
        <v>0.42</v>
      </c>
      <c r="X5">
        <v>60</v>
      </c>
      <c r="Y5">
        <v>1</v>
      </c>
    </row>
    <row r="6" spans="1:25">
      <c r="C6">
        <v>1.18</v>
      </c>
      <c r="D6">
        <v>2</v>
      </c>
      <c r="E6">
        <v>1.17</v>
      </c>
      <c r="H6">
        <v>0.2</v>
      </c>
      <c r="M6">
        <f t="shared" ref="M6:M36" si="0">N6*100</f>
        <v>11</v>
      </c>
      <c r="N6">
        <v>0.11</v>
      </c>
      <c r="Q6">
        <f>60+17</f>
        <v>77</v>
      </c>
      <c r="R6">
        <v>1.17</v>
      </c>
      <c r="U6">
        <v>25</v>
      </c>
      <c r="V6">
        <v>0.25</v>
      </c>
      <c r="X6">
        <v>45</v>
      </c>
      <c r="Y6">
        <v>0.45</v>
      </c>
    </row>
    <row r="7" spans="1:25">
      <c r="C7">
        <v>1</v>
      </c>
      <c r="D7">
        <v>2</v>
      </c>
      <c r="E7">
        <v>1.03</v>
      </c>
      <c r="H7">
        <v>0.2</v>
      </c>
      <c r="M7">
        <f t="shared" si="0"/>
        <v>33</v>
      </c>
      <c r="N7">
        <v>0.33</v>
      </c>
      <c r="Q7">
        <f>60+3</f>
        <v>63</v>
      </c>
      <c r="R7">
        <v>1.03</v>
      </c>
      <c r="U7">
        <v>24</v>
      </c>
      <c r="V7">
        <v>0.24</v>
      </c>
      <c r="X7">
        <v>32</v>
      </c>
      <c r="Y7">
        <v>0.32</v>
      </c>
    </row>
    <row r="8" spans="1:25">
      <c r="C8">
        <v>0.14000000000000001</v>
      </c>
      <c r="D8">
        <v>2</v>
      </c>
      <c r="E8">
        <v>0.47</v>
      </c>
      <c r="H8">
        <v>0.06</v>
      </c>
      <c r="M8">
        <f t="shared" si="0"/>
        <v>15</v>
      </c>
      <c r="N8">
        <v>0.15</v>
      </c>
      <c r="Q8">
        <f>47</f>
        <v>47</v>
      </c>
      <c r="R8">
        <v>0.47</v>
      </c>
      <c r="U8">
        <v>28</v>
      </c>
      <c r="V8">
        <v>0.28000000000000003</v>
      </c>
      <c r="X8">
        <v>46</v>
      </c>
      <c r="Y8">
        <v>0.46</v>
      </c>
    </row>
    <row r="9" spans="1:25">
      <c r="C9">
        <v>1.1000000000000001</v>
      </c>
      <c r="D9">
        <v>1</v>
      </c>
      <c r="E9">
        <v>0.47</v>
      </c>
      <c r="H9">
        <v>0.2</v>
      </c>
      <c r="M9">
        <f t="shared" si="0"/>
        <v>50</v>
      </c>
      <c r="N9">
        <v>0.5</v>
      </c>
      <c r="Q9">
        <f>47</f>
        <v>47</v>
      </c>
      <c r="R9">
        <v>0.47</v>
      </c>
      <c r="U9">
        <v>23</v>
      </c>
      <c r="V9">
        <v>0.23</v>
      </c>
      <c r="X9">
        <v>36</v>
      </c>
      <c r="Y9">
        <v>0.36</v>
      </c>
    </row>
    <row r="10" spans="1:25">
      <c r="C10">
        <v>1.32</v>
      </c>
      <c r="D10">
        <v>1</v>
      </c>
      <c r="E10">
        <v>2.0499999999999998</v>
      </c>
      <c r="H10">
        <v>0.03</v>
      </c>
      <c r="M10">
        <f t="shared" si="0"/>
        <v>32</v>
      </c>
      <c r="N10">
        <v>0.32</v>
      </c>
      <c r="Q10">
        <f>60*2+5</f>
        <v>125</v>
      </c>
      <c r="R10">
        <v>2.0499999999999998</v>
      </c>
      <c r="U10">
        <v>35</v>
      </c>
      <c r="V10">
        <v>0.35</v>
      </c>
      <c r="X10">
        <v>21</v>
      </c>
      <c r="Y10">
        <v>0.21</v>
      </c>
    </row>
    <row r="11" spans="1:25">
      <c r="C11">
        <v>0.37</v>
      </c>
      <c r="D11">
        <v>2</v>
      </c>
      <c r="E11">
        <v>1.1200000000000001</v>
      </c>
      <c r="H11">
        <v>0.12</v>
      </c>
      <c r="M11">
        <f t="shared" si="0"/>
        <v>17</v>
      </c>
      <c r="N11">
        <v>0.17</v>
      </c>
      <c r="Q11">
        <f>72</f>
        <v>72</v>
      </c>
      <c r="R11">
        <v>1.1200000000000001</v>
      </c>
      <c r="U11">
        <v>60</v>
      </c>
      <c r="V11">
        <v>0.1</v>
      </c>
      <c r="X11">
        <v>38</v>
      </c>
      <c r="Y11">
        <v>0.38</v>
      </c>
    </row>
    <row r="12" spans="1:25">
      <c r="C12">
        <v>0.23</v>
      </c>
      <c r="D12">
        <v>2</v>
      </c>
      <c r="E12">
        <v>1</v>
      </c>
      <c r="H12">
        <v>0.12</v>
      </c>
      <c r="M12">
        <f t="shared" si="0"/>
        <v>14.000000000000002</v>
      </c>
      <c r="N12">
        <v>0.14000000000000001</v>
      </c>
      <c r="Q12">
        <f>60</f>
        <v>60</v>
      </c>
      <c r="R12">
        <v>1</v>
      </c>
      <c r="U12">
        <v>21</v>
      </c>
      <c r="V12">
        <v>0.21</v>
      </c>
      <c r="X12">
        <v>40</v>
      </c>
      <c r="Y12">
        <v>0.4</v>
      </c>
    </row>
    <row r="13" spans="1:25">
      <c r="C13">
        <v>0.2</v>
      </c>
      <c r="D13">
        <v>1</v>
      </c>
      <c r="E13">
        <v>1.47</v>
      </c>
      <c r="H13">
        <v>0.23</v>
      </c>
      <c r="M13">
        <f t="shared" si="0"/>
        <v>0</v>
      </c>
      <c r="Q13">
        <f>60+47</f>
        <v>107</v>
      </c>
      <c r="R13">
        <v>1.47</v>
      </c>
      <c r="U13">
        <f>60+20</f>
        <v>80</v>
      </c>
      <c r="V13">
        <v>1.2</v>
      </c>
      <c r="X13">
        <v>25</v>
      </c>
      <c r="Y13">
        <v>0.25</v>
      </c>
    </row>
    <row r="14" spans="1:25">
      <c r="C14">
        <v>1.01</v>
      </c>
      <c r="D14">
        <v>2</v>
      </c>
      <c r="E14">
        <v>1</v>
      </c>
      <c r="H14">
        <v>0.2</v>
      </c>
      <c r="M14">
        <f t="shared" si="0"/>
        <v>19</v>
      </c>
      <c r="N14">
        <v>0.19</v>
      </c>
      <c r="Q14">
        <f>60</f>
        <v>60</v>
      </c>
      <c r="R14">
        <v>1</v>
      </c>
      <c r="U14">
        <v>40</v>
      </c>
      <c r="V14">
        <v>0.4</v>
      </c>
      <c r="X14">
        <v>35</v>
      </c>
      <c r="Y14">
        <v>0.35</v>
      </c>
    </row>
    <row r="15" spans="1:25">
      <c r="C15">
        <v>0.11</v>
      </c>
      <c r="D15">
        <v>1</v>
      </c>
      <c r="E15">
        <v>0.45</v>
      </c>
      <c r="M15">
        <f t="shared" si="0"/>
        <v>43</v>
      </c>
      <c r="N15">
        <v>0.43</v>
      </c>
      <c r="Q15">
        <f>45</f>
        <v>45</v>
      </c>
      <c r="R15">
        <v>0.45</v>
      </c>
      <c r="U15">
        <v>18</v>
      </c>
      <c r="V15">
        <v>0.18</v>
      </c>
      <c r="X15">
        <v>38</v>
      </c>
      <c r="Y15">
        <v>0.38</v>
      </c>
    </row>
    <row r="16" spans="1:25">
      <c r="C16">
        <v>1</v>
      </c>
      <c r="D16">
        <v>1</v>
      </c>
      <c r="E16">
        <f ca="1">_xll.RiskTriang(0.45,0.45,2.2851,_xll.RiskName("Barista Special Order"))</f>
        <v>1.0616999999999999</v>
      </c>
      <c r="M16">
        <f t="shared" si="0"/>
        <v>26</v>
      </c>
      <c r="N16">
        <v>0.26</v>
      </c>
      <c r="Q16">
        <f>60+6.17</f>
        <v>66.17</v>
      </c>
      <c r="R16">
        <f ca="1">_xll.RiskTriang(0.45,0.45,2.2851,_xll.RiskName("Barista Special Order"))</f>
        <v>1.0616999999999999</v>
      </c>
      <c r="U16">
        <v>15</v>
      </c>
      <c r="V16">
        <v>0.15</v>
      </c>
      <c r="X16">
        <v>29</v>
      </c>
      <c r="Y16">
        <v>0.28999999999999998</v>
      </c>
    </row>
    <row r="17" spans="3:25">
      <c r="C17">
        <v>0.16</v>
      </c>
      <c r="D17">
        <v>1</v>
      </c>
      <c r="E17">
        <v>0.37</v>
      </c>
      <c r="M17">
        <f t="shared" si="0"/>
        <v>26</v>
      </c>
      <c r="N17">
        <v>0.26</v>
      </c>
      <c r="Q17">
        <f>37</f>
        <v>37</v>
      </c>
      <c r="R17">
        <v>0.37</v>
      </c>
      <c r="U17">
        <v>50</v>
      </c>
      <c r="V17">
        <v>0.5</v>
      </c>
      <c r="X17">
        <v>27</v>
      </c>
      <c r="Y17">
        <v>0.27</v>
      </c>
    </row>
    <row r="18" spans="3:25">
      <c r="C18">
        <v>0.25</v>
      </c>
      <c r="D18">
        <v>2</v>
      </c>
      <c r="E18">
        <v>1.2</v>
      </c>
      <c r="M18">
        <f t="shared" si="0"/>
        <v>24</v>
      </c>
      <c r="N18">
        <v>0.24</v>
      </c>
      <c r="Q18">
        <f>60+20</f>
        <v>80</v>
      </c>
      <c r="R18">
        <v>1.2</v>
      </c>
      <c r="U18">
        <v>8</v>
      </c>
      <c r="V18">
        <v>0.08</v>
      </c>
      <c r="X18">
        <v>23</v>
      </c>
      <c r="Y18">
        <v>0.23</v>
      </c>
    </row>
    <row r="19" spans="3:25">
      <c r="C19">
        <v>1.17</v>
      </c>
      <c r="D19">
        <v>1</v>
      </c>
      <c r="E19">
        <v>1.1000000000000001</v>
      </c>
      <c r="M19">
        <f t="shared" si="0"/>
        <v>44</v>
      </c>
      <c r="N19">
        <v>0.44</v>
      </c>
      <c r="Q19">
        <f>60+10</f>
        <v>70</v>
      </c>
      <c r="R19">
        <v>1.1000000000000001</v>
      </c>
      <c r="X19">
        <v>20</v>
      </c>
      <c r="Y19">
        <v>0.2</v>
      </c>
    </row>
    <row r="20" spans="3:25">
      <c r="C20">
        <v>0.22</v>
      </c>
      <c r="D20">
        <v>1</v>
      </c>
      <c r="E20">
        <v>0.42</v>
      </c>
      <c r="M20">
        <f t="shared" si="0"/>
        <v>16</v>
      </c>
      <c r="N20">
        <v>0.16</v>
      </c>
      <c r="Q20">
        <f>42</f>
        <v>42</v>
      </c>
      <c r="R20">
        <v>0.42</v>
      </c>
      <c r="X20">
        <v>25</v>
      </c>
      <c r="Y20">
        <v>0.25</v>
      </c>
    </row>
    <row r="21" spans="3:25">
      <c r="C21">
        <v>0.09</v>
      </c>
      <c r="D21">
        <v>1</v>
      </c>
      <c r="M21">
        <f t="shared" si="0"/>
        <v>10</v>
      </c>
      <c r="N21">
        <v>0.1</v>
      </c>
      <c r="Q21">
        <f ca="1">_xll.RiskLogistic(66.244,12.305,_xll.RiskName("Barista in seconds"))</f>
        <v>66.244</v>
      </c>
      <c r="X21">
        <v>15</v>
      </c>
      <c r="Y21">
        <v>0.15</v>
      </c>
    </row>
    <row r="22" spans="3:25">
      <c r="C22">
        <v>0.26</v>
      </c>
      <c r="D22">
        <v>1</v>
      </c>
      <c r="M22">
        <f t="shared" si="0"/>
        <v>27</v>
      </c>
      <c r="N22">
        <v>0.27</v>
      </c>
      <c r="X22">
        <v>45</v>
      </c>
      <c r="Y22">
        <v>0.45</v>
      </c>
    </row>
    <row r="23" spans="3:25">
      <c r="C23">
        <v>0.14000000000000001</v>
      </c>
      <c r="D23">
        <v>2</v>
      </c>
      <c r="M23">
        <f t="shared" si="0"/>
        <v>45</v>
      </c>
      <c r="N23">
        <v>0.45</v>
      </c>
      <c r="X23">
        <v>35</v>
      </c>
      <c r="Y23">
        <v>0.35</v>
      </c>
    </row>
    <row r="24" spans="3:25">
      <c r="C24">
        <v>1.42</v>
      </c>
      <c r="D24">
        <v>2</v>
      </c>
      <c r="M24">
        <f t="shared" si="0"/>
        <v>30</v>
      </c>
      <c r="N24">
        <v>0.3</v>
      </c>
      <c r="X24">
        <v>25</v>
      </c>
      <c r="Y24">
        <v>0.25</v>
      </c>
    </row>
    <row r="25" spans="3:25">
      <c r="C25">
        <v>0.28000000000000003</v>
      </c>
      <c r="D25">
        <v>2</v>
      </c>
      <c r="M25">
        <f t="shared" si="0"/>
        <v>14.000000000000002</v>
      </c>
      <c r="N25">
        <v>0.14000000000000001</v>
      </c>
      <c r="X25">
        <v>30</v>
      </c>
      <c r="Y25">
        <v>0.3</v>
      </c>
    </row>
    <row r="26" spans="3:25">
      <c r="C26">
        <v>0.59</v>
      </c>
      <c r="D26">
        <v>1</v>
      </c>
      <c r="M26">
        <f t="shared" si="0"/>
        <v>24</v>
      </c>
      <c r="N26">
        <v>0.24</v>
      </c>
    </row>
    <row r="27" spans="3:25">
      <c r="D27">
        <v>1</v>
      </c>
      <c r="M27">
        <f t="shared" si="0"/>
        <v>10</v>
      </c>
      <c r="N27">
        <v>0.1</v>
      </c>
    </row>
    <row r="28" spans="3:25">
      <c r="D28">
        <v>1</v>
      </c>
      <c r="M28">
        <f t="shared" si="0"/>
        <v>28.999999999999996</v>
      </c>
      <c r="N28">
        <v>0.28999999999999998</v>
      </c>
    </row>
    <row r="29" spans="3:25">
      <c r="D29">
        <v>2</v>
      </c>
      <c r="M29">
        <f t="shared" si="0"/>
        <v>37</v>
      </c>
      <c r="N29">
        <v>0.37</v>
      </c>
    </row>
    <row r="30" spans="3:25">
      <c r="D30">
        <v>2</v>
      </c>
      <c r="M30">
        <f t="shared" si="0"/>
        <v>8</v>
      </c>
      <c r="N30">
        <v>0.08</v>
      </c>
    </row>
    <row r="31" spans="3:25">
      <c r="D31">
        <v>1</v>
      </c>
      <c r="M31">
        <f t="shared" si="0"/>
        <v>20</v>
      </c>
      <c r="N31">
        <v>0.2</v>
      </c>
    </row>
    <row r="32" spans="3:25">
      <c r="D32">
        <v>2</v>
      </c>
      <c r="M32">
        <f t="shared" si="0"/>
        <v>9</v>
      </c>
      <c r="N32">
        <v>0.09</v>
      </c>
    </row>
    <row r="33" spans="4:14">
      <c r="D33">
        <v>1</v>
      </c>
      <c r="F33" t="s">
        <v>65</v>
      </c>
      <c r="G33" t="s">
        <v>64</v>
      </c>
      <c r="M33">
        <f t="shared" si="0"/>
        <v>19</v>
      </c>
      <c r="N33">
        <v>0.19</v>
      </c>
    </row>
    <row r="34" spans="4:14">
      <c r="F34">
        <f>COUNTIF($D$4:$D$33,"=1")</f>
        <v>17</v>
      </c>
      <c r="G34">
        <f>COUNTIF($D$4:$D$33,"=2")</f>
        <v>13</v>
      </c>
      <c r="H34">
        <f>COUNT(D4:D33)</f>
        <v>30</v>
      </c>
      <c r="M34">
        <f t="shared" si="0"/>
        <v>37</v>
      </c>
      <c r="N34">
        <v>0.37</v>
      </c>
    </row>
    <row r="35" spans="4:14">
      <c r="F35">
        <f>17/30</f>
        <v>0.56666666666666665</v>
      </c>
      <c r="G35">
        <f>13/30</f>
        <v>0.43333333333333335</v>
      </c>
      <c r="M35">
        <f t="shared" si="0"/>
        <v>10</v>
      </c>
      <c r="N35">
        <v>0.1</v>
      </c>
    </row>
    <row r="36" spans="4:14">
      <c r="M36">
        <f t="shared" si="0"/>
        <v>30</v>
      </c>
      <c r="N36">
        <v>0.3</v>
      </c>
    </row>
    <row r="37" spans="4:14">
      <c r="L37" t="s">
        <v>230</v>
      </c>
      <c r="M37">
        <f ca="1">_xll.RiskTriang(-2.2845,16,54.925,_xll.RiskName("food service in seconds"))</f>
        <v>22.880166666666668</v>
      </c>
    </row>
    <row r="38" spans="4:14">
      <c r="L38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O18"/>
  <sheetViews>
    <sheetView workbookViewId="0">
      <selection activeCell="A2" sqref="A2"/>
    </sheetView>
  </sheetViews>
  <sheetFormatPr defaultRowHeight="15"/>
  <cols>
    <col min="5" max="5" width="14.7109375" customWidth="1"/>
  </cols>
  <sheetData>
    <row r="1" spans="1:15">
      <c r="A1" t="s">
        <v>57</v>
      </c>
      <c r="C1" t="s">
        <v>70</v>
      </c>
      <c r="D1" t="s">
        <v>69</v>
      </c>
      <c r="E1" t="s">
        <v>58</v>
      </c>
      <c r="F1" t="s">
        <v>71</v>
      </c>
      <c r="G1" t="s">
        <v>73</v>
      </c>
      <c r="J1" t="s">
        <v>76</v>
      </c>
      <c r="K1" t="s">
        <v>72</v>
      </c>
      <c r="N1" t="s">
        <v>74</v>
      </c>
      <c r="O1" t="s">
        <v>75</v>
      </c>
    </row>
    <row r="2" spans="1:15">
      <c r="A2">
        <v>24</v>
      </c>
      <c r="C2">
        <v>126</v>
      </c>
      <c r="D2">
        <v>37</v>
      </c>
      <c r="E2">
        <v>89</v>
      </c>
      <c r="F2">
        <v>8</v>
      </c>
      <c r="G2">
        <v>5</v>
      </c>
      <c r="J2" t="s">
        <v>77</v>
      </c>
      <c r="K2" t="s">
        <v>78</v>
      </c>
      <c r="N2">
        <v>20</v>
      </c>
      <c r="O2">
        <v>106</v>
      </c>
    </row>
    <row r="4" spans="1:15">
      <c r="I4" s="6">
        <v>41955</v>
      </c>
      <c r="K4">
        <f>27+23</f>
        <v>50</v>
      </c>
    </row>
    <row r="6" spans="1:15">
      <c r="D6" t="s">
        <v>59</v>
      </c>
      <c r="E6" t="s">
        <v>79</v>
      </c>
      <c r="N6">
        <f>SUM(N2:O2)</f>
        <v>126</v>
      </c>
    </row>
    <row r="7" spans="1:15">
      <c r="D7">
        <f>SUM(D2:E2)</f>
        <v>126</v>
      </c>
      <c r="E7">
        <v>13</v>
      </c>
      <c r="G7">
        <f>SUM(D7:E7)</f>
        <v>139</v>
      </c>
    </row>
    <row r="8" spans="1:15">
      <c r="F8" t="s">
        <v>79</v>
      </c>
      <c r="G8">
        <f>E7/G7</f>
        <v>9.3525179856115109E-2</v>
      </c>
    </row>
    <row r="9" spans="1:15">
      <c r="F9" t="s">
        <v>59</v>
      </c>
      <c r="G9">
        <f>D7/G7</f>
        <v>0.90647482014388492</v>
      </c>
      <c r="N9">
        <f>N2/N6</f>
        <v>0.15873015873015872</v>
      </c>
      <c r="O9" t="s">
        <v>74</v>
      </c>
    </row>
    <row r="10" spans="1:15">
      <c r="N10">
        <f>O2/N6</f>
        <v>0.84126984126984128</v>
      </c>
      <c r="O10" t="s">
        <v>75</v>
      </c>
    </row>
    <row r="13" spans="1:15">
      <c r="E13">
        <f>F2/E7</f>
        <v>0.61538461538461542</v>
      </c>
      <c r="F13" t="s">
        <v>80</v>
      </c>
    </row>
    <row r="14" spans="1:15">
      <c r="E14">
        <f>G2/E7</f>
        <v>0.38461538461538464</v>
      </c>
      <c r="F14" t="s">
        <v>81</v>
      </c>
    </row>
    <row r="17" spans="2:3">
      <c r="B17">
        <f>D2/C2</f>
        <v>0.29365079365079366</v>
      </c>
      <c r="C17" t="s">
        <v>82</v>
      </c>
    </row>
    <row r="18" spans="2:3">
      <c r="B18">
        <f>E2/C2</f>
        <v>0.70634920634920639</v>
      </c>
      <c r="C18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26"/>
  <sheetViews>
    <sheetView workbookViewId="0">
      <selection activeCell="N9" sqref="N9:N13"/>
    </sheetView>
  </sheetViews>
  <sheetFormatPr defaultRowHeight="15"/>
  <cols>
    <col min="5" max="5" width="13" customWidth="1"/>
  </cols>
  <sheetData>
    <row r="1" spans="1:12">
      <c r="A1" t="s">
        <v>115</v>
      </c>
      <c r="C1" t="s">
        <v>114</v>
      </c>
      <c r="F1" s="7"/>
    </row>
    <row r="2" spans="1:12">
      <c r="A2">
        <v>15</v>
      </c>
      <c r="C2">
        <v>10</v>
      </c>
      <c r="F2" s="7"/>
    </row>
    <row r="3" spans="1:12">
      <c r="A3" t="s">
        <v>112</v>
      </c>
      <c r="C3" t="s">
        <v>111</v>
      </c>
      <c r="F3" s="7"/>
    </row>
    <row r="4" spans="1:12">
      <c r="A4">
        <v>10</v>
      </c>
      <c r="C4">
        <v>9</v>
      </c>
      <c r="E4" t="s">
        <v>113</v>
      </c>
      <c r="F4" s="7"/>
      <c r="G4" t="s">
        <v>113</v>
      </c>
    </row>
    <row r="5" spans="1:12">
      <c r="A5" t="s">
        <v>110</v>
      </c>
      <c r="C5" t="s">
        <v>109</v>
      </c>
      <c r="E5" s="6">
        <v>41955</v>
      </c>
      <c r="F5" s="7"/>
      <c r="G5" s="6">
        <v>41956</v>
      </c>
    </row>
    <row r="6" spans="1:12">
      <c r="A6">
        <v>3</v>
      </c>
      <c r="C6">
        <v>15</v>
      </c>
      <c r="F6" s="7"/>
    </row>
    <row r="7" spans="1:12">
      <c r="A7" t="s">
        <v>108</v>
      </c>
      <c r="C7" t="s">
        <v>116</v>
      </c>
      <c r="F7" s="7"/>
      <c r="K7" t="s">
        <v>227</v>
      </c>
    </row>
    <row r="8" spans="1:12">
      <c r="A8">
        <v>11</v>
      </c>
      <c r="C8">
        <v>26</v>
      </c>
      <c r="F8" s="7"/>
      <c r="L8" s="6">
        <v>41959</v>
      </c>
    </row>
    <row r="9" spans="1:12">
      <c r="A9" t="s">
        <v>107</v>
      </c>
      <c r="C9" t="s">
        <v>106</v>
      </c>
      <c r="F9" s="7"/>
      <c r="I9" t="s">
        <v>118</v>
      </c>
      <c r="J9">
        <f>SUM(A2,C16)</f>
        <v>26</v>
      </c>
      <c r="L9">
        <f>J9/$J$15</f>
        <v>0.20634920634920634</v>
      </c>
    </row>
    <row r="10" spans="1:12">
      <c r="A10">
        <v>25</v>
      </c>
      <c r="C10">
        <v>11</v>
      </c>
      <c r="F10" s="7"/>
      <c r="I10" t="s">
        <v>224</v>
      </c>
      <c r="J10">
        <f>SUM(C2,A26)</f>
        <v>21</v>
      </c>
      <c r="L10">
        <f t="shared" ref="L10:L13" si="0">J10/$J$15</f>
        <v>0.16666666666666666</v>
      </c>
    </row>
    <row r="11" spans="1:12">
      <c r="A11" t="s">
        <v>105</v>
      </c>
      <c r="C11" t="s">
        <v>104</v>
      </c>
      <c r="F11" s="7"/>
      <c r="I11" t="s">
        <v>117</v>
      </c>
      <c r="J11">
        <f>A10</f>
        <v>25</v>
      </c>
      <c r="L11">
        <f t="shared" si="0"/>
        <v>0.1984126984126984</v>
      </c>
    </row>
    <row r="12" spans="1:12">
      <c r="A12">
        <v>12</v>
      </c>
      <c r="C12">
        <v>3</v>
      </c>
      <c r="F12" s="7"/>
      <c r="I12" t="s">
        <v>186</v>
      </c>
      <c r="J12">
        <f>C8</f>
        <v>26</v>
      </c>
      <c r="L12">
        <f t="shared" si="0"/>
        <v>0.20634920634920634</v>
      </c>
    </row>
    <row r="13" spans="1:12">
      <c r="A13" t="s">
        <v>103</v>
      </c>
      <c r="C13" t="s">
        <v>102</v>
      </c>
      <c r="F13" s="7"/>
      <c r="I13" t="s">
        <v>225</v>
      </c>
      <c r="J13">
        <f>SUM(C14,C10,A4)</f>
        <v>28</v>
      </c>
      <c r="L13">
        <f t="shared" si="0"/>
        <v>0.22222222222222221</v>
      </c>
    </row>
    <row r="14" spans="1:12">
      <c r="A14">
        <v>19</v>
      </c>
      <c r="C14">
        <v>7</v>
      </c>
      <c r="F14" s="7"/>
    </row>
    <row r="15" spans="1:12">
      <c r="A15" t="s">
        <v>101</v>
      </c>
      <c r="C15" t="s">
        <v>100</v>
      </c>
      <c r="F15" s="7"/>
      <c r="I15" t="s">
        <v>226</v>
      </c>
      <c r="J15">
        <f>SUM(J9:J13)</f>
        <v>126</v>
      </c>
    </row>
    <row r="16" spans="1:12">
      <c r="A16">
        <v>2</v>
      </c>
      <c r="C16">
        <v>11</v>
      </c>
      <c r="F16" s="7"/>
    </row>
    <row r="17" spans="1:6">
      <c r="A17" t="s">
        <v>99</v>
      </c>
      <c r="C17" t="s">
        <v>98</v>
      </c>
      <c r="F17" s="7"/>
    </row>
    <row r="18" spans="1:6">
      <c r="A18">
        <v>6</v>
      </c>
      <c r="C18">
        <v>7</v>
      </c>
      <c r="F18" s="7"/>
    </row>
    <row r="19" spans="1:6">
      <c r="A19" t="s">
        <v>97</v>
      </c>
      <c r="C19" t="s">
        <v>96</v>
      </c>
      <c r="F19" s="7"/>
    </row>
    <row r="20" spans="1:6">
      <c r="A20">
        <v>1</v>
      </c>
      <c r="C20">
        <v>26</v>
      </c>
      <c r="F20" s="7"/>
    </row>
    <row r="21" spans="1:6">
      <c r="A21" t="s">
        <v>95</v>
      </c>
      <c r="C21" t="s">
        <v>94</v>
      </c>
      <c r="F21" s="7"/>
    </row>
    <row r="22" spans="1:6">
      <c r="A22">
        <v>2</v>
      </c>
      <c r="C22">
        <v>4</v>
      </c>
      <c r="F22" s="7"/>
    </row>
    <row r="23" spans="1:6">
      <c r="A23" t="s">
        <v>93</v>
      </c>
      <c r="F23" s="7"/>
    </row>
    <row r="24" spans="1:6">
      <c r="A24">
        <v>3</v>
      </c>
      <c r="F24" s="7"/>
    </row>
    <row r="25" spans="1:6">
      <c r="A25" t="s">
        <v>92</v>
      </c>
    </row>
    <row r="26" spans="1:6">
      <c r="A26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R28"/>
  <sheetViews>
    <sheetView topLeftCell="C3" workbookViewId="0">
      <selection activeCell="T18" sqref="T18:T22"/>
    </sheetView>
  </sheetViews>
  <sheetFormatPr defaultRowHeight="15"/>
  <sheetData>
    <row r="1" spans="1:16">
      <c r="A1" t="s">
        <v>120</v>
      </c>
      <c r="C1" t="s">
        <v>131</v>
      </c>
      <c r="E1" t="s">
        <v>114</v>
      </c>
      <c r="G1" t="s">
        <v>147</v>
      </c>
      <c r="J1" t="s">
        <v>157</v>
      </c>
      <c r="L1" t="s">
        <v>168</v>
      </c>
    </row>
    <row r="2" spans="1:16">
      <c r="A2">
        <v>8</v>
      </c>
      <c r="C2">
        <v>6</v>
      </c>
      <c r="E2">
        <v>19</v>
      </c>
      <c r="G2">
        <v>15</v>
      </c>
      <c r="J2">
        <v>7</v>
      </c>
      <c r="L2">
        <v>22</v>
      </c>
    </row>
    <row r="3" spans="1:16">
      <c r="A3" t="s">
        <v>121</v>
      </c>
      <c r="C3" t="s">
        <v>103</v>
      </c>
      <c r="E3" t="s">
        <v>111</v>
      </c>
      <c r="G3" t="s">
        <v>148</v>
      </c>
      <c r="J3" t="s">
        <v>158</v>
      </c>
      <c r="L3" t="s">
        <v>169</v>
      </c>
    </row>
    <row r="4" spans="1:16">
      <c r="A4">
        <v>2</v>
      </c>
      <c r="C4">
        <v>16</v>
      </c>
      <c r="E4">
        <v>2</v>
      </c>
      <c r="G4">
        <v>8</v>
      </c>
      <c r="J4">
        <v>8</v>
      </c>
      <c r="L4">
        <v>13</v>
      </c>
    </row>
    <row r="5" spans="1:16">
      <c r="A5" t="s">
        <v>122</v>
      </c>
      <c r="C5" t="s">
        <v>132</v>
      </c>
      <c r="E5" t="s">
        <v>138</v>
      </c>
      <c r="G5" t="s">
        <v>149</v>
      </c>
      <c r="J5" t="s">
        <v>159</v>
      </c>
      <c r="L5" t="s">
        <v>170</v>
      </c>
    </row>
    <row r="6" spans="1:16">
      <c r="A6">
        <v>19</v>
      </c>
      <c r="C6">
        <v>1</v>
      </c>
      <c r="E6">
        <v>16</v>
      </c>
      <c r="G6">
        <v>6</v>
      </c>
      <c r="J6">
        <v>12</v>
      </c>
      <c r="L6">
        <v>13</v>
      </c>
    </row>
    <row r="7" spans="1:16">
      <c r="A7" t="s">
        <v>123</v>
      </c>
      <c r="C7" t="s">
        <v>99</v>
      </c>
      <c r="E7" t="s">
        <v>139</v>
      </c>
      <c r="G7" t="s">
        <v>150</v>
      </c>
      <c r="J7" t="s">
        <v>160</v>
      </c>
      <c r="L7" t="s">
        <v>171</v>
      </c>
    </row>
    <row r="8" spans="1:16">
      <c r="A8">
        <v>1</v>
      </c>
      <c r="C8">
        <v>9</v>
      </c>
      <c r="E8">
        <v>14</v>
      </c>
      <c r="G8">
        <v>7</v>
      </c>
      <c r="J8">
        <v>4</v>
      </c>
      <c r="L8">
        <v>15</v>
      </c>
      <c r="P8" t="s">
        <v>94</v>
      </c>
    </row>
    <row r="9" spans="1:16">
      <c r="A9" t="s">
        <v>124</v>
      </c>
      <c r="C9" t="s">
        <v>133</v>
      </c>
      <c r="E9" t="s">
        <v>140</v>
      </c>
      <c r="G9" t="s">
        <v>94</v>
      </c>
      <c r="J9" t="s">
        <v>161</v>
      </c>
      <c r="L9" t="s">
        <v>123</v>
      </c>
      <c r="P9">
        <v>52</v>
      </c>
    </row>
    <row r="10" spans="1:16">
      <c r="A10">
        <v>5</v>
      </c>
      <c r="C10">
        <v>15</v>
      </c>
      <c r="E10">
        <v>5</v>
      </c>
      <c r="G10">
        <v>4</v>
      </c>
      <c r="J10">
        <v>13</v>
      </c>
      <c r="L10">
        <v>21</v>
      </c>
      <c r="P10" t="s">
        <v>96</v>
      </c>
    </row>
    <row r="11" spans="1:16">
      <c r="A11" t="s">
        <v>125</v>
      </c>
      <c r="C11" t="s">
        <v>97</v>
      </c>
      <c r="E11" t="s">
        <v>104</v>
      </c>
      <c r="G11" t="s">
        <v>151</v>
      </c>
      <c r="J11" t="s">
        <v>162</v>
      </c>
      <c r="L11" t="s">
        <v>172</v>
      </c>
      <c r="P11">
        <v>22</v>
      </c>
    </row>
    <row r="12" spans="1:16">
      <c r="A12">
        <v>15</v>
      </c>
      <c r="C12">
        <v>4</v>
      </c>
      <c r="E12">
        <v>5</v>
      </c>
      <c r="G12">
        <v>3</v>
      </c>
      <c r="J12">
        <v>23</v>
      </c>
      <c r="L12">
        <v>1</v>
      </c>
      <c r="P12" t="s">
        <v>177</v>
      </c>
    </row>
    <row r="13" spans="1:16">
      <c r="A13" t="s">
        <v>126</v>
      </c>
      <c r="C13" t="s">
        <v>95</v>
      </c>
      <c r="E13" t="s">
        <v>141</v>
      </c>
      <c r="G13" t="s">
        <v>152</v>
      </c>
      <c r="J13" t="s">
        <v>163</v>
      </c>
      <c r="L13" t="s">
        <v>173</v>
      </c>
      <c r="P13">
        <v>10</v>
      </c>
    </row>
    <row r="14" spans="1:16">
      <c r="A14">
        <v>3</v>
      </c>
      <c r="C14">
        <v>8</v>
      </c>
      <c r="E14">
        <v>3</v>
      </c>
      <c r="G14">
        <v>14</v>
      </c>
      <c r="J14">
        <v>25</v>
      </c>
      <c r="L14">
        <v>33</v>
      </c>
    </row>
    <row r="15" spans="1:16">
      <c r="A15" t="s">
        <v>127</v>
      </c>
      <c r="C15" t="s">
        <v>134</v>
      </c>
      <c r="E15" t="s">
        <v>142</v>
      </c>
      <c r="G15" t="s">
        <v>153</v>
      </c>
      <c r="J15" t="s">
        <v>164</v>
      </c>
      <c r="L15" t="s">
        <v>174</v>
      </c>
    </row>
    <row r="16" spans="1:16">
      <c r="A16">
        <v>2</v>
      </c>
      <c r="C16">
        <v>10</v>
      </c>
      <c r="E16">
        <v>23</v>
      </c>
      <c r="G16">
        <v>2</v>
      </c>
      <c r="J16">
        <v>9</v>
      </c>
      <c r="L16">
        <v>14</v>
      </c>
    </row>
    <row r="17" spans="1:18">
      <c r="A17" t="s">
        <v>128</v>
      </c>
      <c r="C17" t="s">
        <v>135</v>
      </c>
      <c r="E17" t="s">
        <v>143</v>
      </c>
      <c r="G17" t="s">
        <v>154</v>
      </c>
      <c r="J17" t="s">
        <v>165</v>
      </c>
      <c r="L17" t="s">
        <v>175</v>
      </c>
      <c r="R17" t="s">
        <v>227</v>
      </c>
    </row>
    <row r="18" spans="1:18">
      <c r="A18">
        <v>20</v>
      </c>
      <c r="C18">
        <v>6</v>
      </c>
      <c r="E18">
        <v>1</v>
      </c>
      <c r="J18">
        <v>30</v>
      </c>
      <c r="L18">
        <v>2</v>
      </c>
      <c r="O18" t="s">
        <v>118</v>
      </c>
      <c r="P18">
        <f>SUM(A18,E16)</f>
        <v>43</v>
      </c>
      <c r="R18">
        <f>P18/$P$24</f>
        <v>0.35537190082644626</v>
      </c>
    </row>
    <row r="19" spans="1:18">
      <c r="A19" t="s">
        <v>129</v>
      </c>
      <c r="C19" t="s">
        <v>136</v>
      </c>
      <c r="E19" t="s">
        <v>144</v>
      </c>
      <c r="G19" t="s">
        <v>155</v>
      </c>
      <c r="J19" t="s">
        <v>166</v>
      </c>
      <c r="L19" t="s">
        <v>176</v>
      </c>
      <c r="O19" t="s">
        <v>224</v>
      </c>
      <c r="P19">
        <f>SUM(E2,C22)</f>
        <v>25</v>
      </c>
      <c r="R19">
        <f t="shared" ref="R19:R22" si="0">P19/$P$24</f>
        <v>0.20661157024793389</v>
      </c>
    </row>
    <row r="20" spans="1:18">
      <c r="A20">
        <v>3</v>
      </c>
      <c r="C20">
        <v>1</v>
      </c>
      <c r="E20">
        <v>4</v>
      </c>
      <c r="G20">
        <v>1</v>
      </c>
      <c r="J20">
        <v>6</v>
      </c>
      <c r="L20">
        <v>3</v>
      </c>
      <c r="O20" t="s">
        <v>117</v>
      </c>
      <c r="P20">
        <f>A28</f>
        <v>27</v>
      </c>
      <c r="R20">
        <f t="shared" si="0"/>
        <v>0.2231404958677686</v>
      </c>
    </row>
    <row r="21" spans="1:18">
      <c r="A21" t="s">
        <v>130</v>
      </c>
      <c r="C21" t="s">
        <v>92</v>
      </c>
      <c r="E21" t="s">
        <v>145</v>
      </c>
      <c r="G21" t="s">
        <v>156</v>
      </c>
      <c r="J21" t="s">
        <v>167</v>
      </c>
      <c r="O21" t="s">
        <v>186</v>
      </c>
      <c r="P21">
        <f>E8</f>
        <v>14</v>
      </c>
      <c r="R21">
        <f t="shared" si="0"/>
        <v>0.11570247933884298</v>
      </c>
    </row>
    <row r="22" spans="1:18">
      <c r="A22">
        <v>4</v>
      </c>
      <c r="C22">
        <v>6</v>
      </c>
      <c r="E22">
        <v>5</v>
      </c>
      <c r="G22">
        <v>4</v>
      </c>
      <c r="J22">
        <v>8</v>
      </c>
      <c r="O22" t="s">
        <v>225</v>
      </c>
      <c r="P22">
        <f>SUM(E10,E14,A22)</f>
        <v>12</v>
      </c>
      <c r="R22">
        <f t="shared" si="0"/>
        <v>9.9173553719008267E-2</v>
      </c>
    </row>
    <row r="23" spans="1:18">
      <c r="A23" t="s">
        <v>110</v>
      </c>
      <c r="C23" t="s">
        <v>137</v>
      </c>
      <c r="E23" t="s">
        <v>146</v>
      </c>
    </row>
    <row r="24" spans="1:18">
      <c r="A24">
        <v>9</v>
      </c>
      <c r="C24">
        <v>4</v>
      </c>
      <c r="E24">
        <v>7</v>
      </c>
      <c r="O24" t="s">
        <v>226</v>
      </c>
      <c r="P24">
        <f>SUM(P18:P22)</f>
        <v>121</v>
      </c>
    </row>
    <row r="25" spans="1:18">
      <c r="A25" t="s">
        <v>108</v>
      </c>
    </row>
    <row r="26" spans="1:18">
      <c r="A26">
        <v>11</v>
      </c>
    </row>
    <row r="27" spans="1:18">
      <c r="A27" t="s">
        <v>117</v>
      </c>
    </row>
    <row r="28" spans="1:18">
      <c r="A28">
        <v>27</v>
      </c>
    </row>
  </sheetData>
  <dataConsolidate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P24"/>
  <sheetViews>
    <sheetView topLeftCell="O1" workbookViewId="0">
      <selection activeCell="P9" sqref="P9"/>
    </sheetView>
  </sheetViews>
  <sheetFormatPr defaultRowHeight="15"/>
  <sheetData>
    <row r="1" spans="1:16">
      <c r="A1" t="s">
        <v>179</v>
      </c>
      <c r="C1" t="s">
        <v>182</v>
      </c>
      <c r="E1" t="s">
        <v>155</v>
      </c>
    </row>
    <row r="2" spans="1:16">
      <c r="A2">
        <v>39</v>
      </c>
      <c r="C2">
        <v>5</v>
      </c>
      <c r="E2">
        <v>1</v>
      </c>
    </row>
    <row r="3" spans="1:16">
      <c r="A3" t="s">
        <v>180</v>
      </c>
      <c r="C3" t="s">
        <v>183</v>
      </c>
      <c r="E3" t="s">
        <v>94</v>
      </c>
    </row>
    <row r="4" spans="1:16">
      <c r="A4">
        <v>6</v>
      </c>
      <c r="C4">
        <v>7</v>
      </c>
      <c r="E4">
        <v>13</v>
      </c>
    </row>
    <row r="5" spans="1:16">
      <c r="A5" t="s">
        <v>110</v>
      </c>
      <c r="C5" t="s">
        <v>114</v>
      </c>
      <c r="E5" t="s">
        <v>189</v>
      </c>
    </row>
    <row r="6" spans="1:16">
      <c r="A6">
        <v>8</v>
      </c>
      <c r="C6">
        <v>23</v>
      </c>
      <c r="E6">
        <v>33</v>
      </c>
    </row>
    <row r="7" spans="1:16">
      <c r="A7" t="s">
        <v>108</v>
      </c>
      <c r="C7" t="s">
        <v>185</v>
      </c>
      <c r="E7" t="s">
        <v>177</v>
      </c>
      <c r="K7" t="s">
        <v>227</v>
      </c>
    </row>
    <row r="8" spans="1:16">
      <c r="A8">
        <v>17</v>
      </c>
      <c r="C8">
        <v>17</v>
      </c>
      <c r="E8">
        <v>21</v>
      </c>
      <c r="L8" s="6">
        <v>41959</v>
      </c>
      <c r="M8" s="6">
        <v>41957</v>
      </c>
      <c r="N8" s="6">
        <v>41955</v>
      </c>
      <c r="P8" t="s">
        <v>228</v>
      </c>
    </row>
    <row r="9" spans="1:16">
      <c r="A9" t="s">
        <v>117</v>
      </c>
      <c r="C9" t="s">
        <v>184</v>
      </c>
      <c r="I9" t="s">
        <v>118</v>
      </c>
      <c r="J9">
        <f>A2</f>
        <v>39</v>
      </c>
      <c r="L9">
        <f>J9/$J$15</f>
        <v>0.22543352601156069</v>
      </c>
      <c r="M9">
        <v>0.35537200000000002</v>
      </c>
      <c r="N9">
        <v>0.206349</v>
      </c>
      <c r="P9">
        <f>AVERAGE(L9:N9)</f>
        <v>0.26238484200385359</v>
      </c>
    </row>
    <row r="10" spans="1:16">
      <c r="A10">
        <v>31</v>
      </c>
      <c r="C10">
        <v>37</v>
      </c>
      <c r="I10" t="s">
        <v>224</v>
      </c>
      <c r="J10">
        <f>SUM(C6,C20,A24)</f>
        <v>34</v>
      </c>
      <c r="L10">
        <f t="shared" ref="L10:L13" si="0">J10/$J$15</f>
        <v>0.19653179190751446</v>
      </c>
      <c r="M10">
        <v>0.20661199999999999</v>
      </c>
      <c r="N10">
        <v>0.1666667</v>
      </c>
      <c r="P10">
        <f t="shared" ref="P10:P13" si="1">AVERAGE(L10:N10)</f>
        <v>0.18993683063583813</v>
      </c>
    </row>
    <row r="11" spans="1:16">
      <c r="A11" t="s">
        <v>131</v>
      </c>
      <c r="C11" t="s">
        <v>186</v>
      </c>
      <c r="I11" t="s">
        <v>117</v>
      </c>
      <c r="J11">
        <f>A10</f>
        <v>31</v>
      </c>
      <c r="L11">
        <f t="shared" si="0"/>
        <v>0.1791907514450867</v>
      </c>
      <c r="M11">
        <v>0.22314000000000001</v>
      </c>
      <c r="N11">
        <v>0.19841300000000001</v>
      </c>
      <c r="P11">
        <f t="shared" si="1"/>
        <v>0.20024791714836221</v>
      </c>
    </row>
    <row r="12" spans="1:16">
      <c r="A12">
        <v>16</v>
      </c>
      <c r="C12">
        <v>36</v>
      </c>
      <c r="I12" t="s">
        <v>186</v>
      </c>
      <c r="J12">
        <f>C12</f>
        <v>36</v>
      </c>
      <c r="L12">
        <f t="shared" si="0"/>
        <v>0.20809248554913296</v>
      </c>
      <c r="M12">
        <v>0.115702</v>
      </c>
      <c r="N12">
        <v>0.206349</v>
      </c>
      <c r="P12">
        <f t="shared" si="1"/>
        <v>0.1767144951830443</v>
      </c>
    </row>
    <row r="13" spans="1:16">
      <c r="A13" t="s">
        <v>103</v>
      </c>
      <c r="C13" t="s">
        <v>187</v>
      </c>
      <c r="I13" t="s">
        <v>225</v>
      </c>
      <c r="J13">
        <f>SUM(C18,C14,A4)</f>
        <v>33</v>
      </c>
      <c r="L13">
        <f t="shared" si="0"/>
        <v>0.19075144508670519</v>
      </c>
      <c r="M13">
        <v>9.9173999999999998E-2</v>
      </c>
      <c r="N13">
        <v>0.22222220000000001</v>
      </c>
      <c r="P13">
        <f t="shared" si="1"/>
        <v>0.17071588169556839</v>
      </c>
    </row>
    <row r="14" spans="1:16">
      <c r="A14">
        <v>27</v>
      </c>
      <c r="C14">
        <v>17</v>
      </c>
    </row>
    <row r="15" spans="1:16">
      <c r="A15" t="s">
        <v>132</v>
      </c>
      <c r="C15" t="s">
        <v>104</v>
      </c>
      <c r="I15" t="s">
        <v>226</v>
      </c>
      <c r="J15">
        <f>SUM(J9:J13)</f>
        <v>173</v>
      </c>
    </row>
    <row r="16" spans="1:16">
      <c r="A16">
        <v>28</v>
      </c>
      <c r="C16">
        <v>2</v>
      </c>
    </row>
    <row r="17" spans="1:3">
      <c r="A17" t="s">
        <v>99</v>
      </c>
      <c r="C17" t="s">
        <v>141</v>
      </c>
    </row>
    <row r="18" spans="1:3">
      <c r="A18">
        <v>3</v>
      </c>
      <c r="C18">
        <v>10</v>
      </c>
    </row>
    <row r="19" spans="1:3">
      <c r="A19" t="s">
        <v>181</v>
      </c>
      <c r="C19" t="s">
        <v>188</v>
      </c>
    </row>
    <row r="20" spans="1:3">
      <c r="A20">
        <v>10</v>
      </c>
      <c r="C20">
        <v>1</v>
      </c>
    </row>
    <row r="21" spans="1:3">
      <c r="A21" t="s">
        <v>93</v>
      </c>
      <c r="C21" t="s">
        <v>94</v>
      </c>
    </row>
    <row r="22" spans="1:3">
      <c r="A22">
        <v>2</v>
      </c>
      <c r="C22">
        <v>1</v>
      </c>
    </row>
    <row r="23" spans="1:3">
      <c r="A23" t="s">
        <v>92</v>
      </c>
      <c r="C23" t="s">
        <v>152</v>
      </c>
    </row>
    <row r="24" spans="1:3">
      <c r="A24">
        <v>10</v>
      </c>
      <c r="C2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I25"/>
  <sheetViews>
    <sheetView tabSelected="1" workbookViewId="0">
      <selection activeCell="G15" sqref="G15"/>
    </sheetView>
  </sheetViews>
  <sheetFormatPr defaultRowHeight="15"/>
  <sheetData>
    <row r="1" spans="1:9">
      <c r="A1" t="s">
        <v>191</v>
      </c>
      <c r="B1" t="s">
        <v>190</v>
      </c>
      <c r="D1" t="s">
        <v>211</v>
      </c>
      <c r="F1" t="s">
        <v>202</v>
      </c>
    </row>
    <row r="2" spans="1:9">
      <c r="A2" t="s">
        <v>119</v>
      </c>
      <c r="B2">
        <v>21</v>
      </c>
      <c r="D2">
        <v>42</v>
      </c>
      <c r="F2">
        <v>6.58</v>
      </c>
    </row>
    <row r="3" spans="1:9">
      <c r="A3" t="s">
        <v>196</v>
      </c>
      <c r="B3">
        <v>21</v>
      </c>
    </row>
    <row r="4" spans="1:9">
      <c r="A4" t="s">
        <v>197</v>
      </c>
      <c r="B4">
        <v>21</v>
      </c>
    </row>
    <row r="5" spans="1:9">
      <c r="A5" t="s">
        <v>198</v>
      </c>
      <c r="B5">
        <v>21</v>
      </c>
      <c r="E5" t="s">
        <v>212</v>
      </c>
      <c r="H5" t="s">
        <v>222</v>
      </c>
    </row>
    <row r="6" spans="1:9">
      <c r="A6" t="s">
        <v>104</v>
      </c>
      <c r="B6">
        <v>32</v>
      </c>
      <c r="E6">
        <f>SUM(B3:B5)</f>
        <v>63</v>
      </c>
      <c r="H6">
        <f>E6*3</f>
        <v>189</v>
      </c>
    </row>
    <row r="8" spans="1:9">
      <c r="A8" t="s">
        <v>117</v>
      </c>
      <c r="D8" t="s">
        <v>213</v>
      </c>
      <c r="F8" t="s">
        <v>217</v>
      </c>
      <c r="I8" t="s">
        <v>223</v>
      </c>
    </row>
    <row r="9" spans="1:9">
      <c r="A9" t="s">
        <v>199</v>
      </c>
      <c r="B9">
        <v>27</v>
      </c>
      <c r="D9">
        <f>SUM(B9:B10)</f>
        <v>54</v>
      </c>
      <c r="F9">
        <f>D9*2</f>
        <v>108</v>
      </c>
      <c r="I9">
        <f>H6*2</f>
        <v>378</v>
      </c>
    </row>
    <row r="10" spans="1:9">
      <c r="A10" t="s">
        <v>200</v>
      </c>
      <c r="B10">
        <v>27</v>
      </c>
    </row>
    <row r="12" spans="1:9">
      <c r="D12" t="s">
        <v>193</v>
      </c>
    </row>
    <row r="13" spans="1:9">
      <c r="A13" t="s">
        <v>118</v>
      </c>
      <c r="B13">
        <f>6*18</f>
        <v>108</v>
      </c>
      <c r="C13" t="s">
        <v>192</v>
      </c>
      <c r="D13" t="s">
        <v>201</v>
      </c>
    </row>
    <row r="14" spans="1:9">
      <c r="A14" t="s">
        <v>194</v>
      </c>
      <c r="B14">
        <f>$B$13/2</f>
        <v>54</v>
      </c>
      <c r="G14">
        <f>10*6</f>
        <v>60</v>
      </c>
    </row>
    <row r="15" spans="1:9">
      <c r="A15" t="s">
        <v>195</v>
      </c>
      <c r="B15">
        <f>$B$13/2</f>
        <v>54</v>
      </c>
    </row>
    <row r="17" spans="1:4">
      <c r="A17" t="s">
        <v>186</v>
      </c>
      <c r="B17">
        <f>24*4</f>
        <v>96</v>
      </c>
      <c r="C17" t="s">
        <v>216</v>
      </c>
    </row>
    <row r="18" spans="1:4">
      <c r="A18" t="s">
        <v>214</v>
      </c>
      <c r="B18">
        <v>24</v>
      </c>
      <c r="D18">
        <f>SUM(B18:B19)</f>
        <v>48</v>
      </c>
    </row>
    <row r="19" spans="1:4">
      <c r="A19" t="s">
        <v>215</v>
      </c>
      <c r="B19">
        <v>24</v>
      </c>
    </row>
    <row r="22" spans="1:4">
      <c r="A22" t="s">
        <v>218</v>
      </c>
      <c r="D22" t="s">
        <v>221</v>
      </c>
    </row>
    <row r="23" spans="1:4">
      <c r="A23" t="s">
        <v>219</v>
      </c>
      <c r="B23">
        <v>20</v>
      </c>
      <c r="D23">
        <f>SUM(B23:B25)</f>
        <v>60</v>
      </c>
    </row>
    <row r="24" spans="1:4">
      <c r="A24" t="s">
        <v>140</v>
      </c>
      <c r="B24">
        <v>20</v>
      </c>
    </row>
    <row r="25" spans="1:4">
      <c r="A25" t="s">
        <v>220</v>
      </c>
      <c r="B25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2"/>
  <sheetViews>
    <sheetView workbookViewId="0">
      <selection activeCell="J28" sqref="J28"/>
    </sheetView>
  </sheetViews>
  <sheetFormatPr defaultRowHeight="15"/>
  <sheetData>
    <row r="1" spans="1:1">
      <c r="A1" t="s">
        <v>203</v>
      </c>
    </row>
    <row r="2" spans="1:1">
      <c r="A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_@RISKFitInformation</vt:lpstr>
      <vt:lpstr>Arrival Times and Dining Area</vt:lpstr>
      <vt:lpstr>Food Serv, Bar, Cash Etc.</vt:lpstr>
      <vt:lpstr>Numbers for Decision Blocks</vt:lpstr>
      <vt:lpstr>Extra Data Food Decision</vt:lpstr>
      <vt:lpstr>1114</vt:lpstr>
      <vt:lpstr>11-16</vt:lpstr>
      <vt:lpstr>Serving Sizes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2014-11-10T16:48:37Z</dcterms:created>
  <dcterms:modified xsi:type="dcterms:W3CDTF">2014-12-10T00:47:17Z</dcterms:modified>
</cp:coreProperties>
</file>