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3"/>
  <workbookPr/>
  <xr:revisionPtr revIDLastSave="1455" documentId="11_0B1D56BE9CDCCE836B02CE7A5FB0D4A9BBFD1C62" xr6:coauthVersionLast="47" xr6:coauthVersionMax="47" xr10:uidLastSave="{9D4BCFC2-F8AB-4E30-A121-77203459D60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F129" i="1"/>
  <c r="F128" i="1"/>
  <c r="F126" i="1"/>
  <c r="F125" i="1"/>
  <c r="F127" i="1"/>
  <c r="F124" i="1"/>
  <c r="F123" i="1"/>
  <c r="E129" i="1"/>
  <c r="D129" i="1"/>
  <c r="C129" i="1"/>
  <c r="B129" i="1"/>
  <c r="H117" i="1"/>
  <c r="H116" i="1"/>
  <c r="H118" i="1"/>
  <c r="E120" i="1"/>
  <c r="E119" i="1"/>
  <c r="E118" i="1"/>
  <c r="E117" i="1"/>
  <c r="E116" i="1"/>
  <c r="B118" i="1"/>
  <c r="B117" i="1"/>
  <c r="G98" i="1"/>
  <c r="G99" i="1"/>
  <c r="G100" i="1"/>
  <c r="G101" i="1"/>
  <c r="G102" i="1"/>
  <c r="G103" i="1"/>
  <c r="G97" i="1"/>
  <c r="E98" i="1"/>
  <c r="E99" i="1"/>
  <c r="E100" i="1"/>
  <c r="E101" i="1"/>
  <c r="E102" i="1"/>
  <c r="E103" i="1"/>
  <c r="E97" i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97" i="1"/>
  <c r="F97" i="1" s="1"/>
  <c r="C98" i="1"/>
  <c r="C99" i="1"/>
  <c r="C100" i="1"/>
  <c r="C101" i="1"/>
  <c r="C102" i="1"/>
  <c r="C103" i="1"/>
  <c r="C97" i="1"/>
  <c r="C91" i="1"/>
  <c r="G91" i="1"/>
  <c r="F91" i="1"/>
  <c r="E91" i="1"/>
  <c r="G92" i="1"/>
  <c r="G93" i="1"/>
  <c r="G94" i="1"/>
  <c r="F92" i="1"/>
  <c r="F93" i="1"/>
  <c r="F94" i="1"/>
  <c r="E92" i="1"/>
  <c r="E93" i="1"/>
  <c r="E94" i="1"/>
  <c r="D91" i="1"/>
  <c r="D92" i="1"/>
  <c r="D93" i="1"/>
  <c r="D94" i="1"/>
  <c r="B93" i="1"/>
  <c r="B91" i="1"/>
  <c r="C92" i="1"/>
  <c r="C93" i="1"/>
  <c r="C94" i="1"/>
  <c r="B92" i="1"/>
  <c r="B94" i="1"/>
  <c r="B79" i="1"/>
  <c r="B80" i="1"/>
  <c r="B81" i="1"/>
  <c r="B82" i="1"/>
  <c r="B78" i="1"/>
  <c r="F73" i="1"/>
  <c r="F74" i="1"/>
  <c r="F69" i="1"/>
  <c r="B74" i="1"/>
  <c r="B69" i="1"/>
  <c r="F70" i="1"/>
  <c r="F71" i="1"/>
  <c r="F72" i="1"/>
  <c r="B70" i="1"/>
  <c r="B71" i="1"/>
  <c r="B72" i="1"/>
  <c r="B73" i="1"/>
  <c r="D70" i="1"/>
  <c r="D71" i="1"/>
  <c r="D72" i="1"/>
  <c r="D73" i="1"/>
  <c r="D74" i="1"/>
  <c r="D69" i="1"/>
  <c r="S44" i="1"/>
  <c r="O63" i="1"/>
  <c r="O64" i="1"/>
  <c r="O65" i="1"/>
  <c r="O66" i="1"/>
  <c r="O67" i="1"/>
  <c r="O68" i="1"/>
  <c r="O69" i="1"/>
  <c r="O70" i="1"/>
  <c r="O71" i="1"/>
  <c r="O72" i="1"/>
  <c r="O73" i="1"/>
  <c r="O62" i="1"/>
  <c r="N63" i="1"/>
  <c r="N64" i="1"/>
  <c r="N65" i="1"/>
  <c r="N66" i="1"/>
  <c r="N67" i="1"/>
  <c r="N68" i="1"/>
  <c r="N69" i="1"/>
  <c r="N70" i="1"/>
  <c r="N71" i="1"/>
  <c r="N72" i="1"/>
  <c r="N73" i="1"/>
  <c r="N62" i="1"/>
  <c r="M63" i="1"/>
  <c r="M64" i="1"/>
  <c r="M65" i="1"/>
  <c r="M66" i="1"/>
  <c r="M67" i="1"/>
  <c r="M68" i="1"/>
  <c r="M69" i="1"/>
  <c r="M70" i="1"/>
  <c r="M71" i="1"/>
  <c r="M72" i="1"/>
  <c r="M73" i="1"/>
  <c r="M62" i="1"/>
  <c r="L63" i="1"/>
  <c r="L64" i="1"/>
  <c r="L65" i="1"/>
  <c r="L66" i="1"/>
  <c r="L67" i="1"/>
  <c r="L68" i="1"/>
  <c r="L69" i="1"/>
  <c r="L70" i="1"/>
  <c r="L71" i="1"/>
  <c r="L72" i="1"/>
  <c r="L73" i="1"/>
  <c r="L62" i="1"/>
  <c r="K63" i="1"/>
  <c r="K64" i="1"/>
  <c r="K65" i="1"/>
  <c r="K66" i="1"/>
  <c r="K67" i="1"/>
  <c r="K68" i="1"/>
  <c r="K69" i="1"/>
  <c r="K70" i="1"/>
  <c r="K71" i="1"/>
  <c r="K72" i="1"/>
  <c r="K73" i="1"/>
  <c r="K62" i="1"/>
  <c r="J63" i="1"/>
  <c r="J64" i="1"/>
  <c r="J65" i="1"/>
  <c r="J66" i="1"/>
  <c r="J67" i="1"/>
  <c r="J68" i="1"/>
  <c r="J69" i="1"/>
  <c r="J70" i="1"/>
  <c r="J71" i="1"/>
  <c r="J72" i="1"/>
  <c r="J73" i="1"/>
  <c r="J62" i="1"/>
  <c r="I63" i="1"/>
  <c r="I64" i="1"/>
  <c r="I65" i="1"/>
  <c r="I66" i="1"/>
  <c r="I67" i="1"/>
  <c r="I68" i="1"/>
  <c r="I69" i="1"/>
  <c r="I70" i="1"/>
  <c r="I71" i="1"/>
  <c r="I72" i="1"/>
  <c r="I73" i="1"/>
  <c r="I62" i="1"/>
  <c r="E61" i="1"/>
  <c r="E62" i="1"/>
  <c r="E63" i="1"/>
  <c r="E64" i="1"/>
  <c r="E65" i="1"/>
  <c r="E66" i="1"/>
  <c r="E60" i="1"/>
  <c r="B61" i="1"/>
  <c r="B62" i="1"/>
  <c r="B63" i="1"/>
  <c r="B64" i="1"/>
  <c r="B65" i="1"/>
  <c r="B66" i="1"/>
  <c r="B60" i="1"/>
  <c r="B57" i="1"/>
  <c r="A57" i="1"/>
  <c r="E50" i="1"/>
  <c r="D50" i="1"/>
  <c r="S43" i="1"/>
  <c r="S45" i="1"/>
  <c r="S46" i="1"/>
  <c r="S47" i="1"/>
  <c r="E49" i="1"/>
  <c r="E51" i="1"/>
  <c r="E48" i="1"/>
  <c r="D49" i="1"/>
  <c r="D51" i="1"/>
  <c r="D48" i="1"/>
  <c r="C49" i="1"/>
  <c r="C50" i="1"/>
  <c r="C51" i="1"/>
  <c r="C48" i="1"/>
  <c r="S37" i="1"/>
  <c r="S38" i="1"/>
  <c r="S39" i="1"/>
  <c r="S40" i="1"/>
  <c r="S36" i="1"/>
  <c r="P37" i="1"/>
  <c r="P38" i="1"/>
  <c r="P39" i="1"/>
  <c r="P40" i="1"/>
  <c r="P36" i="1"/>
  <c r="L37" i="1"/>
  <c r="L38" i="1"/>
  <c r="L39" i="1"/>
  <c r="L40" i="1"/>
  <c r="L36" i="1"/>
  <c r="R28" i="1"/>
  <c r="R29" i="1"/>
  <c r="R30" i="1"/>
  <c r="R31" i="1"/>
  <c r="R32" i="1"/>
  <c r="R27" i="1"/>
  <c r="Q28" i="1"/>
  <c r="S28" i="1" s="1"/>
  <c r="Q29" i="1"/>
  <c r="S29" i="1" s="1"/>
  <c r="Q30" i="1"/>
  <c r="S30" i="1" s="1"/>
  <c r="Q31" i="1"/>
  <c r="S31" i="1" s="1"/>
  <c r="Q32" i="1"/>
  <c r="S32" i="1" s="1"/>
  <c r="Q27" i="1"/>
  <c r="S27" i="1" s="1"/>
  <c r="P24" i="1"/>
  <c r="P23" i="1"/>
  <c r="P22" i="1"/>
  <c r="P19" i="1"/>
  <c r="P18" i="1"/>
  <c r="P17" i="1"/>
  <c r="P16" i="1"/>
  <c r="P15" i="1"/>
  <c r="M33" i="1"/>
  <c r="M44" i="1"/>
  <c r="M48" i="1"/>
  <c r="M47" i="1"/>
  <c r="M46" i="1"/>
  <c r="M45" i="1"/>
  <c r="M43" i="1"/>
  <c r="J44" i="1"/>
  <c r="J45" i="1"/>
  <c r="J46" i="1"/>
  <c r="J43" i="1"/>
  <c r="F43" i="1"/>
  <c r="F44" i="1"/>
  <c r="E44" i="1"/>
  <c r="E43" i="1"/>
  <c r="G44" i="1"/>
  <c r="G43" i="1"/>
  <c r="B43" i="1"/>
  <c r="B44" i="1"/>
  <c r="B42" i="1"/>
  <c r="M27" i="1"/>
  <c r="M28" i="1"/>
  <c r="M29" i="1"/>
  <c r="M30" i="1"/>
  <c r="L27" i="1"/>
  <c r="L28" i="1"/>
  <c r="L29" i="1"/>
  <c r="L30" i="1"/>
  <c r="L26" i="1"/>
  <c r="M26" i="1"/>
  <c r="I38" i="1"/>
  <c r="I37" i="1"/>
  <c r="I33" i="1"/>
  <c r="I32" i="1"/>
  <c r="I28" i="1"/>
  <c r="I27" i="1"/>
  <c r="F29" i="1"/>
  <c r="F30" i="1"/>
  <c r="F31" i="1"/>
  <c r="F28" i="1"/>
  <c r="F38" i="1"/>
  <c r="F37" i="1"/>
  <c r="F36" i="1"/>
  <c r="F35" i="1"/>
  <c r="C38" i="1"/>
  <c r="C37" i="1"/>
  <c r="C36" i="1"/>
  <c r="B30" i="1"/>
  <c r="B32" i="1"/>
  <c r="B31" i="1"/>
  <c r="B29" i="1"/>
  <c r="B28" i="1"/>
  <c r="B27" i="1"/>
  <c r="B26" i="1"/>
  <c r="M20" i="1"/>
  <c r="L20" i="1"/>
  <c r="K20" i="1"/>
  <c r="G21" i="1"/>
  <c r="H21" i="1"/>
  <c r="J20" i="1"/>
  <c r="H20" i="1"/>
  <c r="H22" i="1"/>
  <c r="H23" i="1"/>
  <c r="H19" i="1"/>
  <c r="G20" i="1"/>
  <c r="G22" i="1"/>
  <c r="G23" i="1"/>
  <c r="G19" i="1"/>
  <c r="F15" i="1"/>
  <c r="E15" i="1"/>
  <c r="Q12" i="1"/>
  <c r="Q11" i="1"/>
  <c r="Q10" i="1"/>
  <c r="Q9" i="1"/>
  <c r="Q8" i="1"/>
  <c r="M11" i="1"/>
  <c r="M8" i="1"/>
  <c r="J10" i="1"/>
  <c r="J9" i="1"/>
  <c r="J8" i="1"/>
  <c r="G9" i="1"/>
  <c r="G10" i="1"/>
  <c r="G8" i="1"/>
  <c r="B12" i="1"/>
  <c r="O2" i="1"/>
  <c r="P2" i="1" s="1"/>
  <c r="J3" i="1"/>
  <c r="J4" i="1"/>
  <c r="J5" i="1"/>
  <c r="J2" i="1"/>
  <c r="D3" i="1"/>
  <c r="D4" i="1"/>
  <c r="D5" i="1"/>
  <c r="D2" i="1"/>
  <c r="C8" i="1" l="1"/>
  <c r="C11" i="1"/>
  <c r="C10" i="1"/>
  <c r="C9" i="1"/>
</calcChain>
</file>

<file path=xl/sharedStrings.xml><?xml version="1.0" encoding="utf-8"?>
<sst xmlns="http://schemas.openxmlformats.org/spreadsheetml/2006/main" count="281" uniqueCount="229">
  <si>
    <t>Region</t>
  </si>
  <si>
    <t>Prior Year</t>
  </si>
  <si>
    <t>Current Year</t>
  </si>
  <si>
    <t>Percentage Variance</t>
  </si>
  <si>
    <t>Goal</t>
  </si>
  <si>
    <t>Actual</t>
  </si>
  <si>
    <t>Division %</t>
  </si>
  <si>
    <t>Budget</t>
  </si>
  <si>
    <t>Standard Percentage Variance</t>
  </si>
  <si>
    <t>Improve Standard Variance</t>
  </si>
  <si>
    <t>North</t>
  </si>
  <si>
    <t>South</t>
  </si>
  <si>
    <t>East</t>
  </si>
  <si>
    <t>West</t>
  </si>
  <si>
    <t>Revenue</t>
  </si>
  <si>
    <t>Total Percentage</t>
  </si>
  <si>
    <t>Budget Percentage</t>
  </si>
  <si>
    <t xml:space="preserve">Round Funcation </t>
  </si>
  <si>
    <t>Output</t>
  </si>
  <si>
    <t>Round Down Function</t>
  </si>
  <si>
    <t>Month</t>
  </si>
  <si>
    <t>Units Sold</t>
  </si>
  <si>
    <t>Running Total</t>
  </si>
  <si>
    <t>Jan</t>
  </si>
  <si>
    <t>Feb</t>
  </si>
  <si>
    <t>Round Up Function</t>
  </si>
  <si>
    <t>Mar</t>
  </si>
  <si>
    <t>April</t>
  </si>
  <si>
    <t>Total Sum</t>
  </si>
  <si>
    <t>May</t>
  </si>
  <si>
    <t>Amount</t>
  </si>
  <si>
    <t>Ceiling Function</t>
  </si>
  <si>
    <t>Floor Function</t>
  </si>
  <si>
    <t>Date</t>
  </si>
  <si>
    <t>YEAR</t>
  </si>
  <si>
    <t>MONTH</t>
  </si>
  <si>
    <t>CountA Function</t>
  </si>
  <si>
    <t xml:space="preserve">CountBlank Function </t>
  </si>
  <si>
    <t>DAY</t>
  </si>
  <si>
    <t xml:space="preserve">Student </t>
  </si>
  <si>
    <t>Math</t>
  </si>
  <si>
    <t>English</t>
  </si>
  <si>
    <t>Science</t>
  </si>
  <si>
    <t>History</t>
  </si>
  <si>
    <t xml:space="preserve">Exams TakenBy Each Student </t>
  </si>
  <si>
    <t>Exams Remaining</t>
  </si>
  <si>
    <t>How Mnay Stidents Passed Each Exam</t>
  </si>
  <si>
    <t>Count Function</t>
  </si>
  <si>
    <t>WEEKDAY</t>
  </si>
  <si>
    <t>S1</t>
  </si>
  <si>
    <t>Fail</t>
  </si>
  <si>
    <t xml:space="preserve">Math   </t>
  </si>
  <si>
    <t>WEEKNUM</t>
  </si>
  <si>
    <t>S2</t>
  </si>
  <si>
    <t>S3</t>
  </si>
  <si>
    <t>Time</t>
  </si>
  <si>
    <t>S4</t>
  </si>
  <si>
    <t>HOURS</t>
  </si>
  <si>
    <t>S5</t>
  </si>
  <si>
    <t>MINUTES</t>
  </si>
  <si>
    <t>SECONDS</t>
  </si>
  <si>
    <t>Raw Data</t>
  </si>
  <si>
    <t>Significant Digits.</t>
  </si>
  <si>
    <t>Significant digit</t>
  </si>
  <si>
    <t>convert these 9 digit postal codes into 5 digit postal codes</t>
  </si>
  <si>
    <t>Left function</t>
  </si>
  <si>
    <t xml:space="preserve">Product code </t>
  </si>
  <si>
    <t>Extract the numbers</t>
  </si>
  <si>
    <t>Extract the size designation</t>
  </si>
  <si>
    <t>zip</t>
  </si>
  <si>
    <t>PWR-16-Small</t>
  </si>
  <si>
    <t>Start_Date</t>
  </si>
  <si>
    <t>End_Date</t>
  </si>
  <si>
    <t>Years</t>
  </si>
  <si>
    <t>Months</t>
  </si>
  <si>
    <t xml:space="preserve">Number of Years and Months </t>
  </si>
  <si>
    <t xml:space="preserve">Original Text </t>
  </si>
  <si>
    <t>Trimmed Text Using Trim function</t>
  </si>
  <si>
    <t>70056-2343</t>
  </si>
  <si>
    <t>PW-18-Medium</t>
  </si>
  <si>
    <t>ABCD</t>
  </si>
  <si>
    <t>75023-5774</t>
  </si>
  <si>
    <t>PW-19-Large</t>
  </si>
  <si>
    <t xml:space="preserve">A  B  C  D </t>
  </si>
  <si>
    <t>CWS-22-Medium</t>
  </si>
  <si>
    <t>PRINCE         DEO</t>
  </si>
  <si>
    <t>Eztract the phone number</t>
  </si>
  <si>
    <t>Right function</t>
  </si>
  <si>
    <t>CWTP-44-Large</t>
  </si>
  <si>
    <t>Phone</t>
  </si>
  <si>
    <t>(214)887-7765</t>
  </si>
  <si>
    <t>NetworkDay  Function</t>
  </si>
  <si>
    <t>(703)654-2180</t>
  </si>
  <si>
    <t>Concantennate Function</t>
  </si>
  <si>
    <t xml:space="preserve">Main Text </t>
  </si>
  <si>
    <t>The QUICK brown FOX JUMPS over the lazy DOG.</t>
  </si>
  <si>
    <t>FirstName</t>
  </si>
  <si>
    <t>LastName</t>
  </si>
  <si>
    <t>FullName</t>
  </si>
  <si>
    <t xml:space="preserve">Lower Function </t>
  </si>
  <si>
    <t>Extract the 4th digit</t>
  </si>
  <si>
    <t>Mid function</t>
  </si>
  <si>
    <t>DATE</t>
  </si>
  <si>
    <t>CALENDER QUARTER FUNCTION</t>
  </si>
  <si>
    <t>FISCAL QUARTER  FUNCTION (FISCAL YEAR STARTS IN ARPIL)</t>
  </si>
  <si>
    <t>FISCAL MONTH (STARTS ON THE 21ST AND ENDS ON 20TH OF THE NEXT MONTH)</t>
  </si>
  <si>
    <t>Amisha</t>
  </si>
  <si>
    <t>Ninawe</t>
  </si>
  <si>
    <t>Upper Function</t>
  </si>
  <si>
    <t>Job Code</t>
  </si>
  <si>
    <t>Priya</t>
  </si>
  <si>
    <t>Jumde</t>
  </si>
  <si>
    <t>Proper Function</t>
  </si>
  <si>
    <t>Samiksha</t>
  </si>
  <si>
    <t>Gawande</t>
  </si>
  <si>
    <t>0r</t>
  </si>
  <si>
    <t>Company</t>
  </si>
  <si>
    <t>Proper Substitute function</t>
  </si>
  <si>
    <t>STARBUCK'S  COFFEE</t>
  </si>
  <si>
    <t>Text</t>
  </si>
  <si>
    <t>Length</t>
  </si>
  <si>
    <t>Space</t>
  </si>
  <si>
    <t>Word</t>
  </si>
  <si>
    <t>Customer Id</t>
  </si>
  <si>
    <t xml:space="preserve">Upto 10 Digits </t>
  </si>
  <si>
    <t>Date Of Brith</t>
  </si>
  <si>
    <t>START TIME</t>
  </si>
  <si>
    <t xml:space="preserve">END TIME </t>
  </si>
  <si>
    <t xml:space="preserve">ELAPSED MINUTES : SECONDS </t>
  </si>
  <si>
    <t>MCDONALD'S</t>
  </si>
  <si>
    <t>The Quick Brown Fox Jumps Over The Lazy Dog</t>
  </si>
  <si>
    <t>"y"</t>
  </si>
  <si>
    <t xml:space="preserve">10:03: 56 AM	</t>
  </si>
  <si>
    <t>MIKCHAL'S DELI</t>
  </si>
  <si>
    <t>The Quick Brown Fox Jumps Over The The Over Lazy Dog</t>
  </si>
  <si>
    <t>"m"</t>
  </si>
  <si>
    <t>"d"</t>
  </si>
  <si>
    <t>ROUNDING TIME VALUES</t>
  </si>
  <si>
    <t>"md"</t>
  </si>
  <si>
    <t>ELAPSED MINUTES : SECONDS</t>
  </si>
  <si>
    <t>ROUND UP TO NEAREST 15 MINUTES</t>
  </si>
  <si>
    <t xml:space="preserve">ROUND DOWN TO NEAREST 30 MINUTES </t>
  </si>
  <si>
    <t>"ym"</t>
  </si>
  <si>
    <t>"yd"</t>
  </si>
  <si>
    <t xml:space="preserve">Calculating the percent of year completed and remaining </t>
  </si>
  <si>
    <t xml:space="preserve">Start Date </t>
  </si>
  <si>
    <t xml:space="preserve">End Date </t>
  </si>
  <si>
    <t>% of this year complete</t>
  </si>
  <si>
    <t>% of this year left</t>
  </si>
  <si>
    <t xml:space="preserve">First Day of feb </t>
  </si>
  <si>
    <t>Last Day of feb</t>
  </si>
  <si>
    <t>First Day of jan</t>
  </si>
  <si>
    <t>Nth occurance</t>
  </si>
  <si>
    <t xml:space="preserve">Calculate the date of the nth weekday of the month </t>
  </si>
  <si>
    <t>Year</t>
  </si>
  <si>
    <t xml:space="preserve">Nth sunday of the month </t>
  </si>
  <si>
    <t>Nth monday of the month</t>
  </si>
  <si>
    <t>Nth tuesday of the month</t>
  </si>
  <si>
    <t>Nth wenesday of the month</t>
  </si>
  <si>
    <t>Nth thursday of the month</t>
  </si>
  <si>
    <t>Nth friday of the month</t>
  </si>
  <si>
    <t>Nth saturday of the month</t>
  </si>
  <si>
    <t>Retruning the last date of a given month</t>
  </si>
  <si>
    <t>Decimal Hours</t>
  </si>
  <si>
    <t>Hours:Minutes</t>
  </si>
  <si>
    <t>Decimal Minutes</t>
  </si>
  <si>
    <t>Minutes:Seconds</t>
  </si>
  <si>
    <t xml:space="preserve">Decimal Seconds </t>
  </si>
  <si>
    <t>Adding Hours,Minutes,0r Seconds to a Time</t>
  </si>
  <si>
    <t xml:space="preserve">Start time </t>
  </si>
  <si>
    <t>End Time</t>
  </si>
  <si>
    <t xml:space="preserve">Check to see whether a simple condition is met </t>
  </si>
  <si>
    <t>State</t>
  </si>
  <si>
    <t>California</t>
  </si>
  <si>
    <t>Colorado</t>
  </si>
  <si>
    <t>Florida</t>
  </si>
  <si>
    <t>New york</t>
  </si>
  <si>
    <t>INVENTART ITEM</t>
  </si>
  <si>
    <t>QUANTITY</t>
  </si>
  <si>
    <t>DISCOUNT BY 10% USING AND FUNCTION</t>
  </si>
  <si>
    <t>202 VALUES</t>
  </si>
  <si>
    <t>FIN VALUES</t>
  </si>
  <si>
    <t>DISCOUNT BY 20% USING 202 AND FIN VALUES</t>
  </si>
  <si>
    <t>DISCOUNT BY 15% USING AND ,OR FUNCTION</t>
  </si>
  <si>
    <t>202-PRT-3031</t>
  </si>
  <si>
    <t>201-FIN-1452</t>
  </si>
  <si>
    <t>202-FIN-8206</t>
  </si>
  <si>
    <t>201-FIN-8238</t>
  </si>
  <si>
    <t>203-FIN-8882</t>
  </si>
  <si>
    <t>202-PRT-9587</t>
  </si>
  <si>
    <t>203-FIN-4614</t>
  </si>
  <si>
    <t xml:space="preserve">SUM ALL VALUES THAT MEET A CERTAIN CONDITION </t>
  </si>
  <si>
    <t>DIRECTIONS</t>
  </si>
  <si>
    <t>VALUES</t>
  </si>
  <si>
    <t>VALUE</t>
  </si>
  <si>
    <t>ACCOUNT</t>
  </si>
  <si>
    <t>BALANCE</t>
  </si>
  <si>
    <t>SOUTH</t>
  </si>
  <si>
    <t>1510 EQUIPMENT</t>
  </si>
  <si>
    <t>1540 ACCUMLATED DEPRECIATION</t>
  </si>
  <si>
    <t>NORTH</t>
  </si>
  <si>
    <t>1590 LAND</t>
  </si>
  <si>
    <t>EAST</t>
  </si>
  <si>
    <t>1915 OTHER ASSETS</t>
  </si>
  <si>
    <t>2320 WAGES PYABLE</t>
  </si>
  <si>
    <t>2420 CURRENT PORTION OF LONG TERM DEPT</t>
  </si>
  <si>
    <t>2440 DEPOSISTS FROM CUSTOMERS</t>
  </si>
  <si>
    <t>5800 COST OF GOODS SOLD , OTHER</t>
  </si>
  <si>
    <t>73,00</t>
  </si>
  <si>
    <t xml:space="preserve">5900 PURCHASE RETURNS AND ALLOWANCES </t>
  </si>
  <si>
    <t>6300 CHARITANCE CONTRIBUTIONS EXPENSE</t>
  </si>
  <si>
    <t>TOTAL SOUTH</t>
  </si>
  <si>
    <t>SUM OF TODAY</t>
  </si>
  <si>
    <t>TOTAL NEGATIVE</t>
  </si>
  <si>
    <t>TOTAL NORTH</t>
  </si>
  <si>
    <t>SUM OF PREVIOUS DAYS WITH TODAY</t>
  </si>
  <si>
    <t>TOTAL POSITIVE</t>
  </si>
  <si>
    <t>TOTAL EAST</t>
  </si>
  <si>
    <t>SUM OF PERVIOUS DAYS</t>
  </si>
  <si>
    <t>GREATER THAN EAST</t>
  </si>
  <si>
    <t>LESS THAN NORTH</t>
  </si>
  <si>
    <t>REGION</t>
  </si>
  <si>
    <t>TOTAL BY COLUNM</t>
  </si>
  <si>
    <t>NORTHEAST</t>
  </si>
  <si>
    <t>WEST</t>
  </si>
  <si>
    <t>MID-ATLANTIC</t>
  </si>
  <si>
    <t>CANADA</t>
  </si>
  <si>
    <t>TOTAL BY ROWS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</si>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</sst>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F400]h:mm:ss\ AM/PM"/>
  </numFmts>
  <fonts count="4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6" fontId="0" fillId="0" borderId="1" xfId="0" applyNumberFormat="1" applyBorder="1"/>
    <xf numFmtId="9" fontId="0" fillId="0" borderId="1" xfId="0" applyNumberFormat="1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0" xfId="0" applyAlignment="1">
      <alignment wrapText="1"/>
    </xf>
    <xf numFmtId="3" fontId="0" fillId="0" borderId="1" xfId="0" applyNumberForma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9" fontId="0" fillId="0" borderId="1" xfId="0" applyNumberFormat="1" applyBorder="1" applyAlignment="1">
      <alignment horizontal="center" wrapText="1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" fontId="2" fillId="0" borderId="1" xfId="0" applyNumberFormat="1" applyFont="1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2"/>
  <sheetViews>
    <sheetView tabSelected="1" topLeftCell="A124" workbookViewId="0">
      <selection activeCell="B137" sqref="B137"/>
    </sheetView>
  </sheetViews>
  <sheetFormatPr defaultRowHeight="15"/>
  <cols>
    <col min="1" max="1" width="41.5703125" customWidth="1"/>
    <col min="2" max="2" width="27" customWidth="1"/>
    <col min="3" max="3" width="22.5703125" customWidth="1"/>
    <col min="4" max="4" width="25.28515625" customWidth="1"/>
    <col min="5" max="5" width="25.85546875" customWidth="1"/>
    <col min="6" max="6" width="27.85546875" customWidth="1"/>
    <col min="7" max="7" width="26.7109375" customWidth="1"/>
    <col min="8" max="8" width="22.42578125" customWidth="1"/>
    <col min="9" max="9" width="36.5703125" bestFit="1" customWidth="1"/>
    <col min="10" max="10" width="21.140625" customWidth="1"/>
    <col min="11" max="11" width="22.28515625" bestFit="1" customWidth="1"/>
    <col min="12" max="12" width="23.28515625" customWidth="1"/>
    <col min="13" max="13" width="24" bestFit="1" customWidth="1"/>
    <col min="14" max="14" width="21.7109375" bestFit="1" customWidth="1"/>
    <col min="15" max="15" width="16.7109375" customWidth="1"/>
    <col min="16" max="16" width="28.85546875" customWidth="1"/>
    <col min="17" max="17" width="12.42578125" bestFit="1" customWidth="1"/>
    <col min="18" max="18" width="12.140625" customWidth="1"/>
    <col min="19" max="19" width="36.5703125" bestFit="1" customWidth="1"/>
  </cols>
  <sheetData>
    <row r="1" spans="1:17">
      <c r="A1" s="3" t="s">
        <v>0</v>
      </c>
      <c r="B1" s="3" t="s">
        <v>1</v>
      </c>
      <c r="C1" s="3" t="s">
        <v>2</v>
      </c>
      <c r="D1" s="3" t="s">
        <v>3</v>
      </c>
      <c r="G1" s="4" t="s">
        <v>0</v>
      </c>
      <c r="H1" s="4" t="s">
        <v>4</v>
      </c>
      <c r="I1" s="4" t="s">
        <v>5</v>
      </c>
      <c r="J1" s="4" t="s">
        <v>6</v>
      </c>
      <c r="M1" s="4" t="s">
        <v>7</v>
      </c>
      <c r="N1" s="4" t="s">
        <v>5</v>
      </c>
      <c r="O1" s="4" t="s">
        <v>8</v>
      </c>
      <c r="P1" s="4" t="s">
        <v>9</v>
      </c>
    </row>
    <row r="2" spans="1:17">
      <c r="A2" s="3" t="s">
        <v>10</v>
      </c>
      <c r="B2" s="6">
        <v>509283</v>
      </c>
      <c r="C2" s="6">
        <v>553887</v>
      </c>
      <c r="D2" s="7">
        <f>(C2-B2)/B2</f>
        <v>8.7581953452206332E-2</v>
      </c>
      <c r="G2" s="4" t="s">
        <v>10</v>
      </c>
      <c r="H2" s="10">
        <v>509283</v>
      </c>
      <c r="I2" s="10">
        <v>553887</v>
      </c>
      <c r="J2" s="11">
        <f>I2/H2</f>
        <v>1.0875819534522064</v>
      </c>
      <c r="M2" s="4">
        <v>-10000</v>
      </c>
      <c r="N2" s="4">
        <v>12000</v>
      </c>
      <c r="O2" s="9">
        <f>(N2-M2)/M2</f>
        <v>-2.2000000000000002</v>
      </c>
      <c r="P2" s="9">
        <f>ABS(O2)</f>
        <v>2.2000000000000002</v>
      </c>
    </row>
    <row r="3" spans="1:17">
      <c r="A3" s="3" t="s">
        <v>11</v>
      </c>
      <c r="B3" s="6">
        <v>483519</v>
      </c>
      <c r="C3" s="6">
        <v>511115</v>
      </c>
      <c r="D3" s="7">
        <f t="shared" ref="D3:D5" si="0">(C3-B3)/B3</f>
        <v>5.7073248414229845E-2</v>
      </c>
      <c r="G3" s="4" t="s">
        <v>11</v>
      </c>
      <c r="H3" s="10">
        <v>483519</v>
      </c>
      <c r="I3" s="10">
        <v>511115</v>
      </c>
      <c r="J3" s="11">
        <f t="shared" ref="J3:J5" si="1">I3/H3</f>
        <v>1.0570732484142298</v>
      </c>
    </row>
    <row r="4" spans="1:17">
      <c r="A4" s="3" t="s">
        <v>12</v>
      </c>
      <c r="B4" s="6">
        <v>640603</v>
      </c>
      <c r="C4" s="6">
        <v>606603</v>
      </c>
      <c r="D4" s="7">
        <f t="shared" si="0"/>
        <v>-5.3074993404651556E-2</v>
      </c>
      <c r="G4" s="4" t="s">
        <v>12</v>
      </c>
      <c r="H4" s="10">
        <v>640603</v>
      </c>
      <c r="I4" s="10">
        <v>606603</v>
      </c>
      <c r="J4" s="11">
        <f t="shared" si="1"/>
        <v>0.9469250065953484</v>
      </c>
    </row>
    <row r="5" spans="1:17">
      <c r="A5" s="3" t="s">
        <v>13</v>
      </c>
      <c r="B5" s="6">
        <v>320312</v>
      </c>
      <c r="C5" s="6">
        <v>382753</v>
      </c>
      <c r="D5" s="7">
        <f t="shared" si="0"/>
        <v>0.19493806039111866</v>
      </c>
      <c r="G5" s="4" t="s">
        <v>13</v>
      </c>
      <c r="H5" s="10">
        <v>320312</v>
      </c>
      <c r="I5" s="10">
        <v>382753</v>
      </c>
      <c r="J5" s="11">
        <f t="shared" si="1"/>
        <v>1.1949380603911186</v>
      </c>
    </row>
    <row r="7" spans="1:17">
      <c r="A7" s="3" t="s">
        <v>0</v>
      </c>
      <c r="B7" s="3" t="s">
        <v>14</v>
      </c>
      <c r="C7" s="3" t="s">
        <v>15</v>
      </c>
      <c r="E7" s="4" t="s">
        <v>7</v>
      </c>
      <c r="F7" s="4" t="s">
        <v>5</v>
      </c>
      <c r="G7" s="4" t="s">
        <v>16</v>
      </c>
      <c r="I7" s="3" t="s">
        <v>17</v>
      </c>
      <c r="J7" s="3" t="s">
        <v>18</v>
      </c>
      <c r="L7" s="4" t="s">
        <v>19</v>
      </c>
      <c r="M7" s="4" t="s">
        <v>18</v>
      </c>
      <c r="O7" s="4" t="s">
        <v>20</v>
      </c>
      <c r="P7" s="4" t="s">
        <v>21</v>
      </c>
      <c r="Q7" s="4" t="s">
        <v>22</v>
      </c>
    </row>
    <row r="8" spans="1:17">
      <c r="A8" s="3" t="s">
        <v>10</v>
      </c>
      <c r="B8" s="6">
        <v>7626</v>
      </c>
      <c r="C8" s="8">
        <f>B8/B12</f>
        <v>0.39791286198799897</v>
      </c>
      <c r="E8" s="4">
        <v>220</v>
      </c>
      <c r="F8" s="4">
        <v>200</v>
      </c>
      <c r="G8" s="9">
        <f>IF(E8=0,0,F8/E8)</f>
        <v>0.90909090909090906</v>
      </c>
      <c r="I8" s="3">
        <v>94.45</v>
      </c>
      <c r="J8" s="3">
        <f>ROUND(94.45,0)</f>
        <v>94</v>
      </c>
      <c r="L8" s="4">
        <v>94.45</v>
      </c>
      <c r="M8" s="4">
        <f>ROUNDDOWN(L8,0)</f>
        <v>94</v>
      </c>
      <c r="O8" s="4" t="s">
        <v>23</v>
      </c>
      <c r="P8" s="4">
        <v>78</v>
      </c>
      <c r="Q8" s="4">
        <f>SUM(P8)</f>
        <v>78</v>
      </c>
    </row>
    <row r="9" spans="1:17">
      <c r="A9" s="3" t="s">
        <v>11</v>
      </c>
      <c r="B9" s="6">
        <v>3387</v>
      </c>
      <c r="C9" s="8">
        <f>B9/B12</f>
        <v>0.17672841116618837</v>
      </c>
      <c r="E9" s="4">
        <v>0</v>
      </c>
      <c r="F9" s="4">
        <v>100</v>
      </c>
      <c r="G9" s="9">
        <f t="shared" ref="G9:G10" si="2">IF(E9=0,0,F9/E9)</f>
        <v>0</v>
      </c>
      <c r="I9" s="3">
        <v>94.55</v>
      </c>
      <c r="J9" s="3">
        <f>ROUND(I9,0)</f>
        <v>95</v>
      </c>
      <c r="L9" s="4"/>
      <c r="M9" s="4"/>
      <c r="O9" s="4" t="s">
        <v>24</v>
      </c>
      <c r="P9" s="4">
        <v>63</v>
      </c>
      <c r="Q9" s="4">
        <f>SUM(P8:P9)</f>
        <v>141</v>
      </c>
    </row>
    <row r="10" spans="1:17">
      <c r="A10" s="3" t="s">
        <v>12</v>
      </c>
      <c r="B10" s="3">
        <v>1695</v>
      </c>
      <c r="C10" s="8">
        <f>B10/B12</f>
        <v>8.8442473258544221E-2</v>
      </c>
      <c r="E10" s="4">
        <v>300</v>
      </c>
      <c r="F10" s="4">
        <v>350</v>
      </c>
      <c r="G10" s="9">
        <f t="shared" si="2"/>
        <v>1.1666666666666667</v>
      </c>
      <c r="I10" s="3">
        <v>94.55</v>
      </c>
      <c r="J10" s="3">
        <f>ROUND(I10,-1)</f>
        <v>90</v>
      </c>
      <c r="L10" s="4" t="s">
        <v>25</v>
      </c>
      <c r="M10" s="4" t="s">
        <v>18</v>
      </c>
      <c r="O10" s="4" t="s">
        <v>26</v>
      </c>
      <c r="P10" s="4">
        <v>45</v>
      </c>
      <c r="Q10" s="4">
        <f>SUM(P8:P10)</f>
        <v>186</v>
      </c>
    </row>
    <row r="11" spans="1:17">
      <c r="A11" s="3" t="s">
        <v>13</v>
      </c>
      <c r="B11" s="3">
        <v>6457</v>
      </c>
      <c r="C11" s="8">
        <f>B11/B12</f>
        <v>0.33691625358726845</v>
      </c>
      <c r="L11" s="4">
        <v>94.55</v>
      </c>
      <c r="M11" s="4">
        <f>ROUNDUP(L11,0)</f>
        <v>95</v>
      </c>
      <c r="O11" s="4" t="s">
        <v>27</v>
      </c>
      <c r="P11" s="4">
        <v>34</v>
      </c>
      <c r="Q11" s="4">
        <f>SUM(P8:P11)</f>
        <v>220</v>
      </c>
    </row>
    <row r="12" spans="1:17">
      <c r="A12" s="3" t="s">
        <v>28</v>
      </c>
      <c r="B12" s="6">
        <f>SUM(B8:B11)</f>
        <v>19165</v>
      </c>
      <c r="C12" s="3"/>
      <c r="O12" s="4" t="s">
        <v>29</v>
      </c>
      <c r="P12" s="4">
        <v>56</v>
      </c>
      <c r="Q12" s="4">
        <f>SUM(P8:P12)</f>
        <v>276</v>
      </c>
    </row>
    <row r="14" spans="1:17">
      <c r="D14" s="4" t="s">
        <v>30</v>
      </c>
      <c r="E14" s="4" t="s">
        <v>31</v>
      </c>
      <c r="F14" s="4" t="s">
        <v>32</v>
      </c>
      <c r="O14" s="4" t="s">
        <v>33</v>
      </c>
      <c r="P14" s="24">
        <v>42140</v>
      </c>
    </row>
    <row r="15" spans="1:17">
      <c r="D15" s="4">
        <v>34.243000000000002</v>
      </c>
      <c r="E15" s="4">
        <f>CEILING(D15,0.01)</f>
        <v>34.25</v>
      </c>
      <c r="F15" s="4">
        <f>FLOOR(D15,0.01)</f>
        <v>34.24</v>
      </c>
      <c r="O15" s="4" t="s">
        <v>34</v>
      </c>
      <c r="P15" s="4">
        <f>YEAR(P14)</f>
        <v>2015</v>
      </c>
    </row>
    <row r="16" spans="1:17">
      <c r="K16" s="1"/>
      <c r="O16" s="4" t="s">
        <v>35</v>
      </c>
      <c r="P16" s="4">
        <f>MONTH(P14)</f>
        <v>5</v>
      </c>
    </row>
    <row r="17" spans="1:19" ht="29.25">
      <c r="G17" s="4" t="s">
        <v>36</v>
      </c>
      <c r="H17" s="5" t="s">
        <v>37</v>
      </c>
      <c r="J17" s="12"/>
      <c r="O17" s="4" t="s">
        <v>38</v>
      </c>
      <c r="P17" s="4">
        <f>DAY(P14)</f>
        <v>16</v>
      </c>
    </row>
    <row r="18" spans="1:19">
      <c r="A18" s="2" t="s">
        <v>39</v>
      </c>
      <c r="B18" s="2" t="s">
        <v>40</v>
      </c>
      <c r="C18" s="2" t="s">
        <v>41</v>
      </c>
      <c r="D18" s="2" t="s">
        <v>42</v>
      </c>
      <c r="E18" s="2" t="s">
        <v>43</v>
      </c>
      <c r="G18" s="4" t="s">
        <v>44</v>
      </c>
      <c r="H18" s="4" t="s">
        <v>45</v>
      </c>
      <c r="J18" s="4" t="s">
        <v>46</v>
      </c>
      <c r="K18" s="4"/>
      <c r="L18" s="4" t="s">
        <v>47</v>
      </c>
      <c r="M18" s="4"/>
      <c r="O18" s="4" t="s">
        <v>48</v>
      </c>
      <c r="P18" s="4">
        <f>WEEKDAY(P14)</f>
        <v>7</v>
      </c>
    </row>
    <row r="19" spans="1:19">
      <c r="A19" s="2" t="s">
        <v>49</v>
      </c>
      <c r="B19" s="2" t="s">
        <v>50</v>
      </c>
      <c r="C19" s="2"/>
      <c r="D19" s="2">
        <v>1</v>
      </c>
      <c r="E19" s="2"/>
      <c r="G19" s="4">
        <f>COUNTA(B19:E19)</f>
        <v>2</v>
      </c>
      <c r="H19" s="4">
        <f>COUNTBLANK(B19:E19)</f>
        <v>2</v>
      </c>
      <c r="J19" s="4" t="s">
        <v>51</v>
      </c>
      <c r="K19" s="4" t="s">
        <v>41</v>
      </c>
      <c r="L19" s="4" t="s">
        <v>42</v>
      </c>
      <c r="M19" s="4" t="s">
        <v>43</v>
      </c>
      <c r="O19" s="4" t="s">
        <v>52</v>
      </c>
      <c r="P19" s="4">
        <f>WEEKNUM(P14)</f>
        <v>20</v>
      </c>
    </row>
    <row r="20" spans="1:19">
      <c r="A20" s="2" t="s">
        <v>53</v>
      </c>
      <c r="B20" s="2">
        <v>1</v>
      </c>
      <c r="C20" s="2">
        <v>1</v>
      </c>
      <c r="D20" s="2">
        <v>1</v>
      </c>
      <c r="E20" s="2"/>
      <c r="G20" s="4">
        <f t="shared" ref="G20:G23" si="3">COUNTA(B20:E20)</f>
        <v>3</v>
      </c>
      <c r="H20" s="4">
        <f t="shared" ref="H20:H23" si="4">COUNTBLANK(B20:E20)</f>
        <v>1</v>
      </c>
      <c r="J20" s="4">
        <f>COUNT(B19:B23)</f>
        <v>2</v>
      </c>
      <c r="K20" s="4">
        <f>COUNT(C19:C23)</f>
        <v>3</v>
      </c>
      <c r="L20" s="4">
        <f>COUNT(D19:D23)</f>
        <v>4</v>
      </c>
      <c r="M20" s="4">
        <f>COUNT(E19:E23)</f>
        <v>1</v>
      </c>
    </row>
    <row r="21" spans="1:19">
      <c r="A21" s="2" t="s">
        <v>54</v>
      </c>
      <c r="B21" s="2"/>
      <c r="C21" s="2">
        <v>1</v>
      </c>
      <c r="D21" s="2">
        <v>1</v>
      </c>
      <c r="E21" s="2">
        <v>1</v>
      </c>
      <c r="G21" s="4">
        <f t="shared" si="3"/>
        <v>3</v>
      </c>
      <c r="H21" s="4">
        <f t="shared" si="4"/>
        <v>1</v>
      </c>
      <c r="J21" s="4"/>
      <c r="K21" s="4"/>
      <c r="L21" s="4"/>
      <c r="M21" s="4"/>
      <c r="O21" s="4" t="s">
        <v>55</v>
      </c>
      <c r="P21" s="27">
        <v>0.26072916666666668</v>
      </c>
    </row>
    <row r="22" spans="1:19">
      <c r="A22" s="2" t="s">
        <v>56</v>
      </c>
      <c r="B22" s="2" t="s">
        <v>50</v>
      </c>
      <c r="C22" s="2"/>
      <c r="D22" s="2" t="s">
        <v>50</v>
      </c>
      <c r="E22" s="2"/>
      <c r="G22" s="4">
        <f t="shared" si="3"/>
        <v>2</v>
      </c>
      <c r="H22" s="4">
        <f t="shared" si="4"/>
        <v>2</v>
      </c>
      <c r="J22" s="4"/>
      <c r="K22" s="4"/>
      <c r="L22" s="4"/>
      <c r="M22" s="4"/>
      <c r="O22" s="4" t="s">
        <v>57</v>
      </c>
      <c r="P22" s="4">
        <f>HOUR(P21)</f>
        <v>6</v>
      </c>
    </row>
    <row r="23" spans="1:19">
      <c r="A23" s="2" t="s">
        <v>58</v>
      </c>
      <c r="B23" s="2">
        <v>1</v>
      </c>
      <c r="C23" s="2">
        <v>1</v>
      </c>
      <c r="D23" s="2">
        <v>1</v>
      </c>
      <c r="E23" s="2" t="s">
        <v>50</v>
      </c>
      <c r="G23" s="4">
        <f t="shared" si="3"/>
        <v>4</v>
      </c>
      <c r="H23" s="4">
        <f t="shared" si="4"/>
        <v>0</v>
      </c>
      <c r="J23" s="4"/>
      <c r="K23" s="4"/>
      <c r="L23" s="4"/>
      <c r="M23" s="4"/>
      <c r="O23" s="4" t="s">
        <v>59</v>
      </c>
      <c r="P23" s="4">
        <f>MINUTE(P21)</f>
        <v>15</v>
      </c>
    </row>
    <row r="24" spans="1:19">
      <c r="O24" s="4" t="s">
        <v>60</v>
      </c>
      <c r="P24" s="4">
        <f>SECOND(P21)</f>
        <v>27</v>
      </c>
    </row>
    <row r="25" spans="1:19" ht="43.5">
      <c r="A25" s="4" t="s">
        <v>61</v>
      </c>
      <c r="B25" s="4" t="s">
        <v>62</v>
      </c>
      <c r="C25" s="4" t="s">
        <v>63</v>
      </c>
      <c r="H25" s="15" t="s">
        <v>64</v>
      </c>
      <c r="I25" s="3" t="s">
        <v>65</v>
      </c>
      <c r="K25" s="20" t="s">
        <v>66</v>
      </c>
      <c r="L25" s="20" t="s">
        <v>67</v>
      </c>
      <c r="M25" s="20" t="s">
        <v>68</v>
      </c>
    </row>
    <row r="26" spans="1:19">
      <c r="A26" s="13">
        <v>605390</v>
      </c>
      <c r="B26" s="4">
        <f>ROUND(A26,LEN(INT(ABS(A26)))*-1+C26)</f>
        <v>610000</v>
      </c>
      <c r="C26" s="4">
        <v>2</v>
      </c>
      <c r="H26" s="3" t="s">
        <v>69</v>
      </c>
      <c r="I26" s="3" t="s">
        <v>69</v>
      </c>
      <c r="K26" s="20" t="s">
        <v>70</v>
      </c>
      <c r="L26" s="21" t="str">
        <f>MID(K26,FIND("-",K26)+1,2)</f>
        <v>16</v>
      </c>
      <c r="M26" s="20" t="str">
        <f>MID(K26, FIND("-", K26, FIND("-", K26)+1) + 1, 100000)</f>
        <v>Small</v>
      </c>
      <c r="O26" s="4" t="s">
        <v>71</v>
      </c>
      <c r="P26" s="4" t="s">
        <v>72</v>
      </c>
      <c r="Q26" s="4" t="s">
        <v>73</v>
      </c>
      <c r="R26" s="4" t="s">
        <v>74</v>
      </c>
      <c r="S26" s="4" t="s">
        <v>75</v>
      </c>
    </row>
    <row r="27" spans="1:19">
      <c r="A27" s="13">
        <v>900942</v>
      </c>
      <c r="B27" s="4">
        <f>ROUND(A27,LEN(INT(ABS(A27)))*-1+C26)</f>
        <v>900000</v>
      </c>
      <c r="C27" s="4"/>
      <c r="E27" s="4" t="s">
        <v>76</v>
      </c>
      <c r="F27" s="4" t="s">
        <v>77</v>
      </c>
      <c r="H27" s="3" t="s">
        <v>78</v>
      </c>
      <c r="I27" s="3" t="str">
        <f>LEFT(H27,5)</f>
        <v>70056</v>
      </c>
      <c r="K27" s="20" t="s">
        <v>79</v>
      </c>
      <c r="L27" s="21" t="str">
        <f t="shared" ref="L27:L30" si="5">MID(K27,FIND("-",K27)+1,2)</f>
        <v>18</v>
      </c>
      <c r="M27" s="20" t="str">
        <f t="shared" ref="M27:M30" si="6">MID(K27, FIND("-", K27, FIND("-", K27)+1) + 1, 100000)</f>
        <v>Medium</v>
      </c>
      <c r="O27" s="24">
        <v>22243</v>
      </c>
      <c r="P27" s="28">
        <v>44235</v>
      </c>
      <c r="Q27" s="4">
        <f>DATEDIF(O27,P27,"Y")</f>
        <v>60</v>
      </c>
      <c r="R27" s="4">
        <f>DATEDIF(O27,P27,"YM")</f>
        <v>2</v>
      </c>
      <c r="S27" s="4" t="str">
        <f>Q27&amp;" "&amp;" YEARS " &amp; R27 &amp; " "&amp;" MONTHS "</f>
        <v xml:space="preserve">60  YEARS 2  MONTHS </v>
      </c>
    </row>
    <row r="28" spans="1:19">
      <c r="A28" s="13">
        <v>591007</v>
      </c>
      <c r="B28" s="4">
        <f>ROUND(A28,LEN(INT(ABS(A28)))*-1+C26)</f>
        <v>590000</v>
      </c>
      <c r="C28" s="4"/>
      <c r="E28" s="4" t="s">
        <v>80</v>
      </c>
      <c r="F28" s="4" t="str">
        <f>TRIM(E28)</f>
        <v>ABCD</v>
      </c>
      <c r="H28" s="3" t="s">
        <v>81</v>
      </c>
      <c r="I28" s="3" t="str">
        <f>LEFT(H28,5)</f>
        <v>75023</v>
      </c>
      <c r="K28" s="20" t="s">
        <v>82</v>
      </c>
      <c r="L28" s="21" t="str">
        <f t="shared" si="5"/>
        <v>19</v>
      </c>
      <c r="M28" s="20" t="str">
        <f t="shared" si="6"/>
        <v>Large</v>
      </c>
      <c r="O28" s="24">
        <v>16370</v>
      </c>
      <c r="P28" s="28">
        <v>44235</v>
      </c>
      <c r="Q28" s="4">
        <f t="shared" ref="Q28:Q32" si="7">DATEDIF(O28,P28,"Y")</f>
        <v>76</v>
      </c>
      <c r="R28" s="4">
        <f t="shared" ref="R28:R32" si="8">DATEDIF(O28,P28,"YM")</f>
        <v>3</v>
      </c>
      <c r="S28" s="4" t="str">
        <f>Q28 &amp; " " &amp;" YEARS  " &amp; R28 &amp;" " &amp;"MONTHS"</f>
        <v>76  YEARS  3 MONTHS</v>
      </c>
    </row>
    <row r="29" spans="1:19">
      <c r="A29" s="13">
        <v>491235</v>
      </c>
      <c r="B29" s="4">
        <f>ROUND(A29,LEN(INT(ABS(A29)))*-1+C26)</f>
        <v>490000</v>
      </c>
      <c r="C29" s="4"/>
      <c r="E29" s="4" t="s">
        <v>83</v>
      </c>
      <c r="F29" s="4" t="str">
        <f t="shared" ref="F29:F31" si="9">TRIM(E29)</f>
        <v>A B C D</v>
      </c>
      <c r="K29" s="20" t="s">
        <v>84</v>
      </c>
      <c r="L29" s="21" t="str">
        <f t="shared" si="5"/>
        <v>22</v>
      </c>
      <c r="M29" s="20" t="str">
        <f t="shared" si="6"/>
        <v>Medium</v>
      </c>
      <c r="O29" s="24">
        <v>7410</v>
      </c>
      <c r="P29" s="28">
        <v>44235</v>
      </c>
      <c r="Q29" s="4">
        <f t="shared" si="7"/>
        <v>100</v>
      </c>
      <c r="R29" s="4">
        <f t="shared" si="8"/>
        <v>9</v>
      </c>
      <c r="S29" s="4" t="str">
        <f t="shared" ref="S29:S32" si="10">Q29 &amp; " " &amp;" YEARS  " &amp; R29 &amp;" " &amp;"MONTHS"</f>
        <v>100  YEARS  9 MONTHS</v>
      </c>
    </row>
    <row r="30" spans="1:19" ht="29.25">
      <c r="A30" s="13">
        <v>883788</v>
      </c>
      <c r="B30" s="4">
        <f>ROUND(A30,LEN(INT(ABS(A30)))*-1+C26)</f>
        <v>880000</v>
      </c>
      <c r="C30" s="4"/>
      <c r="E30" s="4" t="s">
        <v>85</v>
      </c>
      <c r="F30" s="4" t="str">
        <f t="shared" si="9"/>
        <v>PRINCE DEO</v>
      </c>
      <c r="H30" s="15" t="s">
        <v>86</v>
      </c>
      <c r="I30" s="3" t="s">
        <v>87</v>
      </c>
      <c r="K30" s="20" t="s">
        <v>88</v>
      </c>
      <c r="L30" s="21" t="str">
        <f t="shared" si="5"/>
        <v>44</v>
      </c>
      <c r="M30" s="20" t="str">
        <f t="shared" si="6"/>
        <v>Large</v>
      </c>
      <c r="O30" s="24">
        <v>14851</v>
      </c>
      <c r="P30" s="28">
        <v>44235</v>
      </c>
      <c r="Q30" s="4">
        <f t="shared" si="7"/>
        <v>80</v>
      </c>
      <c r="R30" s="4">
        <f t="shared" si="8"/>
        <v>5</v>
      </c>
      <c r="S30" s="4" t="str">
        <f t="shared" si="10"/>
        <v>80  YEARS  5 MONTHS</v>
      </c>
    </row>
    <row r="31" spans="1:19">
      <c r="A31" s="13">
        <v>952687</v>
      </c>
      <c r="B31" s="4">
        <f>ROUND(A31,LEN(INT(ABS(A31)))*-1+C26)</f>
        <v>950000</v>
      </c>
      <c r="C31" s="4"/>
      <c r="E31" s="4" t="s">
        <v>80</v>
      </c>
      <c r="F31" s="4" t="str">
        <f t="shared" si="9"/>
        <v>ABCD</v>
      </c>
      <c r="H31" s="3" t="s">
        <v>89</v>
      </c>
      <c r="I31" s="3" t="s">
        <v>89</v>
      </c>
      <c r="O31" s="24">
        <v>31994</v>
      </c>
      <c r="P31" s="24">
        <v>44235</v>
      </c>
      <c r="Q31" s="4">
        <f t="shared" si="7"/>
        <v>33</v>
      </c>
      <c r="R31" s="4">
        <f t="shared" si="8"/>
        <v>6</v>
      </c>
      <c r="S31" s="4" t="str">
        <f t="shared" si="10"/>
        <v>33  YEARS  6 MONTHS</v>
      </c>
    </row>
    <row r="32" spans="1:19">
      <c r="A32" s="13">
        <v>-332602</v>
      </c>
      <c r="B32" s="4">
        <f>ROUND(A32,LEN(INT(ABS(A32)))*-1+C26)</f>
        <v>-330000</v>
      </c>
      <c r="C32" s="4"/>
      <c r="H32" s="3" t="s">
        <v>90</v>
      </c>
      <c r="I32" s="3" t="str">
        <f>RIGHT(H32,8)</f>
        <v>887-7765</v>
      </c>
      <c r="K32" s="4" t="s">
        <v>71</v>
      </c>
      <c r="L32" s="4" t="s">
        <v>72</v>
      </c>
      <c r="M32" s="4" t="s">
        <v>91</v>
      </c>
      <c r="O32" s="24">
        <v>30187</v>
      </c>
      <c r="P32" s="24">
        <v>44235</v>
      </c>
      <c r="Q32" s="4">
        <f t="shared" si="7"/>
        <v>38</v>
      </c>
      <c r="R32" s="4">
        <f t="shared" si="8"/>
        <v>5</v>
      </c>
      <c r="S32" s="4" t="str">
        <f t="shared" si="10"/>
        <v>38  YEARS  5 MONTHS</v>
      </c>
    </row>
    <row r="33" spans="1:19" ht="19.5" customHeight="1">
      <c r="E33" s="16"/>
      <c r="H33" s="3" t="s">
        <v>92</v>
      </c>
      <c r="I33" s="3" t="str">
        <f>RIGHT(H33,8)</f>
        <v>654-2180</v>
      </c>
      <c r="K33" s="24">
        <v>41640</v>
      </c>
      <c r="L33" s="24">
        <v>42004</v>
      </c>
      <c r="M33" s="4">
        <f>NETWORKDAYS(K33,L33)</f>
        <v>261</v>
      </c>
    </row>
    <row r="34" spans="1:19" ht="22.5" customHeight="1">
      <c r="A34" s="3"/>
      <c r="B34" s="14" t="s">
        <v>93</v>
      </c>
      <c r="C34" s="3"/>
      <c r="E34" s="17" t="s">
        <v>94</v>
      </c>
      <c r="F34" s="15" t="s">
        <v>95</v>
      </c>
      <c r="G34" s="12"/>
      <c r="H34" s="12"/>
    </row>
    <row r="35" spans="1:19" ht="27" customHeight="1">
      <c r="A35" s="3" t="s">
        <v>96</v>
      </c>
      <c r="B35" s="3" t="s">
        <v>97</v>
      </c>
      <c r="C35" s="3" t="s">
        <v>98</v>
      </c>
      <c r="E35" s="17" t="s">
        <v>99</v>
      </c>
      <c r="F35" s="3" t="str">
        <f>LOWER(F34)</f>
        <v>the quick brown fox jumps over the lazy dog.</v>
      </c>
      <c r="H35" s="20" t="s">
        <v>100</v>
      </c>
      <c r="I35" s="20" t="s">
        <v>101</v>
      </c>
      <c r="K35" s="4" t="s">
        <v>102</v>
      </c>
      <c r="L35" s="5" t="s">
        <v>103</v>
      </c>
      <c r="O35" s="4" t="s">
        <v>102</v>
      </c>
      <c r="P35" s="5" t="s">
        <v>104</v>
      </c>
      <c r="R35" s="4" t="s">
        <v>102</v>
      </c>
      <c r="S35" s="5" t="s">
        <v>105</v>
      </c>
    </row>
    <row r="36" spans="1:19">
      <c r="A36" s="3" t="s">
        <v>106</v>
      </c>
      <c r="B36" s="3" t="s">
        <v>107</v>
      </c>
      <c r="C36" s="3" t="str">
        <f>CONCATENATE(A36, " ", B36)</f>
        <v>Amisha Ninawe</v>
      </c>
      <c r="E36" s="18" t="s">
        <v>108</v>
      </c>
      <c r="F36" s="19" t="str">
        <f>UPPER(F34)</f>
        <v>THE QUICK BROWN FOX JUMPS OVER THE LAZY DOG.</v>
      </c>
      <c r="H36" s="20" t="s">
        <v>109</v>
      </c>
      <c r="I36" s="20" t="s">
        <v>109</v>
      </c>
      <c r="K36" s="24">
        <v>41275</v>
      </c>
      <c r="L36" s="4">
        <f>ROUNDUP(MONTH(K36)/3,0)</f>
        <v>1</v>
      </c>
      <c r="O36" s="24">
        <v>41275</v>
      </c>
      <c r="P36" s="4">
        <f>CHOOSE(MONTH(O36),4,4,4,1,1,1,2,2,2,3,3,3)</f>
        <v>4</v>
      </c>
      <c r="R36" s="24">
        <v>41275</v>
      </c>
      <c r="S36" s="4" t="str">
        <f>TEXT(EOMONTH(R36-20,1),"MMMM")</f>
        <v>January</v>
      </c>
    </row>
    <row r="37" spans="1:19">
      <c r="A37" s="3" t="s">
        <v>110</v>
      </c>
      <c r="B37" s="3" t="s">
        <v>111</v>
      </c>
      <c r="C37" s="3" t="str">
        <f>CONCATENATE(A37," ", B37)</f>
        <v>Priya Jumde</v>
      </c>
      <c r="E37" s="17" t="s">
        <v>112</v>
      </c>
      <c r="F37" s="3" t="str">
        <f>PROPER(F34)</f>
        <v>The Quick Brown Fox Jumps Over The Lazy Dog.</v>
      </c>
      <c r="H37" s="20">
        <v>2214001</v>
      </c>
      <c r="I37" s="20" t="str">
        <f>MID(H37,4,1)</f>
        <v>4</v>
      </c>
      <c r="K37" s="24">
        <v>41295</v>
      </c>
      <c r="L37" s="4">
        <f t="shared" ref="L37:L40" si="11">ROUNDUP(MONTH(K37)/3,0)</f>
        <v>1</v>
      </c>
      <c r="O37" s="24">
        <v>41295</v>
      </c>
      <c r="P37" s="4">
        <f t="shared" ref="P37:P40" si="12">CHOOSE(MONTH(O37),4,4,4,1,1,1,2,2,2,3,3,3)</f>
        <v>4</v>
      </c>
      <c r="R37" s="24">
        <v>41295</v>
      </c>
      <c r="S37" s="4" t="str">
        <f t="shared" ref="S37:S40" si="13">TEXT(EOMONTH(R37-20,1),"MMMM")</f>
        <v>February</v>
      </c>
    </row>
    <row r="38" spans="1:19">
      <c r="A38" s="3" t="s">
        <v>113</v>
      </c>
      <c r="B38" s="3" t="s">
        <v>114</v>
      </c>
      <c r="C38" s="3" t="str">
        <f>CONCATENATE(A38," ", B38)</f>
        <v>Samiksha Gawande</v>
      </c>
      <c r="E38" s="14" t="s">
        <v>115</v>
      </c>
      <c r="F38" s="3" t="str">
        <f>UPPER(LEFT(F34,1))&amp;LOWER(RIGHT(F34,LEN(F34)-1))</f>
        <v>The quick brown fox jumps over the lazy dog.</v>
      </c>
      <c r="H38" s="20">
        <v>5542075</v>
      </c>
      <c r="I38" s="20" t="str">
        <f>MID(H38,4,1)</f>
        <v>2</v>
      </c>
      <c r="K38" s="24">
        <v>41362</v>
      </c>
      <c r="L38" s="4">
        <f t="shared" si="11"/>
        <v>1</v>
      </c>
      <c r="O38" s="24">
        <v>41362</v>
      </c>
      <c r="P38" s="4">
        <f t="shared" si="12"/>
        <v>4</v>
      </c>
      <c r="R38" s="24">
        <v>41362</v>
      </c>
      <c r="S38" s="4" t="str">
        <f t="shared" si="13"/>
        <v>April</v>
      </c>
    </row>
    <row r="39" spans="1:19">
      <c r="K39" s="24">
        <v>41364</v>
      </c>
      <c r="L39" s="4">
        <f t="shared" si="11"/>
        <v>1</v>
      </c>
      <c r="O39" s="24">
        <v>41364</v>
      </c>
      <c r="P39" s="4">
        <f t="shared" si="12"/>
        <v>4</v>
      </c>
      <c r="R39" s="24">
        <v>41364</v>
      </c>
      <c r="S39" s="4" t="str">
        <f t="shared" si="13"/>
        <v>April</v>
      </c>
    </row>
    <row r="40" spans="1:19">
      <c r="G40" t="s">
        <v>10</v>
      </c>
      <c r="K40" s="24">
        <v>41425</v>
      </c>
      <c r="L40" s="4">
        <f t="shared" si="11"/>
        <v>2</v>
      </c>
      <c r="O40" s="24">
        <v>41425</v>
      </c>
      <c r="P40" s="4">
        <f t="shared" si="12"/>
        <v>1</v>
      </c>
      <c r="R40" s="24">
        <v>41425</v>
      </c>
      <c r="S40" s="4" t="str">
        <f t="shared" si="13"/>
        <v>June</v>
      </c>
    </row>
    <row r="41" spans="1:19">
      <c r="A41" s="3" t="s">
        <v>116</v>
      </c>
      <c r="B41" s="3" t="s">
        <v>117</v>
      </c>
    </row>
    <row r="42" spans="1:19">
      <c r="A42" s="3" t="s">
        <v>118</v>
      </c>
      <c r="B42" s="15" t="str">
        <f>SUBSTITUTE(PROPER(SUBSTITUTE(A42, "'", "qzx")),"qzx", "'")</f>
        <v>Starbuck's  Coffee</v>
      </c>
      <c r="D42" s="22" t="s">
        <v>119</v>
      </c>
      <c r="E42" s="22" t="s">
        <v>120</v>
      </c>
      <c r="F42" s="22" t="s">
        <v>121</v>
      </c>
      <c r="G42" s="22" t="s">
        <v>122</v>
      </c>
      <c r="I42" s="4" t="s">
        <v>123</v>
      </c>
      <c r="J42" s="5" t="s">
        <v>124</v>
      </c>
      <c r="L42" s="4" t="s">
        <v>125</v>
      </c>
      <c r="M42" s="24">
        <v>26435</v>
      </c>
      <c r="Q42" s="4" t="s">
        <v>126</v>
      </c>
      <c r="R42" s="5" t="s">
        <v>127</v>
      </c>
      <c r="S42" s="4" t="s">
        <v>128</v>
      </c>
    </row>
    <row r="43" spans="1:19" ht="29.25">
      <c r="A43" s="3" t="s">
        <v>129</v>
      </c>
      <c r="B43" s="15" t="str">
        <f t="shared" ref="B43:B44" si="14">SUBSTITUTE(PROPER(SUBSTITUTE(A43, "'", "qzx")),"qzx", "'")</f>
        <v>Mcdonald's</v>
      </c>
      <c r="D43" s="5" t="s">
        <v>130</v>
      </c>
      <c r="E43" s="4">
        <f>LEN(D43)</f>
        <v>43</v>
      </c>
      <c r="F43" s="4">
        <f>LEN(SUBSTITUTE(D43," "," "))</f>
        <v>43</v>
      </c>
      <c r="G43" s="4">
        <f>LEN(D43) - LEN(SUBSTITUTE(D43, " ", ""))+1</f>
        <v>9</v>
      </c>
      <c r="I43" s="4">
        <v>5381656</v>
      </c>
      <c r="J43" s="4" t="str">
        <f>LEFT(I43&amp;"0000000000",10)</f>
        <v>5381656000</v>
      </c>
      <c r="L43" s="4" t="s">
        <v>131</v>
      </c>
      <c r="M43" s="4">
        <f ca="1">DATEDIF(M42,TODAY(),"y")</f>
        <v>53</v>
      </c>
      <c r="Q43" s="27">
        <v>0.36749999999999999</v>
      </c>
      <c r="R43" s="29" t="s">
        <v>132</v>
      </c>
      <c r="S43" s="35" t="e">
        <f>TEXT(R43-Q43,"h:mm")</f>
        <v>#VALUE!</v>
      </c>
    </row>
    <row r="44" spans="1:19" ht="29.25">
      <c r="A44" s="3" t="s">
        <v>133</v>
      </c>
      <c r="B44" s="15" t="str">
        <f t="shared" si="14"/>
        <v>Mikchal's Deli</v>
      </c>
      <c r="D44" s="5" t="s">
        <v>134</v>
      </c>
      <c r="E44" s="4">
        <f>LEN(D44)</f>
        <v>52</v>
      </c>
      <c r="F44" s="4">
        <f>LEN(SUBSTITUTE(D44," "," "))</f>
        <v>52</v>
      </c>
      <c r="G44" s="4">
        <f>LEN(D44) - LEN(SUBSTITUTE(D44, " ", ""))+1</f>
        <v>11</v>
      </c>
      <c r="I44" s="4">
        <v>828</v>
      </c>
      <c r="J44" s="4" t="str">
        <f t="shared" ref="J44:J46" si="15">LEFT(I44&amp;"0000000000",10)</f>
        <v>8280000000</v>
      </c>
      <c r="L44" s="4" t="s">
        <v>135</v>
      </c>
      <c r="M44" s="4">
        <f ca="1">DATEDIF(M42,TODAY(),"m")</f>
        <v>638</v>
      </c>
      <c r="O44" s="23"/>
      <c r="P44" s="25"/>
      <c r="Q44" s="27">
        <v>0.69120370370370365</v>
      </c>
      <c r="R44" s="27">
        <v>0.68290509259259258</v>
      </c>
      <c r="S44" s="4" t="e">
        <f>TEXT(R44-Q44,"h:mm")</f>
        <v>#VALUE!</v>
      </c>
    </row>
    <row r="45" spans="1:19">
      <c r="I45" s="4">
        <v>23</v>
      </c>
      <c r="J45" s="4" t="str">
        <f t="shared" si="15"/>
        <v>2300000000</v>
      </c>
      <c r="L45" s="4" t="s">
        <v>136</v>
      </c>
      <c r="M45" s="4">
        <f ca="1">DATEDIF(M42,TODAY(),"d")</f>
        <v>19422</v>
      </c>
      <c r="O45" s="26"/>
      <c r="P45" s="26"/>
      <c r="Q45" s="27">
        <v>0.35040509259259262</v>
      </c>
      <c r="R45" s="27">
        <v>0.67680555555555555</v>
      </c>
      <c r="S45" s="36" t="str">
        <f t="shared" ref="S44:S47" si="16">TEXT(R45-Q45,"h:mm")</f>
        <v>7:50</v>
      </c>
    </row>
    <row r="46" spans="1:19">
      <c r="A46" s="4"/>
      <c r="B46" s="4"/>
      <c r="C46" s="4" t="s">
        <v>137</v>
      </c>
      <c r="D46" s="4"/>
      <c r="E46" s="4"/>
      <c r="I46" s="4">
        <v>290</v>
      </c>
      <c r="J46" s="4" t="str">
        <f t="shared" si="15"/>
        <v>2900000000</v>
      </c>
      <c r="L46" s="4" t="s">
        <v>138</v>
      </c>
      <c r="M46" s="4">
        <f ca="1">DATEDIF(M42,TODAY(),"md")</f>
        <v>3</v>
      </c>
      <c r="O46" s="26"/>
      <c r="P46" s="26"/>
      <c r="Q46" s="27">
        <v>0.13239583333333332</v>
      </c>
      <c r="R46" s="27">
        <v>0.41040509259259261</v>
      </c>
      <c r="S46" s="4" t="str">
        <f t="shared" si="16"/>
        <v>6:40</v>
      </c>
    </row>
    <row r="47" spans="1:19">
      <c r="A47" s="4" t="s">
        <v>126</v>
      </c>
      <c r="B47" s="4" t="s">
        <v>127</v>
      </c>
      <c r="C47" s="4" t="s">
        <v>139</v>
      </c>
      <c r="D47" s="4" t="s">
        <v>140</v>
      </c>
      <c r="E47" s="4" t="s">
        <v>141</v>
      </c>
      <c r="L47" s="4" t="s">
        <v>142</v>
      </c>
      <c r="M47" s="4">
        <f ca="1">DATEDIF(M42,TODAY(),"ym")</f>
        <v>2</v>
      </c>
      <c r="O47" s="26"/>
      <c r="P47" s="26"/>
      <c r="Q47" s="27">
        <v>0.60650462962962959</v>
      </c>
      <c r="R47" s="27">
        <v>0.58459490740740738</v>
      </c>
      <c r="S47" s="4" t="e">
        <f t="shared" si="16"/>
        <v>#VALUE!</v>
      </c>
    </row>
    <row r="48" spans="1:19">
      <c r="A48" s="27">
        <v>0.36749999999999999</v>
      </c>
      <c r="B48" s="27">
        <v>0.41939814814814813</v>
      </c>
      <c r="C48" s="4" t="str">
        <f>TEXT(B48 - A48, "h:mm")</f>
        <v>1:14</v>
      </c>
      <c r="D48" s="27">
        <f>ROUNDUP(B48*24/0.25,0)*(0.25/24)</f>
        <v>0.42708333333333331</v>
      </c>
      <c r="E48" s="27">
        <f>ROUNDDOWN(B48*24/0.5,0)*(0.5/24)</f>
        <v>0.41666666666666663</v>
      </c>
      <c r="L48" s="4" t="s">
        <v>143</v>
      </c>
      <c r="M48" s="4">
        <f ca="1">DATEDIF(M42,TODAY(),"yd")</f>
        <v>64</v>
      </c>
      <c r="O48" s="26"/>
      <c r="P48" s="26"/>
    </row>
    <row r="49" spans="1:16">
      <c r="A49" s="27">
        <v>0.45730324074074075</v>
      </c>
      <c r="B49" s="27">
        <v>0.42980324074074072</v>
      </c>
      <c r="C49" s="4" t="e">
        <f>TEXT(B49-A49, "h:mm")</f>
        <v>#VALUE!</v>
      </c>
      <c r="D49" s="27">
        <f t="shared" ref="D49:D51" si="17">ROUNDUP(B49*24/0.25,0)*(0.25/24)</f>
        <v>0.4375</v>
      </c>
      <c r="E49" s="27">
        <f t="shared" ref="E49:E51" si="18">ROUNDDOWN(B49*24/0.5,0)*(0.5/24)</f>
        <v>0.41666666666666663</v>
      </c>
      <c r="O49" s="26"/>
      <c r="P49" s="26"/>
    </row>
    <row r="50" spans="1:16">
      <c r="A50" s="27">
        <v>0.39140046296296294</v>
      </c>
      <c r="B50" s="27">
        <v>0.57530092592592597</v>
      </c>
      <c r="C50" s="4" t="str">
        <f t="shared" ref="C49:C51" si="19">TEXT(B50 - A50, "h:mm")</f>
        <v>4:24</v>
      </c>
      <c r="D50" s="27">
        <f>ROUNDUP(B50*24/0.25,0)*(0.25/24)</f>
        <v>0.58333333333333326</v>
      </c>
      <c r="E50" s="27">
        <f>ROUNDDOWN(B50*24/0.5,0)*(0.5/24)</f>
        <v>0.5625</v>
      </c>
      <c r="O50" s="26"/>
      <c r="P50" s="26"/>
    </row>
    <row r="51" spans="1:16">
      <c r="A51" s="27">
        <v>0.36060185185185184</v>
      </c>
      <c r="B51" s="27">
        <v>0.69469907407407405</v>
      </c>
      <c r="C51" s="4" t="str">
        <f t="shared" si="19"/>
        <v>8:01</v>
      </c>
      <c r="D51" s="27">
        <f t="shared" si="17"/>
        <v>0.69791666666666663</v>
      </c>
      <c r="E51" s="27">
        <f t="shared" si="18"/>
        <v>0.6875</v>
      </c>
      <c r="O51" s="23"/>
      <c r="P51" s="23"/>
    </row>
    <row r="53" spans="1:16" ht="29.25">
      <c r="A53" s="4"/>
      <c r="B53" s="5" t="s">
        <v>144</v>
      </c>
    </row>
    <row r="54" spans="1:16">
      <c r="A54" s="4" t="s">
        <v>145</v>
      </c>
      <c r="B54" s="4" t="s">
        <v>146</v>
      </c>
    </row>
    <row r="55" spans="1:16">
      <c r="A55" s="24">
        <v>44197</v>
      </c>
      <c r="B55" s="24">
        <v>44237</v>
      </c>
    </row>
    <row r="56" spans="1:16">
      <c r="A56" s="4" t="s">
        <v>147</v>
      </c>
      <c r="B56" s="4" t="s">
        <v>148</v>
      </c>
    </row>
    <row r="57" spans="1:16">
      <c r="A57" s="9">
        <f>YEARFRAC(A55,B55)</f>
        <v>0.10833333333333334</v>
      </c>
      <c r="B57" s="9">
        <f>1-YEARFRAC(A55,B55)</f>
        <v>0.89166666666666661</v>
      </c>
    </row>
    <row r="59" spans="1:16" ht="29.25">
      <c r="A59" s="4" t="s">
        <v>149</v>
      </c>
      <c r="B59" s="4" t="s">
        <v>150</v>
      </c>
      <c r="C59" s="3"/>
      <c r="D59" s="4" t="s">
        <v>151</v>
      </c>
      <c r="E59" s="30" t="s">
        <v>150</v>
      </c>
      <c r="G59" s="4" t="s">
        <v>152</v>
      </c>
      <c r="H59" s="4"/>
      <c r="I59" s="5" t="s">
        <v>153</v>
      </c>
      <c r="J59" s="4"/>
      <c r="K59" s="4"/>
      <c r="L59" s="4"/>
      <c r="M59" s="4"/>
      <c r="N59" s="4"/>
      <c r="O59" s="4"/>
    </row>
    <row r="60" spans="1:16">
      <c r="A60" s="24">
        <v>36192</v>
      </c>
      <c r="B60" s="24">
        <f>DATE(YEAR(A60),MONTH(A60)+1,0)</f>
        <v>36219</v>
      </c>
      <c r="C60" s="3"/>
      <c r="D60" s="24">
        <v>36161</v>
      </c>
      <c r="E60" s="31">
        <f>EOMONTH(D60,1)</f>
        <v>36219</v>
      </c>
      <c r="G60" s="4">
        <v>2</v>
      </c>
      <c r="H60" s="4"/>
      <c r="I60" s="4">
        <v>1</v>
      </c>
      <c r="J60" s="4">
        <v>2</v>
      </c>
      <c r="K60" s="4">
        <v>3</v>
      </c>
      <c r="L60" s="4">
        <v>4</v>
      </c>
      <c r="M60" s="4">
        <v>5</v>
      </c>
      <c r="N60" s="4">
        <v>6</v>
      </c>
      <c r="O60" s="4">
        <v>7</v>
      </c>
    </row>
    <row r="61" spans="1:16" ht="29.25">
      <c r="A61" s="24">
        <v>36557</v>
      </c>
      <c r="B61" s="24">
        <f t="shared" ref="B61:B66" si="20">DATE(YEAR(A61),MONTH(A61)+1,0)</f>
        <v>36585</v>
      </c>
      <c r="C61" s="3"/>
      <c r="D61" s="24">
        <v>36526</v>
      </c>
      <c r="E61" s="24">
        <f t="shared" ref="E61:E66" si="21">EOMONTH(D61,1)</f>
        <v>36585</v>
      </c>
      <c r="G61" s="4" t="s">
        <v>154</v>
      </c>
      <c r="H61" s="4" t="s">
        <v>20</v>
      </c>
      <c r="I61" s="4" t="s">
        <v>155</v>
      </c>
      <c r="J61" s="32" t="s">
        <v>156</v>
      </c>
      <c r="K61" s="33" t="s">
        <v>157</v>
      </c>
      <c r="L61" s="32" t="s">
        <v>158</v>
      </c>
      <c r="M61" s="33" t="s">
        <v>159</v>
      </c>
      <c r="N61" s="33" t="s">
        <v>160</v>
      </c>
      <c r="O61" s="32" t="s">
        <v>161</v>
      </c>
    </row>
    <row r="62" spans="1:16">
      <c r="A62" s="24">
        <v>36923</v>
      </c>
      <c r="B62" s="24">
        <f t="shared" si="20"/>
        <v>36950</v>
      </c>
      <c r="C62" s="3" t="s">
        <v>162</v>
      </c>
      <c r="D62" s="24">
        <v>36892</v>
      </c>
      <c r="E62" s="24">
        <f t="shared" si="21"/>
        <v>36950</v>
      </c>
      <c r="G62" s="4">
        <v>2014</v>
      </c>
      <c r="H62" s="4">
        <v>1</v>
      </c>
      <c r="I62" s="34">
        <f>DATE($G62,$H62,1)+I$60-WEEKDAY(DATE($G62,$H62,1))+(G$60-(I$60&gt;= WEEKDAY(DATE($G62,$H62,1))))*7</f>
        <v>41651</v>
      </c>
      <c r="J62" s="34">
        <f>DATE($G62,$H62,1)+J$60-WEEKDAY(DATE($G62,$H62,1))+(G$60-(J$60&gt;= WEEKDAY(DATE($G62,$H62,1))))*7</f>
        <v>41652</v>
      </c>
      <c r="K62" s="34">
        <f>DATE($G62,$H62,1)+K$60-WEEKDAY(DATE($G62,$H62,1))+(G$60-(K$60&gt;= WEEKDAY(DATE($G62,$H62,1))))*7</f>
        <v>41653</v>
      </c>
      <c r="L62" s="34">
        <f>DATE($G62,$H62,1)+L$60-WEEKDAY(DATE($G62,$H62,1))+(G$60-(L$60&gt;= WEEKDAY(DATE($G62,$H62,1))))*7</f>
        <v>41647</v>
      </c>
      <c r="M62" s="34">
        <f>DATE($G62,$H62,1)+M$60-WEEKDAY(DATE($G62,$H62,1))+(G$60-(M$60&gt;= WEEKDAY(DATE($G62,$H62,1))))*7</f>
        <v>41648</v>
      </c>
      <c r="N62" s="34">
        <f>DATE($G62,$H62,1)+N$60-WEEKDAY(DATE($G62,$H62,1))+(G$60-(N$60&gt;= WEEKDAY(DATE($G62,$H62,1))))*7</f>
        <v>41649</v>
      </c>
      <c r="O62" s="34">
        <f>DATE($G62,$H62,1)+O$60-WEEKDAY(DATE($G62,$H62,1))+(G$60-(O$60&gt;= WEEKDAY(DATE($G62,$H62,1))))*7</f>
        <v>41650</v>
      </c>
    </row>
    <row r="63" spans="1:16">
      <c r="A63" s="24">
        <v>37288</v>
      </c>
      <c r="B63" s="24">
        <f t="shared" si="20"/>
        <v>37315</v>
      </c>
      <c r="C63" s="3"/>
      <c r="D63" s="24">
        <v>37257</v>
      </c>
      <c r="E63" s="24">
        <f t="shared" si="21"/>
        <v>37315</v>
      </c>
      <c r="G63" s="33">
        <v>2014</v>
      </c>
      <c r="H63" s="4">
        <v>2</v>
      </c>
      <c r="I63" s="34">
        <f t="shared" ref="I63:I73" si="22">DATE($G63,$H63,1)+I$60-WEEKDAY(DATE($G63,$H63,1))+(G$60-(I$60&gt;= WEEKDAY(DATE($G63,$H63,1))))*7</f>
        <v>41679</v>
      </c>
      <c r="J63" s="34">
        <f t="shared" ref="J63:J73" si="23">DATE($G63,$H63,1)+J$60-WEEKDAY(DATE($G63,$H63,1))+(G$60-(J$60&gt;= WEEKDAY(DATE($G63,$H63,1))))*7</f>
        <v>41680</v>
      </c>
      <c r="K63" s="34">
        <f t="shared" ref="K63:K73" si="24">DATE($G63,$H63,1)+K$60-WEEKDAY(DATE($G63,$H63,1))+(G$60-(K$60&gt;= WEEKDAY(DATE($G63,$H63,1))))*7</f>
        <v>41681</v>
      </c>
      <c r="L63" s="34">
        <f t="shared" ref="L63:L73" si="25">DATE($G63,$H63,1)+L$60-WEEKDAY(DATE($G63,$H63,1))+(G$60-(L$60&gt;= WEEKDAY(DATE($G63,$H63,1))))*7</f>
        <v>41682</v>
      </c>
      <c r="M63" s="34">
        <f t="shared" ref="M63:M73" si="26">DATE($G63,$H63,1)+M$60-WEEKDAY(DATE($G63,$H63,1))+(G$60-(M$60&gt;= WEEKDAY(DATE($G63,$H63,1))))*7</f>
        <v>41683</v>
      </c>
      <c r="N63" s="34">
        <f t="shared" ref="N63:N73" si="27">DATE($G63,$H63,1)+N$60-WEEKDAY(DATE($G63,$H63,1))+(G$60-(N$60&gt;= WEEKDAY(DATE($G63,$H63,1))))*7</f>
        <v>41684</v>
      </c>
      <c r="O63" s="34">
        <f t="shared" ref="O63:O73" si="28">DATE($G63,$H63,1)+O$60-WEEKDAY(DATE($G63,$H63,1))+(G$60-(O$60&gt;= WEEKDAY(DATE($G63,$H63,1))))*7</f>
        <v>41678</v>
      </c>
    </row>
    <row r="64" spans="1:16">
      <c r="A64" s="24">
        <v>37653</v>
      </c>
      <c r="B64" s="24">
        <f t="shared" si="20"/>
        <v>37680</v>
      </c>
      <c r="C64" s="3"/>
      <c r="D64" s="24">
        <v>37622</v>
      </c>
      <c r="E64" s="24">
        <f t="shared" si="21"/>
        <v>37680</v>
      </c>
      <c r="G64" s="33">
        <v>2014</v>
      </c>
      <c r="H64" s="4">
        <v>3</v>
      </c>
      <c r="I64" s="34">
        <f t="shared" si="22"/>
        <v>41707</v>
      </c>
      <c r="J64" s="34">
        <f t="shared" si="23"/>
        <v>41708</v>
      </c>
      <c r="K64" s="34">
        <f t="shared" si="24"/>
        <v>41709</v>
      </c>
      <c r="L64" s="34">
        <f t="shared" si="25"/>
        <v>41710</v>
      </c>
      <c r="M64" s="34">
        <f t="shared" si="26"/>
        <v>41711</v>
      </c>
      <c r="N64" s="34">
        <f t="shared" si="27"/>
        <v>41712</v>
      </c>
      <c r="O64" s="34">
        <f t="shared" si="28"/>
        <v>41706</v>
      </c>
    </row>
    <row r="65" spans="1:15">
      <c r="A65" s="24">
        <v>38018</v>
      </c>
      <c r="B65" s="24">
        <f t="shared" si="20"/>
        <v>38046</v>
      </c>
      <c r="C65" s="3"/>
      <c r="D65" s="24">
        <v>37987</v>
      </c>
      <c r="E65" s="24">
        <f t="shared" si="21"/>
        <v>38046</v>
      </c>
      <c r="G65" s="33">
        <v>2014</v>
      </c>
      <c r="H65" s="4">
        <v>4</v>
      </c>
      <c r="I65" s="34">
        <f t="shared" si="22"/>
        <v>41742</v>
      </c>
      <c r="J65" s="34">
        <f t="shared" si="23"/>
        <v>41743</v>
      </c>
      <c r="K65" s="34">
        <f t="shared" si="24"/>
        <v>41737</v>
      </c>
      <c r="L65" s="34">
        <f t="shared" si="25"/>
        <v>41738</v>
      </c>
      <c r="M65" s="34">
        <f t="shared" si="26"/>
        <v>41739</v>
      </c>
      <c r="N65" s="34">
        <f t="shared" si="27"/>
        <v>41740</v>
      </c>
      <c r="O65" s="34">
        <f t="shared" si="28"/>
        <v>41741</v>
      </c>
    </row>
    <row r="66" spans="1:15">
      <c r="A66" s="24">
        <v>38384</v>
      </c>
      <c r="B66" s="24">
        <f t="shared" si="20"/>
        <v>38411</v>
      </c>
      <c r="C66" s="3"/>
      <c r="D66" s="24">
        <v>38353</v>
      </c>
      <c r="E66" s="24">
        <f t="shared" si="21"/>
        <v>38411</v>
      </c>
      <c r="G66" s="33">
        <v>2014</v>
      </c>
      <c r="H66" s="4">
        <v>5</v>
      </c>
      <c r="I66" s="34">
        <f t="shared" si="22"/>
        <v>41770</v>
      </c>
      <c r="J66" s="34">
        <f t="shared" si="23"/>
        <v>41771</v>
      </c>
      <c r="K66" s="34">
        <f t="shared" si="24"/>
        <v>41772</v>
      </c>
      <c r="L66" s="34">
        <f t="shared" si="25"/>
        <v>41773</v>
      </c>
      <c r="M66" s="34">
        <f t="shared" si="26"/>
        <v>41767</v>
      </c>
      <c r="N66" s="34">
        <f t="shared" si="27"/>
        <v>41768</v>
      </c>
      <c r="O66" s="34">
        <f t="shared" si="28"/>
        <v>41769</v>
      </c>
    </row>
    <row r="67" spans="1:15">
      <c r="G67" s="33">
        <v>2014</v>
      </c>
      <c r="H67" s="4">
        <v>6</v>
      </c>
      <c r="I67" s="34">
        <f t="shared" si="22"/>
        <v>41798</v>
      </c>
      <c r="J67" s="34">
        <f t="shared" si="23"/>
        <v>41799</v>
      </c>
      <c r="K67" s="34">
        <f t="shared" si="24"/>
        <v>41800</v>
      </c>
      <c r="L67" s="34">
        <f t="shared" si="25"/>
        <v>41801</v>
      </c>
      <c r="M67" s="34">
        <f t="shared" si="26"/>
        <v>41802</v>
      </c>
      <c r="N67" s="34">
        <f t="shared" si="27"/>
        <v>41803</v>
      </c>
      <c r="O67" s="34">
        <f t="shared" si="28"/>
        <v>41804</v>
      </c>
    </row>
    <row r="68" spans="1:15">
      <c r="A68" s="4" t="s">
        <v>163</v>
      </c>
      <c r="B68" s="4" t="s">
        <v>164</v>
      </c>
      <c r="C68" s="4" t="s">
        <v>165</v>
      </c>
      <c r="D68" s="4" t="s">
        <v>166</v>
      </c>
      <c r="E68" s="4" t="s">
        <v>167</v>
      </c>
      <c r="F68" s="4" t="s">
        <v>166</v>
      </c>
      <c r="G68" s="37">
        <v>2014</v>
      </c>
      <c r="H68" s="4">
        <v>7</v>
      </c>
      <c r="I68" s="34">
        <f t="shared" si="22"/>
        <v>41833</v>
      </c>
      <c r="J68" s="34">
        <f t="shared" si="23"/>
        <v>41834</v>
      </c>
      <c r="K68" s="34">
        <f t="shared" si="24"/>
        <v>41828</v>
      </c>
      <c r="L68" s="34">
        <f t="shared" si="25"/>
        <v>41829</v>
      </c>
      <c r="M68" s="34">
        <f t="shared" si="26"/>
        <v>41830</v>
      </c>
      <c r="N68" s="34">
        <f t="shared" si="27"/>
        <v>41831</v>
      </c>
      <c r="O68" s="34">
        <f t="shared" si="28"/>
        <v>41832</v>
      </c>
    </row>
    <row r="69" spans="1:15">
      <c r="A69" s="4">
        <v>18.36</v>
      </c>
      <c r="B69" s="35">
        <f>A69/24</f>
        <v>0.76500000000000001</v>
      </c>
      <c r="C69" s="4">
        <v>398.32</v>
      </c>
      <c r="D69" s="35">
        <f>C69/1440</f>
        <v>0.27661111111111109</v>
      </c>
      <c r="E69" s="4">
        <v>312.82</v>
      </c>
      <c r="F69" s="35">
        <f>E69/86400</f>
        <v>3.6206018518518518E-3</v>
      </c>
      <c r="G69" s="38">
        <v>2014</v>
      </c>
      <c r="H69" s="4">
        <v>8</v>
      </c>
      <c r="I69" s="34">
        <f t="shared" si="22"/>
        <v>41861</v>
      </c>
      <c r="J69" s="34">
        <f t="shared" si="23"/>
        <v>41862</v>
      </c>
      <c r="K69" s="34">
        <f t="shared" si="24"/>
        <v>41863</v>
      </c>
      <c r="L69" s="34">
        <f t="shared" si="25"/>
        <v>41864</v>
      </c>
      <c r="M69" s="34">
        <f t="shared" si="26"/>
        <v>41865</v>
      </c>
      <c r="N69" s="34">
        <f t="shared" si="27"/>
        <v>41859</v>
      </c>
      <c r="O69" s="34">
        <f t="shared" si="28"/>
        <v>41860</v>
      </c>
    </row>
    <row r="70" spans="1:15">
      <c r="A70" s="4">
        <v>13.75</v>
      </c>
      <c r="B70" s="35">
        <f t="shared" ref="B70:B73" si="29">A70/24</f>
        <v>0.57291666666666663</v>
      </c>
      <c r="C70" s="4">
        <v>497.49</v>
      </c>
      <c r="D70" s="35">
        <f t="shared" ref="D70:D74" si="30">C70/1440</f>
        <v>0.34547916666666667</v>
      </c>
      <c r="E70" s="4">
        <v>148.84</v>
      </c>
      <c r="F70" s="35">
        <f t="shared" ref="F70:F73" si="31">E70/86400</f>
        <v>1.7226851851851852E-3</v>
      </c>
      <c r="G70" s="38">
        <v>2014</v>
      </c>
      <c r="H70" s="4">
        <v>9</v>
      </c>
      <c r="I70" s="34">
        <f t="shared" si="22"/>
        <v>41896</v>
      </c>
      <c r="J70" s="34">
        <f t="shared" si="23"/>
        <v>41890</v>
      </c>
      <c r="K70" s="34">
        <f t="shared" si="24"/>
        <v>41891</v>
      </c>
      <c r="L70" s="34">
        <f t="shared" si="25"/>
        <v>41892</v>
      </c>
      <c r="M70" s="34">
        <f t="shared" si="26"/>
        <v>41893</v>
      </c>
      <c r="N70" s="34">
        <f t="shared" si="27"/>
        <v>41894</v>
      </c>
      <c r="O70" s="34">
        <f t="shared" si="28"/>
        <v>41895</v>
      </c>
    </row>
    <row r="71" spans="1:15">
      <c r="A71" s="4">
        <v>18.25</v>
      </c>
      <c r="B71" s="35">
        <f t="shared" si="29"/>
        <v>0.76041666666666663</v>
      </c>
      <c r="C71" s="4">
        <v>271.77999999999997</v>
      </c>
      <c r="D71" s="35">
        <f t="shared" si="30"/>
        <v>0.1887361111111111</v>
      </c>
      <c r="E71" s="4">
        <v>479.49</v>
      </c>
      <c r="F71" s="35">
        <f t="shared" si="31"/>
        <v>5.5496527777777775E-3</v>
      </c>
      <c r="G71" s="38">
        <v>2014</v>
      </c>
      <c r="H71" s="4">
        <v>10</v>
      </c>
      <c r="I71" s="34">
        <f t="shared" si="22"/>
        <v>41924</v>
      </c>
      <c r="J71" s="34">
        <f t="shared" si="23"/>
        <v>41925</v>
      </c>
      <c r="K71" s="34">
        <f t="shared" si="24"/>
        <v>41926</v>
      </c>
      <c r="L71" s="34">
        <f t="shared" si="25"/>
        <v>41920</v>
      </c>
      <c r="M71" s="34">
        <f t="shared" si="26"/>
        <v>41921</v>
      </c>
      <c r="N71" s="34">
        <f t="shared" si="27"/>
        <v>41922</v>
      </c>
      <c r="O71" s="34">
        <f t="shared" si="28"/>
        <v>41923</v>
      </c>
    </row>
    <row r="72" spans="1:15">
      <c r="A72" s="4">
        <v>11.35</v>
      </c>
      <c r="B72" s="35">
        <f t="shared" si="29"/>
        <v>0.47291666666666665</v>
      </c>
      <c r="C72" s="4">
        <v>488.15</v>
      </c>
      <c r="D72" s="35">
        <f t="shared" si="30"/>
        <v>0.33899305555555553</v>
      </c>
      <c r="E72" s="4">
        <v>494.35</v>
      </c>
      <c r="F72" s="35">
        <f t="shared" si="31"/>
        <v>5.7216435185185191E-3</v>
      </c>
      <c r="G72" s="38">
        <v>2014</v>
      </c>
      <c r="H72" s="4">
        <v>11</v>
      </c>
      <c r="I72" s="34">
        <f t="shared" si="22"/>
        <v>41952</v>
      </c>
      <c r="J72" s="34">
        <f t="shared" si="23"/>
        <v>41953</v>
      </c>
      <c r="K72" s="34">
        <f t="shared" si="24"/>
        <v>41954</v>
      </c>
      <c r="L72" s="34">
        <f t="shared" si="25"/>
        <v>41955</v>
      </c>
      <c r="M72" s="34">
        <f t="shared" si="26"/>
        <v>41956</v>
      </c>
      <c r="N72" s="34">
        <f t="shared" si="27"/>
        <v>41957</v>
      </c>
      <c r="O72" s="34">
        <f t="shared" si="28"/>
        <v>41951</v>
      </c>
    </row>
    <row r="73" spans="1:15">
      <c r="A73" s="4">
        <v>12.45</v>
      </c>
      <c r="B73" s="35">
        <f t="shared" si="29"/>
        <v>0.51874999999999993</v>
      </c>
      <c r="C73" s="4">
        <v>588.87</v>
      </c>
      <c r="D73" s="35">
        <f t="shared" si="30"/>
        <v>0.40893750000000001</v>
      </c>
      <c r="E73" s="4">
        <v>309.27999999999997</v>
      </c>
      <c r="F73" s="39">
        <f t="shared" si="31"/>
        <v>3.5796296296296292E-3</v>
      </c>
      <c r="G73" s="38">
        <v>2014</v>
      </c>
      <c r="H73" s="4">
        <v>12</v>
      </c>
      <c r="I73" s="34">
        <f t="shared" si="22"/>
        <v>41987</v>
      </c>
      <c r="J73" s="34">
        <f t="shared" si="23"/>
        <v>41981</v>
      </c>
      <c r="K73" s="34">
        <f t="shared" si="24"/>
        <v>41982</v>
      </c>
      <c r="L73" s="34">
        <f t="shared" si="25"/>
        <v>41983</v>
      </c>
      <c r="M73" s="34">
        <f t="shared" si="26"/>
        <v>41984</v>
      </c>
      <c r="N73" s="34">
        <f t="shared" si="27"/>
        <v>41985</v>
      </c>
      <c r="O73" s="34">
        <f t="shared" si="28"/>
        <v>41986</v>
      </c>
    </row>
    <row r="74" spans="1:15">
      <c r="A74" s="4">
        <v>21.83</v>
      </c>
      <c r="B74" s="35">
        <f>A74/24</f>
        <v>0.9095833333333333</v>
      </c>
      <c r="C74" s="4">
        <v>104.57</v>
      </c>
      <c r="D74" s="35">
        <f t="shared" si="30"/>
        <v>7.2618055555555547E-2</v>
      </c>
      <c r="E74" s="4">
        <v>520.04999999999995</v>
      </c>
      <c r="F74" s="39">
        <f>E74/86400</f>
        <v>6.0190972222222217E-3</v>
      </c>
    </row>
    <row r="76" spans="1:15">
      <c r="A76" s="5" t="s">
        <v>168</v>
      </c>
      <c r="B76" s="4"/>
    </row>
    <row r="77" spans="1:15">
      <c r="A77" s="4" t="s">
        <v>169</v>
      </c>
      <c r="B77" s="4" t="s">
        <v>170</v>
      </c>
    </row>
    <row r="78" spans="1:15">
      <c r="A78" s="27">
        <v>0.56109953703703708</v>
      </c>
      <c r="B78" s="27">
        <f>A78+TIME(6,30,0)</f>
        <v>0.83193287037037034</v>
      </c>
    </row>
    <row r="79" spans="1:15">
      <c r="A79" s="27">
        <v>0.63079861111111113</v>
      </c>
      <c r="B79" s="27">
        <f t="shared" ref="B79:B82" si="32">A79+TIME(6,30,0)</f>
        <v>0.9016319444444445</v>
      </c>
    </row>
    <row r="80" spans="1:15">
      <c r="A80" s="27">
        <v>0.4667013888888889</v>
      </c>
      <c r="B80" s="27">
        <f t="shared" si="32"/>
        <v>0.73753472222222216</v>
      </c>
    </row>
    <row r="81" spans="1:7">
      <c r="A81" s="27">
        <v>0.4909027777777778</v>
      </c>
      <c r="B81" s="27">
        <f t="shared" si="32"/>
        <v>0.76173611111111117</v>
      </c>
    </row>
    <row r="82" spans="1:7">
      <c r="A82" s="27">
        <v>0.53840277777777779</v>
      </c>
      <c r="B82" s="27">
        <f t="shared" si="32"/>
        <v>0.80923611111111104</v>
      </c>
    </row>
    <row r="84" spans="1:7" ht="29.25">
      <c r="A84" s="22"/>
      <c r="B84" s="22"/>
      <c r="C84" s="40" t="s">
        <v>171</v>
      </c>
      <c r="D84" s="22"/>
      <c r="E84" s="22"/>
      <c r="F84" s="22"/>
      <c r="G84" s="22"/>
    </row>
    <row r="85" spans="1:7">
      <c r="A85" s="22" t="s">
        <v>172</v>
      </c>
      <c r="B85" s="41">
        <v>45882</v>
      </c>
      <c r="C85" s="41">
        <v>45913</v>
      </c>
      <c r="D85" s="41">
        <v>45943</v>
      </c>
      <c r="E85" s="41">
        <v>45974</v>
      </c>
      <c r="F85" s="41">
        <v>46004</v>
      </c>
      <c r="G85" s="41">
        <v>45671</v>
      </c>
    </row>
    <row r="86" spans="1:7">
      <c r="A86" s="22" t="s">
        <v>173</v>
      </c>
      <c r="B86" s="4">
        <v>3.919</v>
      </c>
      <c r="C86" s="4">
        <v>3.9889999999999999</v>
      </c>
      <c r="D86" s="4">
        <v>3.8290000000000002</v>
      </c>
      <c r="E86" s="4">
        <v>3.641</v>
      </c>
      <c r="F86" s="4">
        <v>3.6419999999999999</v>
      </c>
      <c r="G86" s="4">
        <v>3.6659999999999999</v>
      </c>
    </row>
    <row r="87" spans="1:7">
      <c r="A87" s="22" t="s">
        <v>174</v>
      </c>
      <c r="B87" s="4">
        <v>3.569</v>
      </c>
      <c r="C87" s="4">
        <v>3.5819999999999999</v>
      </c>
      <c r="D87" s="4">
        <v>3.41</v>
      </c>
      <c r="E87" s="4">
        <v>3.2309999999999999</v>
      </c>
      <c r="F87" s="4">
        <v>3.1219999999999999</v>
      </c>
      <c r="G87" s="4">
        <v>3.238</v>
      </c>
    </row>
    <row r="88" spans="1:7">
      <c r="A88" s="22" t="s">
        <v>175</v>
      </c>
      <c r="B88" s="4">
        <v>3.6139999999999999</v>
      </c>
      <c r="C88" s="4">
        <v>3.5579999999999998</v>
      </c>
      <c r="D88" s="4">
        <v>3.3879999999999999</v>
      </c>
      <c r="E88" s="4">
        <v>3.3769999999999998</v>
      </c>
      <c r="F88" s="4">
        <v>3.516</v>
      </c>
      <c r="G88" s="4">
        <v>3.4860000000000002</v>
      </c>
    </row>
    <row r="89" spans="1:7">
      <c r="A89" s="22" t="s">
        <v>176</v>
      </c>
      <c r="B89" s="4">
        <v>3.9329999999999998</v>
      </c>
      <c r="C89" s="4">
        <v>3.879</v>
      </c>
      <c r="D89" s="4">
        <v>3.7</v>
      </c>
      <c r="E89" s="4">
        <v>3.633</v>
      </c>
      <c r="F89" s="4">
        <v>3.7360000000000002</v>
      </c>
      <c r="G89" s="4">
        <v>3.734</v>
      </c>
    </row>
    <row r="90" spans="1:7">
      <c r="A90" s="22"/>
      <c r="B90" s="4"/>
      <c r="C90" s="4"/>
      <c r="D90" s="4"/>
      <c r="E90" s="4"/>
      <c r="F90" s="4"/>
      <c r="G90" s="4"/>
    </row>
    <row r="91" spans="1:7">
      <c r="A91" s="22" t="s">
        <v>173</v>
      </c>
      <c r="B91" s="4" t="str">
        <f>IF(B$86&gt;AVERAGE(B$86:B$89),"High","Low")</f>
        <v>High</v>
      </c>
      <c r="C91" s="4" t="str">
        <f>IF(C$86&gt;AVERAGE(C$86:C$89),"High","Low")</f>
        <v>High</v>
      </c>
      <c r="D91" s="4" t="str">
        <f>IF(D$86&gt;AVERAGE(D$86:D$89),"High","Low")</f>
        <v>High</v>
      </c>
      <c r="E91" s="4" t="str">
        <f>IF(E$86&gt;AVERAGE(E$86:E$89),"High","Low")</f>
        <v>High</v>
      </c>
      <c r="F91" s="4" t="str">
        <f>IF(F$86&gt;AVERAGE(F$86:F$89),"High","Low")</f>
        <v>High</v>
      </c>
      <c r="G91" s="4" t="str">
        <f>IF(G$86&gt;AVERAGE(G$86:G$89),"High","Low")</f>
        <v>High</v>
      </c>
    </row>
    <row r="92" spans="1:7">
      <c r="A92" s="22" t="s">
        <v>174</v>
      </c>
      <c r="B92" s="4" t="str">
        <f t="shared" ref="B92:B94" si="33">IF(B90&gt;AVERAGE(B$86:B$89),"High","Low")</f>
        <v>Low</v>
      </c>
      <c r="C92" s="4" t="str">
        <f>IF(C$86&gt;AVERAGE(C$86:C$89),"High","Low")</f>
        <v>High</v>
      </c>
      <c r="D92" s="4" t="str">
        <f t="shared" ref="D92:G94" si="34">IF(D$86&gt;AVERAGE(D$86:D$89),"High","Low")</f>
        <v>High</v>
      </c>
      <c r="E92" s="4" t="str">
        <f t="shared" si="34"/>
        <v>High</v>
      </c>
      <c r="F92" s="4" t="str">
        <f t="shared" si="34"/>
        <v>High</v>
      </c>
      <c r="G92" s="4" t="str">
        <f t="shared" si="34"/>
        <v>High</v>
      </c>
    </row>
    <row r="93" spans="1:7">
      <c r="A93" s="22" t="s">
        <v>175</v>
      </c>
      <c r="B93" s="4" t="str">
        <f>IF(B$86&gt;AVERAGE(B$86:B$89),"High","Low")</f>
        <v>High</v>
      </c>
      <c r="C93" s="4" t="str">
        <f t="shared" ref="C92:C94" si="35">IF(C$86&gt;AVERAGE(C$86:C$89),"High","Low")</f>
        <v>High</v>
      </c>
      <c r="D93" s="4" t="str">
        <f t="shared" si="34"/>
        <v>High</v>
      </c>
      <c r="E93" s="4" t="str">
        <f t="shared" si="34"/>
        <v>High</v>
      </c>
      <c r="F93" s="4" t="str">
        <f t="shared" si="34"/>
        <v>High</v>
      </c>
      <c r="G93" s="4" t="str">
        <f t="shared" si="34"/>
        <v>High</v>
      </c>
    </row>
    <row r="94" spans="1:7">
      <c r="A94" s="22" t="s">
        <v>176</v>
      </c>
      <c r="B94" s="4" t="str">
        <f t="shared" si="33"/>
        <v>High</v>
      </c>
      <c r="C94" s="4" t="str">
        <f t="shared" si="35"/>
        <v>High</v>
      </c>
      <c r="D94" s="4" t="str">
        <f t="shared" si="34"/>
        <v>High</v>
      </c>
      <c r="E94" s="4" t="str">
        <f t="shared" si="34"/>
        <v>High</v>
      </c>
      <c r="F94" s="4" t="str">
        <f t="shared" si="34"/>
        <v>High</v>
      </c>
      <c r="G94" s="4" t="str">
        <f t="shared" si="34"/>
        <v>High</v>
      </c>
    </row>
    <row r="96" spans="1:7" ht="29.25">
      <c r="A96" s="4" t="s">
        <v>177</v>
      </c>
      <c r="B96" s="4" t="s">
        <v>178</v>
      </c>
      <c r="C96" s="5" t="s">
        <v>179</v>
      </c>
      <c r="D96" s="4" t="s">
        <v>180</v>
      </c>
      <c r="E96" s="4" t="s">
        <v>181</v>
      </c>
      <c r="F96" s="5" t="s">
        <v>182</v>
      </c>
      <c r="G96" s="5" t="s">
        <v>183</v>
      </c>
    </row>
    <row r="97" spans="1:8">
      <c r="A97" s="4" t="s">
        <v>184</v>
      </c>
      <c r="B97" s="4">
        <v>76</v>
      </c>
      <c r="C97" s="9">
        <f>IF(AND(LEFT(A97,3)="202",MID(A97,5,3)="PRT"),10%,0)</f>
        <v>0.1</v>
      </c>
      <c r="D97" s="4" t="b">
        <f>LEFT(A97,3)="202"</f>
        <v>1</v>
      </c>
      <c r="E97" s="4" t="b">
        <f>MID(A97,5,3)="FIN"</f>
        <v>0</v>
      </c>
      <c r="F97" s="9">
        <f>IF(AND(D97,E97),20%,0)</f>
        <v>0</v>
      </c>
      <c r="G97" s="9">
        <f>IF(AND(OR(LEFT(A97,3)="202",LEFT(A97,3)="203"),MID(A97,5,3)="FIN"),15%,0)</f>
        <v>0</v>
      </c>
    </row>
    <row r="98" spans="1:8">
      <c r="A98" s="4" t="s">
        <v>185</v>
      </c>
      <c r="B98" s="4">
        <v>69</v>
      </c>
      <c r="C98" s="9">
        <f t="shared" ref="C98:C103" si="36">IF(AND(LEFT(A98,3)="202",MID(A98,5,3)="PRT"),10%,0)</f>
        <v>0</v>
      </c>
      <c r="D98" s="4" t="b">
        <f t="shared" ref="D98:D103" si="37">LEFT(A98,3)="202"</f>
        <v>0</v>
      </c>
      <c r="E98" s="4" t="b">
        <f t="shared" ref="E98:E103" si="38">MID(A98,5,3)="FIN"</f>
        <v>1</v>
      </c>
      <c r="F98" s="9">
        <f t="shared" ref="F98:F103" si="39">IF(AND(D98,E98),20%,0)</f>
        <v>0</v>
      </c>
      <c r="G98" s="9">
        <f t="shared" ref="G98:G103" si="40">IF(AND(OR(LEFT(A98,3)="202",LEFT(A98,3)="203"),MID(A98,5,3)="FIN"),15%,0)</f>
        <v>0</v>
      </c>
    </row>
    <row r="99" spans="1:8">
      <c r="A99" s="4" t="s">
        <v>186</v>
      </c>
      <c r="B99" s="4">
        <v>12</v>
      </c>
      <c r="C99" s="9">
        <f t="shared" si="36"/>
        <v>0</v>
      </c>
      <c r="D99" s="4" t="b">
        <f t="shared" si="37"/>
        <v>1</v>
      </c>
      <c r="E99" s="4" t="b">
        <f t="shared" si="38"/>
        <v>1</v>
      </c>
      <c r="F99" s="9">
        <f>IF(AND(D99,E99),20%,0)</f>
        <v>0.2</v>
      </c>
      <c r="G99" s="9">
        <f t="shared" si="40"/>
        <v>0.15</v>
      </c>
    </row>
    <row r="100" spans="1:8">
      <c r="A100" s="4" t="s">
        <v>187</v>
      </c>
      <c r="B100" s="4">
        <v>79</v>
      </c>
      <c r="C100" s="9">
        <f t="shared" si="36"/>
        <v>0</v>
      </c>
      <c r="D100" s="4" t="b">
        <f t="shared" si="37"/>
        <v>0</v>
      </c>
      <c r="E100" s="4" t="b">
        <f t="shared" si="38"/>
        <v>1</v>
      </c>
      <c r="F100" s="9">
        <f t="shared" si="39"/>
        <v>0</v>
      </c>
      <c r="G100" s="9">
        <f t="shared" si="40"/>
        <v>0</v>
      </c>
    </row>
    <row r="101" spans="1:8">
      <c r="A101" s="4" t="s">
        <v>188</v>
      </c>
      <c r="B101" s="4">
        <v>16</v>
      </c>
      <c r="C101" s="9">
        <f t="shared" si="36"/>
        <v>0</v>
      </c>
      <c r="D101" s="4" t="b">
        <f t="shared" si="37"/>
        <v>0</v>
      </c>
      <c r="E101" s="4" t="b">
        <f t="shared" si="38"/>
        <v>1</v>
      </c>
      <c r="F101" s="9">
        <f t="shared" si="39"/>
        <v>0</v>
      </c>
      <c r="G101" s="9">
        <f t="shared" si="40"/>
        <v>0.15</v>
      </c>
    </row>
    <row r="102" spans="1:8">
      <c r="A102" s="4" t="s">
        <v>189</v>
      </c>
      <c r="B102" s="4">
        <v>87</v>
      </c>
      <c r="C102" s="9">
        <f t="shared" si="36"/>
        <v>0.1</v>
      </c>
      <c r="D102" s="4" t="b">
        <f t="shared" si="37"/>
        <v>1</v>
      </c>
      <c r="E102" s="4" t="b">
        <f t="shared" si="38"/>
        <v>0</v>
      </c>
      <c r="F102" s="9">
        <f t="shared" si="39"/>
        <v>0</v>
      </c>
      <c r="G102" s="9">
        <f t="shared" si="40"/>
        <v>0</v>
      </c>
    </row>
    <row r="103" spans="1:8">
      <c r="A103" s="4" t="s">
        <v>190</v>
      </c>
      <c r="B103" s="4">
        <v>97</v>
      </c>
      <c r="C103" s="9">
        <f t="shared" si="36"/>
        <v>0</v>
      </c>
      <c r="D103" s="4" t="b">
        <f t="shared" si="37"/>
        <v>0</v>
      </c>
      <c r="E103" s="4" t="b">
        <f t="shared" si="38"/>
        <v>1</v>
      </c>
      <c r="F103" s="9">
        <f t="shared" si="39"/>
        <v>0</v>
      </c>
      <c r="G103" s="9">
        <f t="shared" si="40"/>
        <v>0.15</v>
      </c>
    </row>
    <row r="105" spans="1:8" ht="29.25">
      <c r="A105" s="21" t="s">
        <v>191</v>
      </c>
      <c r="B105" s="45"/>
      <c r="D105" s="3" t="s">
        <v>192</v>
      </c>
      <c r="E105" s="3" t="s">
        <v>193</v>
      </c>
      <c r="G105" s="20" t="s">
        <v>102</v>
      </c>
      <c r="H105" s="4" t="s">
        <v>194</v>
      </c>
    </row>
    <row r="106" spans="1:8">
      <c r="A106" s="20" t="s">
        <v>195</v>
      </c>
      <c r="B106" s="4" t="s">
        <v>196</v>
      </c>
      <c r="D106" s="3" t="s">
        <v>197</v>
      </c>
      <c r="E106" s="43">
        <v>2714745.31</v>
      </c>
      <c r="G106" s="47">
        <v>41671</v>
      </c>
      <c r="H106" s="4">
        <v>10</v>
      </c>
    </row>
    <row r="107" spans="1:8">
      <c r="A107" s="20" t="s">
        <v>198</v>
      </c>
      <c r="B107" s="44">
        <v>9863</v>
      </c>
      <c r="D107" s="3" t="s">
        <v>197</v>
      </c>
      <c r="E107" s="43">
        <v>1434322.83</v>
      </c>
      <c r="G107" s="47">
        <v>41672</v>
      </c>
      <c r="H107" s="4">
        <v>20</v>
      </c>
    </row>
    <row r="108" spans="1:8" ht="17.25" customHeight="1">
      <c r="A108" s="21" t="s">
        <v>199</v>
      </c>
      <c r="B108" s="44">
        <v>-9502</v>
      </c>
      <c r="D108" s="3" t="s">
        <v>200</v>
      </c>
      <c r="E108" s="43">
        <v>1983811.7</v>
      </c>
      <c r="G108" s="47">
        <v>41673</v>
      </c>
      <c r="H108" s="4">
        <v>30</v>
      </c>
    </row>
    <row r="109" spans="1:8">
      <c r="A109" s="20" t="s">
        <v>201</v>
      </c>
      <c r="B109" s="44">
        <v>5613</v>
      </c>
      <c r="D109" s="3" t="s">
        <v>202</v>
      </c>
      <c r="E109" s="43">
        <v>929430.78</v>
      </c>
      <c r="G109" s="47">
        <v>41674</v>
      </c>
      <c r="H109" s="4">
        <v>40</v>
      </c>
    </row>
    <row r="110" spans="1:8">
      <c r="A110" s="20" t="s">
        <v>203</v>
      </c>
      <c r="B110" s="44">
        <v>8653</v>
      </c>
      <c r="D110" s="3" t="s">
        <v>202</v>
      </c>
      <c r="E110" s="43">
        <v>3154066.47</v>
      </c>
      <c r="G110" s="47">
        <v>41675</v>
      </c>
      <c r="H110" s="4">
        <v>50</v>
      </c>
    </row>
    <row r="111" spans="1:8">
      <c r="A111" s="20" t="s">
        <v>204</v>
      </c>
      <c r="B111" s="44">
        <v>-6937</v>
      </c>
      <c r="D111" s="3" t="s">
        <v>197</v>
      </c>
      <c r="E111" s="43">
        <v>1264490.6399999999</v>
      </c>
      <c r="F111" s="42"/>
      <c r="G111" s="47">
        <v>41671</v>
      </c>
      <c r="H111" s="4">
        <v>60</v>
      </c>
    </row>
    <row r="112" spans="1:8" ht="17.25" customHeight="1">
      <c r="A112" s="21" t="s">
        <v>205</v>
      </c>
      <c r="B112" s="44">
        <v>-6826</v>
      </c>
      <c r="D112" s="3" t="s">
        <v>200</v>
      </c>
      <c r="E112" s="43">
        <v>4674274.42</v>
      </c>
      <c r="G112" s="47">
        <v>41679</v>
      </c>
      <c r="H112" s="4">
        <v>70</v>
      </c>
    </row>
    <row r="113" spans="1:8">
      <c r="A113" s="20" t="s">
        <v>206</v>
      </c>
      <c r="B113" s="44">
        <v>-3717</v>
      </c>
      <c r="D113" s="3" t="s">
        <v>202</v>
      </c>
      <c r="E113" s="43">
        <v>940684.25</v>
      </c>
      <c r="G113" s="47">
        <v>41675</v>
      </c>
      <c r="H113" s="4">
        <v>80</v>
      </c>
    </row>
    <row r="114" spans="1:8">
      <c r="A114" s="20" t="s">
        <v>207</v>
      </c>
      <c r="B114" s="4" t="s">
        <v>208</v>
      </c>
      <c r="D114" s="3" t="s">
        <v>197</v>
      </c>
      <c r="E114" s="43">
        <v>2497381.2400000002</v>
      </c>
      <c r="G114" s="47">
        <v>41680</v>
      </c>
      <c r="H114" s="4">
        <v>90</v>
      </c>
    </row>
    <row r="115" spans="1:8" ht="16.5" customHeight="1">
      <c r="A115" s="21" t="s">
        <v>209</v>
      </c>
      <c r="B115" s="44">
        <v>-4443</v>
      </c>
      <c r="D115" s="3" t="s">
        <v>197</v>
      </c>
      <c r="E115" s="43">
        <v>1728260.75</v>
      </c>
      <c r="G115" s="47">
        <v>44237</v>
      </c>
      <c r="H115" s="4">
        <v>50</v>
      </c>
    </row>
    <row r="116" spans="1:8" ht="16.5" customHeight="1">
      <c r="A116" s="21" t="s">
        <v>210</v>
      </c>
      <c r="B116" s="44">
        <v>7223</v>
      </c>
      <c r="D116" s="17" t="s">
        <v>211</v>
      </c>
      <c r="E116" s="17">
        <f ca="1">SUMIF(D106:D115,"SOUTH",E106:E114)</f>
        <v>9639200.7699999996</v>
      </c>
      <c r="G116" s="45" t="s">
        <v>212</v>
      </c>
      <c r="H116" s="22">
        <f ca="1">SUMIF(G106:G115,TODAY(),H106:H115)</f>
        <v>0</v>
      </c>
    </row>
    <row r="117" spans="1:8" ht="29.25">
      <c r="A117" s="45" t="s">
        <v>213</v>
      </c>
      <c r="B117" s="46">
        <f>SUMIF(B107:B116,"&lt;0")</f>
        <v>-31425</v>
      </c>
      <c r="D117" s="17" t="s">
        <v>214</v>
      </c>
      <c r="E117" s="17">
        <f ca="1">SUMIF(D106:D115,"NORTH",E106:E114)</f>
        <v>6658086.1200000001</v>
      </c>
      <c r="G117" s="48" t="s">
        <v>215</v>
      </c>
      <c r="H117" s="22">
        <f ca="1">SUMIF(G106:G115,"&lt;="&amp;TODAY(),H106:H115)</f>
        <v>500</v>
      </c>
    </row>
    <row r="118" spans="1:8">
      <c r="A118" s="45" t="s">
        <v>216</v>
      </c>
      <c r="B118" s="46">
        <f>SUMIF(B107:B116,"&gt;0")</f>
        <v>31352</v>
      </c>
      <c r="D118" s="18" t="s">
        <v>217</v>
      </c>
      <c r="E118" s="18">
        <f ca="1">SUMIF(D106:D115,"EAST",E106:E114)</f>
        <v>5024181.5</v>
      </c>
      <c r="G118" s="45" t="s">
        <v>218</v>
      </c>
      <c r="H118" s="22">
        <f ca="1">SUMIF(G106:G115,"&lt;"&amp;TODAY(),H106:H115)</f>
        <v>500</v>
      </c>
    </row>
    <row r="119" spans="1:8">
      <c r="A119" s="16"/>
      <c r="B119" s="16"/>
      <c r="D119" s="17" t="s">
        <v>219</v>
      </c>
      <c r="E119" s="17">
        <f>SUMIF(D106:D115,"&gt;EAST",E106:E115)</f>
        <v>16297286.889999999</v>
      </c>
    </row>
    <row r="120" spans="1:8">
      <c r="D120" s="17" t="s">
        <v>220</v>
      </c>
      <c r="E120" s="17">
        <f>SUMIF(D107:D116,"&lt;NORTH",E107:E116)</f>
        <v>5024181.5</v>
      </c>
    </row>
    <row r="122" spans="1:8">
      <c r="A122" s="20" t="s">
        <v>221</v>
      </c>
      <c r="B122" s="4">
        <v>2010</v>
      </c>
      <c r="C122" s="4">
        <v>2011</v>
      </c>
      <c r="D122" s="4">
        <v>2012</v>
      </c>
      <c r="E122" s="4">
        <v>2013</v>
      </c>
      <c r="F122" s="22" t="s">
        <v>222</v>
      </c>
    </row>
    <row r="123" spans="1:8">
      <c r="A123" s="20" t="s">
        <v>197</v>
      </c>
      <c r="B123" s="13">
        <v>1525017</v>
      </c>
      <c r="C123" s="13">
        <v>1504678</v>
      </c>
      <c r="D123" s="13">
        <v>1227847</v>
      </c>
      <c r="E123" s="13">
        <v>1019616</v>
      </c>
      <c r="F123" s="49">
        <f>SUM(B$123:E$123)</f>
        <v>5277158</v>
      </c>
    </row>
    <row r="124" spans="1:8">
      <c r="A124" s="20" t="s">
        <v>223</v>
      </c>
      <c r="B124" s="13">
        <v>2704237</v>
      </c>
      <c r="C124" s="13">
        <v>2135564</v>
      </c>
      <c r="D124" s="13">
        <v>1411782</v>
      </c>
      <c r="E124" s="13">
        <v>716535</v>
      </c>
      <c r="F124" s="49">
        <f>SUM(B$124:E$124)</f>
        <v>6968118</v>
      </c>
    </row>
    <row r="125" spans="1:8">
      <c r="A125" s="20" t="s">
        <v>200</v>
      </c>
      <c r="B125" s="13">
        <v>3563687</v>
      </c>
      <c r="C125" s="13">
        <v>4441886</v>
      </c>
      <c r="D125" s="13">
        <v>4805431</v>
      </c>
      <c r="E125" s="13">
        <v>3716674</v>
      </c>
      <c r="F125" s="49">
        <f>SUM(B$125:E$125)</f>
        <v>16527678</v>
      </c>
    </row>
    <row r="126" spans="1:8">
      <c r="A126" s="20" t="s">
        <v>224</v>
      </c>
      <c r="B126" s="13">
        <v>4489700</v>
      </c>
      <c r="C126" s="13">
        <v>2651064</v>
      </c>
      <c r="D126" s="13">
        <v>796330</v>
      </c>
      <c r="E126" s="13">
        <v>2898601</v>
      </c>
      <c r="F126" s="49">
        <f>SUM(B$126:E$126)</f>
        <v>10835695</v>
      </c>
    </row>
    <row r="127" spans="1:8">
      <c r="A127" s="20" t="s">
        <v>225</v>
      </c>
      <c r="B127" s="13">
        <v>2167319</v>
      </c>
      <c r="C127" s="13">
        <v>1357850</v>
      </c>
      <c r="D127" s="13">
        <v>776850</v>
      </c>
      <c r="E127" s="13">
        <v>3024542</v>
      </c>
      <c r="F127" s="49">
        <f>SUM(B$127:E$127)</f>
        <v>7326561</v>
      </c>
    </row>
    <row r="128" spans="1:8">
      <c r="A128" s="20" t="s">
        <v>226</v>
      </c>
      <c r="B128" s="13">
        <v>1861239</v>
      </c>
      <c r="C128" s="13">
        <v>3573280</v>
      </c>
      <c r="D128" s="13">
        <v>4069389</v>
      </c>
      <c r="E128" s="13">
        <v>1475301</v>
      </c>
      <c r="F128" s="49">
        <f>SUM(B$128:E$128)</f>
        <v>10979209</v>
      </c>
    </row>
    <row r="129" spans="1:6">
      <c r="A129" s="45" t="s">
        <v>227</v>
      </c>
      <c r="B129" s="49">
        <f>SUM(B$123:B$128)</f>
        <v>16311199</v>
      </c>
      <c r="C129" s="49">
        <f>SUM(C$123:C$128)</f>
        <v>15664322</v>
      </c>
      <c r="D129" s="49">
        <f>SUM(D$123:D$128)</f>
        <v>13087629</v>
      </c>
      <c r="E129" s="49">
        <f>SUM(E$123:E$128)</f>
        <v>12851269</v>
      </c>
      <c r="F129" s="49">
        <f>SUM(B$129:E$129)</f>
        <v>57914419</v>
      </c>
    </row>
    <row r="130" spans="1:6">
      <c r="A130" s="50" t="s">
        <v>221</v>
      </c>
      <c r="B130" s="51" t="s">
        <v>200</v>
      </c>
      <c r="C130" s="4"/>
      <c r="D130" s="4"/>
      <c r="E130" s="4"/>
      <c r="F130" s="4"/>
    </row>
    <row r="131" spans="1:6">
      <c r="A131" s="50" t="s">
        <v>34</v>
      </c>
      <c r="B131" s="51">
        <v>2012</v>
      </c>
      <c r="C131" s="4"/>
      <c r="D131" s="4"/>
      <c r="E131" s="4"/>
      <c r="F131" s="4"/>
    </row>
    <row r="132" spans="1:6">
      <c r="A132" s="45" t="s">
        <v>228</v>
      </c>
      <c r="B132" s="52">
        <f>INDEX(B123:E128, MATCH(B130, A123:A128, 0), MATCH(B131, B122:E122, 0))</f>
        <v>4805431</v>
      </c>
      <c r="C132" s="4"/>
      <c r="D132" s="4"/>
      <c r="E132" s="4"/>
      <c r="F1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Amisha Ninawe</cp:lastModifiedBy>
  <cp:revision/>
  <dcterms:created xsi:type="dcterms:W3CDTF">2025-07-14T10:37:34Z</dcterms:created>
  <dcterms:modified xsi:type="dcterms:W3CDTF">2025-07-19T10:26:47Z</dcterms:modified>
  <cp:category/>
  <cp:contentStatus/>
</cp:coreProperties>
</file>